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showInkAnnotation="0" codeName="ThisWorkbook" defaultThemeVersion="166925"/>
  <mc:AlternateContent xmlns:mc="http://schemas.openxmlformats.org/markup-compatibility/2006">
    <mc:Choice Requires="x15">
      <x15ac:absPath xmlns:x15ac="http://schemas.microsoft.com/office/spreadsheetml/2010/11/ac" url="C:\Martha Elena\AÑOS 2022  31-I-2022\RENDICIÓIN DE LA CUENTA CGQ\RENDICIÓN DE LA CUENTA VIGENCIA 2021\ANEXOI No. 10 INFORME DE GESTIÓN VIGENCIA 2021\ANEXOS INFORME DE GESTIÓN 2021\ANEXO No.1\"/>
    </mc:Choice>
  </mc:AlternateContent>
  <xr:revisionPtr revIDLastSave="0" documentId="13_ncr:1_{4462685E-676C-4F4C-97E3-7E1F649BEFC9}" xr6:coauthVersionLast="36" xr6:coauthVersionMax="36" xr10:uidLastSave="{00000000-0000-0000-0000-000000000000}"/>
  <bookViews>
    <workbookView xWindow="9915" yWindow="0" windowWidth="10515" windowHeight="10755" firstSheet="1" activeTab="5" xr2:uid="{00000000-000D-0000-FFFF-FFFF00000000}"/>
  </bookViews>
  <sheets>
    <sheet name="SGTO POAI VIGENCIA 2021" sheetId="1" r:id="rId1"/>
    <sheet name="RESUMEN POR UNIDAD" sheetId="5" r:id="rId2"/>
    <sheet name="UNIDADES + FUENTE" sheetId="6" r:id="rId3"/>
    <sheet name="SECTORES" sheetId="12" r:id="rId4"/>
    <sheet name="PROGRAMAS" sheetId="9" r:id="rId5"/>
    <sheet name="EJE ESTRATEGICO" sheetId="8" r:id="rId6"/>
    <sheet name="PROYECTOS" sheetId="10" r:id="rId7"/>
    <sheet name="CONSOLIDADO UNIDADES" sheetId="11" r:id="rId8"/>
  </sheets>
  <externalReferences>
    <externalReference r:id="rId9"/>
  </externalReferences>
  <definedNames>
    <definedName name="_1._Apoyo_con_equipos_para_la_seguridad_vial_Licenciamiento_de_software_para_comunicaciones" localSheetId="3">#REF!</definedName>
    <definedName name="_1._Apoyo_con_equipos_para_la_seguridad_vial_Licenciamiento_de_software_para_comunicaciones">#REF!</definedName>
    <definedName name="_xlnm._FilterDatabase" localSheetId="1" hidden="1">'RESUMEN POR UNIDAD'!$E$1:$E$189</definedName>
    <definedName name="_xlnm._FilterDatabase" localSheetId="0" hidden="1">'SGTO POAI VIGENCIA 2021'!$A$7:$DF$308</definedName>
    <definedName name="aa" localSheetId="3">#REF!</definedName>
    <definedName name="aa">#REF!</definedName>
    <definedName name="CODIGO_DIVIPOLA" localSheetId="3">#REF!</definedName>
    <definedName name="CODIGO_DIVIPOLA">#REF!</definedName>
    <definedName name="DboREGISTRO_LEY_617" localSheetId="3">#REF!</definedName>
    <definedName name="DboREGISTRO_LEY_617">#REF!</definedName>
    <definedName name="ññ" localSheetId="3">#REF!</definedName>
    <definedName name="ññ">#REF!</definedName>
  </definedNames>
  <calcPr calcId="191029"/>
</workbook>
</file>

<file path=xl/calcChain.xml><?xml version="1.0" encoding="utf-8"?>
<calcChain xmlns="http://schemas.openxmlformats.org/spreadsheetml/2006/main">
  <c r="F35" i="8" l="1"/>
  <c r="F34" i="8"/>
  <c r="F33" i="8"/>
  <c r="F32" i="8"/>
  <c r="F36" i="8"/>
  <c r="U228" i="1" l="1"/>
  <c r="U279" i="1" l="1"/>
  <c r="U215" i="1" l="1"/>
  <c r="U201" i="1" l="1"/>
  <c r="U186" i="1" l="1"/>
  <c r="U73" i="1" l="1"/>
  <c r="U67" i="1"/>
  <c r="U96" i="1" l="1"/>
  <c r="U94" i="1"/>
  <c r="U93" i="1"/>
  <c r="U92" i="1"/>
  <c r="U90" i="1"/>
  <c r="BD290" i="1" l="1"/>
  <c r="BG290" i="1"/>
  <c r="BH314" i="1" l="1"/>
  <c r="BH315" i="1" s="1"/>
  <c r="BJ288" i="1" l="1"/>
  <c r="BG288" i="1"/>
  <c r="BJ287" i="1" l="1"/>
  <c r="BG287" i="1"/>
  <c r="BP28" i="1" l="1"/>
  <c r="BE262" i="1" l="1"/>
  <c r="BF262" i="1" l="1"/>
  <c r="BP240" i="1"/>
  <c r="BR232" i="1"/>
  <c r="BQ286" i="1" l="1"/>
  <c r="BQ251" i="1" l="1"/>
  <c r="BR251" i="1"/>
  <c r="BP248" i="1"/>
  <c r="AL251" i="1"/>
  <c r="AL255" i="1"/>
  <c r="BJ254" i="1"/>
  <c r="BJ205" i="1"/>
  <c r="BD257" i="1"/>
  <c r="AO256" i="1"/>
  <c r="AO253" i="1"/>
  <c r="BP204" i="1"/>
  <c r="BP158" i="1"/>
  <c r="BP155" i="1"/>
  <c r="BP156" i="1"/>
  <c r="BR36" i="1"/>
  <c r="BP142" i="1"/>
  <c r="BP130" i="1"/>
  <c r="BD83" i="1"/>
  <c r="BQ45" i="1"/>
  <c r="Z299" i="1" l="1"/>
  <c r="AL256" i="1" l="1"/>
  <c r="BP257" i="1"/>
  <c r="BP259" i="1"/>
  <c r="BQ254" i="1"/>
  <c r="AK256" i="1"/>
  <c r="BR256" i="1" s="1"/>
  <c r="AJ256" i="1"/>
  <c r="BR201" i="1" l="1"/>
  <c r="BR164" i="1" l="1"/>
  <c r="BP145" i="1"/>
  <c r="BP143" i="1"/>
  <c r="BR161" i="1"/>
  <c r="BQ157" i="1"/>
  <c r="BQ156" i="1"/>
  <c r="BR142" i="1"/>
  <c r="BQ130" i="1"/>
  <c r="BD194" i="1"/>
  <c r="BD170" i="1"/>
  <c r="BD167" i="1"/>
  <c r="BD276" i="1"/>
  <c r="BD117" i="1"/>
  <c r="BD98" i="1"/>
  <c r="BD97" i="1"/>
  <c r="BD31" i="1" l="1"/>
  <c r="BR38" i="1"/>
  <c r="C33" i="12" l="1"/>
  <c r="B33" i="12"/>
  <c r="C32" i="12"/>
  <c r="B32" i="12"/>
  <c r="BR305" i="1" l="1"/>
  <c r="BR304" i="1"/>
  <c r="BR303" i="1"/>
  <c r="BR302" i="1"/>
  <c r="Z290" i="1" l="1"/>
  <c r="Z288" i="1"/>
  <c r="BJ286" i="1"/>
  <c r="Z297" i="1" l="1"/>
  <c r="Z292" i="1"/>
  <c r="BG305" i="1" l="1"/>
  <c r="BG303" i="1"/>
  <c r="BG302" i="1"/>
  <c r="BM314" i="1" l="1"/>
  <c r="BN314" i="1"/>
  <c r="G11" i="5" l="1"/>
  <c r="F11" i="5"/>
  <c r="G133" i="6" l="1"/>
  <c r="H133" i="6"/>
  <c r="BQ67" i="1" l="1"/>
  <c r="BR67" i="1"/>
  <c r="I41" i="6" l="1"/>
  <c r="I40" i="6" s="1"/>
  <c r="J41" i="6"/>
  <c r="J40" i="6" s="1"/>
  <c r="K41" i="6"/>
  <c r="K40" i="6" s="1"/>
  <c r="L41" i="6"/>
  <c r="L40" i="6" s="1"/>
  <c r="M41" i="6"/>
  <c r="M40" i="6" s="1"/>
  <c r="N41" i="6"/>
  <c r="N40" i="6" s="1"/>
  <c r="R41" i="6"/>
  <c r="R40" i="6" s="1"/>
  <c r="S41" i="6"/>
  <c r="S40" i="6" s="1"/>
  <c r="T41" i="6"/>
  <c r="T40" i="6" s="1"/>
  <c r="F41" i="6"/>
  <c r="F40" i="6" s="1"/>
  <c r="H41" i="6"/>
  <c r="H40" i="6" s="1"/>
  <c r="G41" i="6"/>
  <c r="G40" i="6" s="1"/>
  <c r="BP31" i="1"/>
  <c r="BQ31" i="1"/>
  <c r="BR31" i="1"/>
  <c r="F26" i="10" l="1"/>
  <c r="D26" i="10"/>
  <c r="E38" i="5"/>
  <c r="E37" i="5" s="1"/>
  <c r="E36" i="5" s="1"/>
  <c r="C26" i="10"/>
  <c r="Q42" i="6"/>
  <c r="Q41" i="6" s="1"/>
  <c r="Q40" i="6" s="1"/>
  <c r="G38" i="5"/>
  <c r="G37" i="5" s="1"/>
  <c r="G36" i="5" s="1"/>
  <c r="P42" i="6"/>
  <c r="P41" i="6" s="1"/>
  <c r="P40" i="6" s="1"/>
  <c r="F38" i="5"/>
  <c r="F37" i="5" s="1"/>
  <c r="F36" i="5" s="1"/>
  <c r="O42" i="6"/>
  <c r="E26" i="10" l="1"/>
  <c r="G26" i="10"/>
  <c r="W42" i="6"/>
  <c r="W41" i="6" s="1"/>
  <c r="W40" i="6" s="1"/>
  <c r="V42" i="6"/>
  <c r="V41" i="6" s="1"/>
  <c r="V40" i="6" s="1"/>
  <c r="O41" i="6"/>
  <c r="O40" i="6" s="1"/>
  <c r="U42" i="6"/>
  <c r="U41" i="6" s="1"/>
  <c r="U40" i="6" s="1"/>
  <c r="AI256" i="1" l="1"/>
  <c r="AI255" i="1"/>
  <c r="BD197" i="1"/>
  <c r="BD162" i="1"/>
  <c r="BD112" i="1"/>
  <c r="BD105" i="1"/>
  <c r="BD86" i="1"/>
  <c r="BD85" i="1"/>
  <c r="BD84" i="1"/>
  <c r="BD80" i="1"/>
  <c r="BD79" i="1"/>
  <c r="BD78" i="1"/>
  <c r="BD17" i="1" l="1"/>
  <c r="BD10" i="1"/>
  <c r="G212" i="6" l="1"/>
  <c r="H212" i="6"/>
  <c r="G182" i="6"/>
  <c r="H182" i="6"/>
  <c r="J102" i="6"/>
  <c r="K102" i="6"/>
  <c r="J103" i="6"/>
  <c r="K103" i="6"/>
  <c r="M86" i="6"/>
  <c r="N86" i="6"/>
  <c r="G49" i="6"/>
  <c r="H49" i="6"/>
  <c r="G50" i="6"/>
  <c r="H50" i="6"/>
  <c r="G39" i="6"/>
  <c r="V39" i="6" s="1"/>
  <c r="H39" i="6"/>
  <c r="W39" i="6" s="1"/>
  <c r="H35" i="6"/>
  <c r="W35" i="6" s="1"/>
  <c r="G35" i="6"/>
  <c r="V35" i="6" s="1"/>
  <c r="AA306" i="1" l="1"/>
  <c r="AB306" i="1"/>
  <c r="AD306" i="1"/>
  <c r="AE306" i="1"/>
  <c r="AF306" i="1"/>
  <c r="AG306" i="1"/>
  <c r="AH306" i="1"/>
  <c r="AJ306" i="1"/>
  <c r="AK306" i="1"/>
  <c r="AM306" i="1"/>
  <c r="AN306" i="1"/>
  <c r="AP306" i="1"/>
  <c r="AQ306" i="1"/>
  <c r="AS306" i="1"/>
  <c r="AT306" i="1"/>
  <c r="AU306" i="1"/>
  <c r="AV306" i="1"/>
  <c r="AW306" i="1"/>
  <c r="AY306" i="1"/>
  <c r="AZ306" i="1"/>
  <c r="BB306" i="1"/>
  <c r="BC306" i="1"/>
  <c r="BE306" i="1"/>
  <c r="BF306" i="1"/>
  <c r="BH306" i="1"/>
  <c r="BI306" i="1"/>
  <c r="BK306" i="1"/>
  <c r="BL306" i="1"/>
  <c r="BM306" i="1"/>
  <c r="BN306" i="1"/>
  <c r="BO306" i="1"/>
  <c r="AA307" i="1"/>
  <c r="AB307" i="1"/>
  <c r="AC307" i="1"/>
  <c r="AD307" i="1"/>
  <c r="AE307" i="1"/>
  <c r="AF307" i="1"/>
  <c r="AG307" i="1"/>
  <c r="AH307" i="1"/>
  <c r="AI307" i="1"/>
  <c r="AJ307" i="1"/>
  <c r="AK307" i="1"/>
  <c r="AL307" i="1"/>
  <c r="AM307" i="1"/>
  <c r="AN307" i="1"/>
  <c r="AO307" i="1"/>
  <c r="AP307" i="1"/>
  <c r="AQ307" i="1"/>
  <c r="AR307" i="1"/>
  <c r="AS307" i="1"/>
  <c r="AT307" i="1"/>
  <c r="AU307" i="1"/>
  <c r="AV307" i="1"/>
  <c r="AW307" i="1"/>
  <c r="AX307" i="1"/>
  <c r="AY307" i="1"/>
  <c r="AZ307" i="1"/>
  <c r="BA307" i="1"/>
  <c r="BB307" i="1"/>
  <c r="BC307" i="1"/>
  <c r="BE307" i="1"/>
  <c r="BF307" i="1"/>
  <c r="BH307" i="1"/>
  <c r="BI307" i="1"/>
  <c r="BJ307" i="1"/>
  <c r="BK307" i="1"/>
  <c r="BL307" i="1"/>
  <c r="BM307" i="1"/>
  <c r="BN307" i="1"/>
  <c r="BO307" i="1"/>
  <c r="AF308" i="1" l="1"/>
  <c r="AZ308" i="1"/>
  <c r="AG308" i="1"/>
  <c r="AM308" i="1"/>
  <c r="AN308" i="1"/>
  <c r="AV308" i="1"/>
  <c r="AK308" i="1"/>
  <c r="AJ308" i="1"/>
  <c r="AU308" i="1"/>
  <c r="BM308" i="1"/>
  <c r="BI308" i="1"/>
  <c r="AS308" i="1"/>
  <c r="AB308" i="1"/>
  <c r="BC308" i="1"/>
  <c r="BE308" i="1"/>
  <c r="AA308" i="1"/>
  <c r="BL308" i="1"/>
  <c r="BK308" i="1"/>
  <c r="AW308" i="1"/>
  <c r="BH308" i="1"/>
  <c r="BO308" i="1"/>
  <c r="AY308" i="1"/>
  <c r="AQ308" i="1"/>
  <c r="AE308" i="1"/>
  <c r="BF308" i="1"/>
  <c r="AD308" i="1"/>
  <c r="BN308" i="1"/>
  <c r="BB308" i="1"/>
  <c r="AT308" i="1"/>
  <c r="AP308" i="1"/>
  <c r="AH308" i="1"/>
  <c r="BQ178" i="1"/>
  <c r="BR178" i="1"/>
  <c r="BQ177" i="1"/>
  <c r="BR177" i="1"/>
  <c r="BQ176" i="1"/>
  <c r="BR176" i="1"/>
  <c r="BQ175" i="1"/>
  <c r="BR175" i="1"/>
  <c r="BQ174" i="1"/>
  <c r="BR174" i="1"/>
  <c r="BQ173" i="1"/>
  <c r="BR173" i="1"/>
  <c r="BQ172" i="1"/>
  <c r="BR172" i="1"/>
  <c r="BQ171" i="1"/>
  <c r="BR171" i="1"/>
  <c r="BQ170" i="1"/>
  <c r="BR170" i="1"/>
  <c r="BQ169" i="1"/>
  <c r="BR169" i="1"/>
  <c r="J147" i="6"/>
  <c r="K147" i="6"/>
  <c r="J85" i="6"/>
  <c r="K85" i="6"/>
  <c r="J86" i="6"/>
  <c r="K86" i="6"/>
  <c r="G85" i="6"/>
  <c r="H85" i="6"/>
  <c r="P85" i="6"/>
  <c r="P84" i="6" s="1"/>
  <c r="P83" i="6" s="1"/>
  <c r="P82" i="6" s="1"/>
  <c r="Q85" i="6"/>
  <c r="Q84" i="6" s="1"/>
  <c r="Q83" i="6" s="1"/>
  <c r="Q82" i="6" s="1"/>
  <c r="J84" i="6" l="1"/>
  <c r="J83" i="6" s="1"/>
  <c r="J82" i="6" s="1"/>
  <c r="K84" i="6"/>
  <c r="K83" i="6" s="1"/>
  <c r="K82" i="6" s="1"/>
  <c r="Z300" i="1"/>
  <c r="BG300" i="1"/>
  <c r="BG299" i="1"/>
  <c r="BG297" i="1"/>
  <c r="Z296" i="1"/>
  <c r="BG295" i="1"/>
  <c r="BQ83" i="1"/>
  <c r="BR83" i="1"/>
  <c r="BG294" i="1" l="1"/>
  <c r="Z293" i="1"/>
  <c r="Z307" i="1" s="1"/>
  <c r="BP90" i="1" l="1"/>
  <c r="BQ90" i="1"/>
  <c r="BR90" i="1"/>
  <c r="BP91" i="1"/>
  <c r="BQ91" i="1"/>
  <c r="BR91" i="1"/>
  <c r="BQ92" i="1"/>
  <c r="BR92" i="1"/>
  <c r="BP93" i="1"/>
  <c r="BQ93" i="1"/>
  <c r="BR93" i="1"/>
  <c r="BP94" i="1"/>
  <c r="BQ94" i="1"/>
  <c r="BR94" i="1"/>
  <c r="BP95" i="1"/>
  <c r="BQ95" i="1"/>
  <c r="BR95" i="1"/>
  <c r="BP96" i="1"/>
  <c r="BQ96" i="1"/>
  <c r="BR96" i="1"/>
  <c r="BP97" i="1"/>
  <c r="BQ97" i="1"/>
  <c r="BR97" i="1"/>
  <c r="BP98" i="1"/>
  <c r="BQ98" i="1"/>
  <c r="BR98" i="1"/>
  <c r="BP99" i="1"/>
  <c r="BQ99" i="1"/>
  <c r="BR99" i="1"/>
  <c r="BP100" i="1"/>
  <c r="BQ100" i="1"/>
  <c r="BR100" i="1"/>
  <c r="BP101" i="1"/>
  <c r="BQ101" i="1"/>
  <c r="BR101" i="1"/>
  <c r="BP102" i="1"/>
  <c r="BQ102" i="1"/>
  <c r="BR102" i="1"/>
  <c r="BP103" i="1"/>
  <c r="BQ103" i="1"/>
  <c r="BR103" i="1"/>
  <c r="BP104" i="1"/>
  <c r="BQ104" i="1"/>
  <c r="BR104" i="1"/>
  <c r="BP105" i="1"/>
  <c r="BQ105" i="1"/>
  <c r="BR105" i="1"/>
  <c r="BP106" i="1"/>
  <c r="BQ106" i="1"/>
  <c r="BR106" i="1"/>
  <c r="BP107" i="1"/>
  <c r="BQ107" i="1"/>
  <c r="BR107" i="1"/>
  <c r="BP108" i="1"/>
  <c r="BQ108" i="1"/>
  <c r="BR108" i="1"/>
  <c r="BP109" i="1"/>
  <c r="BQ109" i="1"/>
  <c r="BR109" i="1"/>
  <c r="BP110" i="1"/>
  <c r="BQ110" i="1"/>
  <c r="BR110" i="1"/>
  <c r="BP111" i="1"/>
  <c r="BQ111" i="1"/>
  <c r="BR111" i="1"/>
  <c r="BP112" i="1"/>
  <c r="BQ112" i="1"/>
  <c r="BR112" i="1"/>
  <c r="BP113" i="1"/>
  <c r="BQ113" i="1"/>
  <c r="BR113" i="1"/>
  <c r="BQ114" i="1"/>
  <c r="BR114" i="1"/>
  <c r="BQ115" i="1"/>
  <c r="BR115" i="1"/>
  <c r="BQ116" i="1"/>
  <c r="BR116" i="1"/>
  <c r="BQ117" i="1"/>
  <c r="BR117" i="1"/>
  <c r="BP118" i="1"/>
  <c r="BQ118" i="1"/>
  <c r="BR118" i="1"/>
  <c r="BP119" i="1"/>
  <c r="BQ119" i="1"/>
  <c r="BR119" i="1"/>
  <c r="BP120" i="1"/>
  <c r="BQ120" i="1"/>
  <c r="BR120" i="1"/>
  <c r="BP121" i="1"/>
  <c r="BQ121" i="1"/>
  <c r="BR121" i="1"/>
  <c r="BP122" i="1"/>
  <c r="BQ122" i="1"/>
  <c r="BR122" i="1"/>
  <c r="BP123" i="1"/>
  <c r="BQ123" i="1"/>
  <c r="BR123" i="1"/>
  <c r="BP124" i="1"/>
  <c r="BQ124" i="1"/>
  <c r="BR124" i="1"/>
  <c r="BP125" i="1"/>
  <c r="BQ125" i="1"/>
  <c r="BR125" i="1"/>
  <c r="BP126" i="1"/>
  <c r="BQ126" i="1"/>
  <c r="BR126" i="1"/>
  <c r="BR40" i="1" l="1"/>
  <c r="BR41" i="1"/>
  <c r="BR42" i="1"/>
  <c r="BR43" i="1"/>
  <c r="BQ43" i="1"/>
  <c r="BD288" i="1" l="1"/>
  <c r="AX306" i="1"/>
  <c r="AX308" i="1" s="1"/>
  <c r="BD132" i="1"/>
  <c r="BJ243" i="1" l="1"/>
  <c r="BP243" i="1" s="1"/>
  <c r="AL239" i="1"/>
  <c r="BP197" i="1"/>
  <c r="BD161" i="1"/>
  <c r="BD151" i="1"/>
  <c r="BP151" i="1" s="1"/>
  <c r="BD138" i="1"/>
  <c r="BP127" i="1"/>
  <c r="BP289" i="1" l="1"/>
  <c r="BQ138" i="1"/>
  <c r="F212" i="6" l="1"/>
  <c r="J199" i="6"/>
  <c r="K199" i="6"/>
  <c r="J200" i="6"/>
  <c r="K200" i="6"/>
  <c r="J205" i="6"/>
  <c r="K205" i="6"/>
  <c r="J203" i="6"/>
  <c r="K203" i="6"/>
  <c r="I203" i="6"/>
  <c r="I200" i="6"/>
  <c r="I199" i="6"/>
  <c r="G205" i="6"/>
  <c r="H205" i="6"/>
  <c r="G203" i="6"/>
  <c r="H203" i="6"/>
  <c r="G199" i="6"/>
  <c r="H199" i="6"/>
  <c r="G200" i="6"/>
  <c r="H200" i="6"/>
  <c r="F203" i="6"/>
  <c r="F200" i="6"/>
  <c r="F199" i="6"/>
  <c r="P191" i="6"/>
  <c r="Q191" i="6"/>
  <c r="P192" i="6"/>
  <c r="Q192" i="6"/>
  <c r="O192" i="6"/>
  <c r="O191" i="6"/>
  <c r="M191" i="6"/>
  <c r="N191" i="6"/>
  <c r="M192" i="6"/>
  <c r="N192" i="6"/>
  <c r="L192" i="6"/>
  <c r="J191" i="6"/>
  <c r="K191" i="6"/>
  <c r="J192" i="6"/>
  <c r="K192" i="6"/>
  <c r="I191" i="6"/>
  <c r="G191" i="6"/>
  <c r="H191" i="6"/>
  <c r="G192" i="6"/>
  <c r="H192" i="6"/>
  <c r="F192" i="6"/>
  <c r="F191" i="6"/>
  <c r="F182" i="6"/>
  <c r="G174" i="6"/>
  <c r="H174" i="6"/>
  <c r="G175" i="6"/>
  <c r="H175" i="6"/>
  <c r="F175" i="6"/>
  <c r="G178" i="6"/>
  <c r="H178" i="6"/>
  <c r="G179" i="6"/>
  <c r="H179" i="6"/>
  <c r="F179" i="6"/>
  <c r="S165" i="6"/>
  <c r="T165" i="6"/>
  <c r="S166" i="6"/>
  <c r="T166" i="6"/>
  <c r="S167" i="6"/>
  <c r="T167" i="6"/>
  <c r="R167" i="6"/>
  <c r="R166" i="6"/>
  <c r="P165" i="6"/>
  <c r="Q165" i="6"/>
  <c r="P166" i="6"/>
  <c r="Q166" i="6"/>
  <c r="P167" i="6"/>
  <c r="Q167" i="6"/>
  <c r="M165" i="6"/>
  <c r="N165" i="6"/>
  <c r="M166" i="6"/>
  <c r="N166" i="6"/>
  <c r="M167" i="6"/>
  <c r="N167" i="6"/>
  <c r="L166" i="6"/>
  <c r="J165" i="6"/>
  <c r="K165" i="6"/>
  <c r="J166" i="6"/>
  <c r="K166" i="6"/>
  <c r="J167" i="6"/>
  <c r="K167" i="6"/>
  <c r="G165" i="6"/>
  <c r="H165" i="6"/>
  <c r="G166" i="6"/>
  <c r="H166" i="6"/>
  <c r="G167" i="6"/>
  <c r="H167" i="6"/>
  <c r="J157" i="6"/>
  <c r="K157" i="6"/>
  <c r="J158" i="6"/>
  <c r="K158" i="6"/>
  <c r="J154" i="6"/>
  <c r="K154" i="6"/>
  <c r="J152" i="6"/>
  <c r="K152" i="6"/>
  <c r="I152" i="6"/>
  <c r="J148" i="6"/>
  <c r="K148" i="6"/>
  <c r="J149" i="6"/>
  <c r="K149" i="6"/>
  <c r="J145" i="6"/>
  <c r="K145" i="6"/>
  <c r="I145" i="6"/>
  <c r="J143" i="6"/>
  <c r="K143" i="6"/>
  <c r="G149" i="6"/>
  <c r="H149" i="6"/>
  <c r="Z132" i="6"/>
  <c r="AA132" i="6"/>
  <c r="Y132" i="6"/>
  <c r="W132" i="6"/>
  <c r="X132" i="6"/>
  <c r="V132" i="6"/>
  <c r="T132" i="6"/>
  <c r="U132" i="6"/>
  <c r="T133" i="6"/>
  <c r="U133" i="6"/>
  <c r="T136" i="6"/>
  <c r="U136" i="6"/>
  <c r="S136" i="6"/>
  <c r="S133" i="6"/>
  <c r="P132" i="6"/>
  <c r="Q132" i="6"/>
  <c r="O132" i="6"/>
  <c r="M132" i="6"/>
  <c r="N132" i="6"/>
  <c r="L132" i="6"/>
  <c r="J132" i="6"/>
  <c r="K132" i="6"/>
  <c r="F133" i="6"/>
  <c r="G132" i="6"/>
  <c r="H132" i="6"/>
  <c r="G136" i="6"/>
  <c r="H136" i="6"/>
  <c r="F136" i="6"/>
  <c r="F132" i="6"/>
  <c r="I103" i="6"/>
  <c r="I102" i="6"/>
  <c r="G113" i="6"/>
  <c r="H113" i="6"/>
  <c r="G114" i="6"/>
  <c r="H114" i="6"/>
  <c r="G115" i="6"/>
  <c r="H115" i="6"/>
  <c r="G116" i="6"/>
  <c r="H116" i="6"/>
  <c r="G117" i="6"/>
  <c r="H117" i="6"/>
  <c r="F117" i="6"/>
  <c r="F116" i="6"/>
  <c r="F115" i="6"/>
  <c r="F113" i="6"/>
  <c r="G110" i="6"/>
  <c r="H110" i="6"/>
  <c r="F110" i="6"/>
  <c r="G102" i="6"/>
  <c r="H102" i="6"/>
  <c r="G103" i="6"/>
  <c r="H103" i="6"/>
  <c r="G104" i="6"/>
  <c r="H104" i="6"/>
  <c r="G105" i="6"/>
  <c r="H105" i="6"/>
  <c r="G106" i="6"/>
  <c r="H106" i="6"/>
  <c r="G107" i="6"/>
  <c r="H107" i="6"/>
  <c r="G108" i="6"/>
  <c r="H108" i="6"/>
  <c r="F108" i="6"/>
  <c r="F107" i="6"/>
  <c r="F106" i="6"/>
  <c r="F105" i="6"/>
  <c r="F104" i="6"/>
  <c r="F103" i="6"/>
  <c r="F35" i="6"/>
  <c r="J93" i="6"/>
  <c r="K93" i="6"/>
  <c r="G95" i="6"/>
  <c r="H95" i="6"/>
  <c r="G93" i="6"/>
  <c r="H93" i="6"/>
  <c r="O85" i="6"/>
  <c r="O84" i="6" s="1"/>
  <c r="O83" i="6" s="1"/>
  <c r="O82" i="6" s="1"/>
  <c r="I86" i="6"/>
  <c r="G86" i="6"/>
  <c r="H86" i="6"/>
  <c r="F86" i="6"/>
  <c r="J61" i="6"/>
  <c r="K61" i="6"/>
  <c r="J62" i="6"/>
  <c r="K62" i="6"/>
  <c r="J63" i="6"/>
  <c r="K63" i="6"/>
  <c r="J65" i="6"/>
  <c r="J64" i="6" s="1"/>
  <c r="K65" i="6"/>
  <c r="K64" i="6" s="1"/>
  <c r="J67" i="6"/>
  <c r="K67" i="6"/>
  <c r="J68" i="6"/>
  <c r="K68" i="6"/>
  <c r="J70" i="6"/>
  <c r="J69" i="6" s="1"/>
  <c r="K70" i="6"/>
  <c r="K69" i="6" s="1"/>
  <c r="J73" i="6"/>
  <c r="J72" i="6" s="1"/>
  <c r="K73" i="6"/>
  <c r="K72" i="6" s="1"/>
  <c r="J75" i="6"/>
  <c r="J74" i="6" s="1"/>
  <c r="K75" i="6"/>
  <c r="K74" i="6" s="1"/>
  <c r="J78" i="6"/>
  <c r="J77" i="6" s="1"/>
  <c r="J76" i="6" s="1"/>
  <c r="K78" i="6"/>
  <c r="K77" i="6" s="1"/>
  <c r="K76" i="6" s="1"/>
  <c r="I63" i="6"/>
  <c r="G70" i="6"/>
  <c r="H70" i="6"/>
  <c r="J47" i="6"/>
  <c r="K47" i="6"/>
  <c r="I47" i="6"/>
  <c r="S45" i="6"/>
  <c r="T45" i="6"/>
  <c r="R45" i="6"/>
  <c r="R30" i="6"/>
  <c r="R29" i="6" s="1"/>
  <c r="S30" i="6"/>
  <c r="S29" i="6" s="1"/>
  <c r="T30" i="6"/>
  <c r="T29" i="6" s="1"/>
  <c r="P31" i="6"/>
  <c r="Q31" i="6"/>
  <c r="P33" i="6"/>
  <c r="Q33" i="6"/>
  <c r="P34" i="6"/>
  <c r="Q34" i="6"/>
  <c r="P37" i="6"/>
  <c r="Q37" i="6"/>
  <c r="P38" i="6"/>
  <c r="Q38" i="6"/>
  <c r="P45" i="6"/>
  <c r="P44" i="6" s="1"/>
  <c r="Q45" i="6"/>
  <c r="P47" i="6"/>
  <c r="P46" i="6" s="1"/>
  <c r="Q47" i="6"/>
  <c r="Q46" i="6" s="1"/>
  <c r="P49" i="6"/>
  <c r="Q49" i="6"/>
  <c r="P50" i="6"/>
  <c r="Q50" i="6"/>
  <c r="P53" i="6"/>
  <c r="Q53" i="6"/>
  <c r="P54" i="6"/>
  <c r="Q54" i="6"/>
  <c r="O54" i="6"/>
  <c r="O50" i="6"/>
  <c r="O49" i="6"/>
  <c r="O47" i="6"/>
  <c r="O45" i="6"/>
  <c r="M50" i="6"/>
  <c r="N50" i="6"/>
  <c r="J24" i="6"/>
  <c r="J23" i="6" s="1"/>
  <c r="J22" i="6" s="1"/>
  <c r="J21" i="6" s="1"/>
  <c r="K24" i="6"/>
  <c r="K23" i="6" s="1"/>
  <c r="K22" i="6" s="1"/>
  <c r="K21" i="6" s="1"/>
  <c r="G24" i="6"/>
  <c r="G23" i="6" s="1"/>
  <c r="G22" i="6" s="1"/>
  <c r="G21" i="6" s="1"/>
  <c r="H24" i="6"/>
  <c r="H23" i="6" s="1"/>
  <c r="H22" i="6" s="1"/>
  <c r="H21" i="6" s="1"/>
  <c r="F49" i="6"/>
  <c r="F39" i="6"/>
  <c r="F16" i="5"/>
  <c r="G16" i="5"/>
  <c r="F17" i="5"/>
  <c r="G17" i="5"/>
  <c r="F24" i="6"/>
  <c r="P30" i="6" l="1"/>
  <c r="V31" i="6"/>
  <c r="Q36" i="6"/>
  <c r="W37" i="6"/>
  <c r="Q32" i="6"/>
  <c r="W33" i="6"/>
  <c r="P36" i="6"/>
  <c r="V37" i="6"/>
  <c r="P32" i="6"/>
  <c r="V33" i="6"/>
  <c r="Q30" i="6"/>
  <c r="W31" i="6"/>
  <c r="N149" i="6"/>
  <c r="H84" i="6"/>
  <c r="H83" i="6" s="1"/>
  <c r="H82" i="6" s="1"/>
  <c r="T86" i="6"/>
  <c r="G84" i="6"/>
  <c r="G83" i="6" s="1"/>
  <c r="G82" i="6" s="1"/>
  <c r="S86" i="6"/>
  <c r="H173" i="6"/>
  <c r="H172" i="6" s="1"/>
  <c r="P52" i="6"/>
  <c r="P51" i="6" s="1"/>
  <c r="P48" i="6"/>
  <c r="P43" i="6" s="1"/>
  <c r="P164" i="6"/>
  <c r="P163" i="6" s="1"/>
  <c r="P162" i="6" s="1"/>
  <c r="G173" i="6"/>
  <c r="G172" i="6" s="1"/>
  <c r="K66" i="6"/>
  <c r="W45" i="6"/>
  <c r="W44" i="6" s="1"/>
  <c r="M164" i="6"/>
  <c r="M163" i="6" s="1"/>
  <c r="M162" i="6" s="1"/>
  <c r="Q164" i="6"/>
  <c r="Q163" i="6" s="1"/>
  <c r="Q162" i="6" s="1"/>
  <c r="S164" i="6"/>
  <c r="S163" i="6" s="1"/>
  <c r="S162" i="6" s="1"/>
  <c r="T164" i="6"/>
  <c r="T163" i="6" s="1"/>
  <c r="T162" i="6" s="1"/>
  <c r="M24" i="6"/>
  <c r="M23" i="6" s="1"/>
  <c r="M22" i="6" s="1"/>
  <c r="M21" i="6" s="1"/>
  <c r="N24" i="6"/>
  <c r="N23" i="6" s="1"/>
  <c r="N22" i="6" s="1"/>
  <c r="N21" i="6" s="1"/>
  <c r="G15" i="5"/>
  <c r="G14" i="5" s="1"/>
  <c r="F15" i="5"/>
  <c r="F14" i="5" s="1"/>
  <c r="F13" i="5" s="1"/>
  <c r="G4" i="11" s="1"/>
  <c r="L4" i="11" s="1"/>
  <c r="V45" i="6"/>
  <c r="V44" i="6" s="1"/>
  <c r="N164" i="6"/>
  <c r="N163" i="6" s="1"/>
  <c r="N162" i="6" s="1"/>
  <c r="Q52" i="6"/>
  <c r="Q51" i="6" s="1"/>
  <c r="Q48" i="6"/>
  <c r="Q44" i="6"/>
  <c r="J66" i="6"/>
  <c r="K60" i="6"/>
  <c r="J60" i="6"/>
  <c r="K71" i="6"/>
  <c r="J71" i="6"/>
  <c r="G13" i="5" l="1"/>
  <c r="I4" i="11" s="1"/>
  <c r="J4" i="11" s="1"/>
  <c r="Q29" i="6"/>
  <c r="P29" i="6"/>
  <c r="P28" i="6" s="1"/>
  <c r="K59" i="6"/>
  <c r="K58" i="6" s="1"/>
  <c r="Q43" i="6"/>
  <c r="J59" i="6"/>
  <c r="J58" i="6" s="1"/>
  <c r="BQ24" i="1"/>
  <c r="BR24" i="1"/>
  <c r="BG286" i="1"/>
  <c r="BD264" i="1"/>
  <c r="BD263" i="1"/>
  <c r="AO220" i="1"/>
  <c r="Q28" i="6" l="1"/>
  <c r="L165" i="6"/>
  <c r="L191" i="6"/>
  <c r="BP202" i="1"/>
  <c r="AL236" i="1"/>
  <c r="AL235" i="1"/>
  <c r="AL229" i="1"/>
  <c r="AL228" i="1"/>
  <c r="AL207" i="1"/>
  <c r="BP206" i="1"/>
  <c r="AL205" i="1"/>
  <c r="BR166" i="1"/>
  <c r="BQ166" i="1"/>
  <c r="BR167" i="1"/>
  <c r="BQ167" i="1"/>
  <c r="BR168" i="1"/>
  <c r="BQ168" i="1"/>
  <c r="BR179" i="1"/>
  <c r="BQ179" i="1"/>
  <c r="BQ180" i="1"/>
  <c r="BR180" i="1"/>
  <c r="BR181" i="1"/>
  <c r="BR182" i="1"/>
  <c r="BQ181" i="1"/>
  <c r="BQ182" i="1"/>
  <c r="BQ183" i="1"/>
  <c r="BQ184" i="1"/>
  <c r="BQ185" i="1"/>
  <c r="BR187" i="1"/>
  <c r="BQ187" i="1"/>
  <c r="BR188" i="1"/>
  <c r="BQ188" i="1"/>
  <c r="BR189" i="1"/>
  <c r="BQ189" i="1"/>
  <c r="BR190" i="1"/>
  <c r="BQ190" i="1"/>
  <c r="BR191" i="1"/>
  <c r="BQ191" i="1"/>
  <c r="BR192" i="1"/>
  <c r="BQ192" i="1"/>
  <c r="BR194" i="1"/>
  <c r="BQ194" i="1"/>
  <c r="BR195" i="1"/>
  <c r="BQ195" i="1"/>
  <c r="BR196" i="1"/>
  <c r="BQ196" i="1"/>
  <c r="BP196" i="1"/>
  <c r="BR197" i="1"/>
  <c r="BQ197" i="1"/>
  <c r="BR199" i="1"/>
  <c r="BR200" i="1"/>
  <c r="BQ199" i="1"/>
  <c r="BQ200" i="1"/>
  <c r="BP198" i="1"/>
  <c r="BD200" i="1"/>
  <c r="BP200" i="1" s="1"/>
  <c r="BD189" i="1"/>
  <c r="BD175" i="1"/>
  <c r="BD174" i="1"/>
  <c r="BD172" i="1"/>
  <c r="BD171" i="1"/>
  <c r="BD166" i="1"/>
  <c r="BP162" i="1"/>
  <c r="BP161" i="1"/>
  <c r="BP160" i="1"/>
  <c r="BP159" i="1"/>
  <c r="BP154" i="1"/>
  <c r="BP150" i="1"/>
  <c r="BP149" i="1"/>
  <c r="BP148" i="1"/>
  <c r="BP147" i="1"/>
  <c r="BP141" i="1"/>
  <c r="BP138" i="1"/>
  <c r="BP134" i="1"/>
  <c r="BP132" i="1"/>
  <c r="BQ164" i="1"/>
  <c r="BQ158" i="1"/>
  <c r="BR157" i="1"/>
  <c r="BR155" i="1"/>
  <c r="BQ155" i="1"/>
  <c r="BQ154" i="1"/>
  <c r="BR152" i="1"/>
  <c r="BQ152" i="1"/>
  <c r="BQ151" i="1"/>
  <c r="BQ149" i="1"/>
  <c r="BR147" i="1"/>
  <c r="BQ147" i="1"/>
  <c r="BR144" i="1"/>
  <c r="BQ144" i="1"/>
  <c r="BQ143" i="1"/>
  <c r="BR137" i="1"/>
  <c r="BQ137" i="1"/>
  <c r="BR135" i="1"/>
  <c r="BQ135" i="1"/>
  <c r="BR130" i="1"/>
  <c r="BD163" i="1"/>
  <c r="BP163" i="1" s="1"/>
  <c r="BD153" i="1"/>
  <c r="BP153" i="1" s="1"/>
  <c r="BP152" i="1"/>
  <c r="BD140" i="1"/>
  <c r="BP140" i="1" s="1"/>
  <c r="BP137" i="1"/>
  <c r="I143" i="6" l="1"/>
  <c r="O167" i="6"/>
  <c r="G117" i="5"/>
  <c r="F136" i="5"/>
  <c r="F117" i="5"/>
  <c r="G134" i="5"/>
  <c r="G133" i="5" s="1"/>
  <c r="F130" i="5"/>
  <c r="G136" i="5"/>
  <c r="F127" i="5"/>
  <c r="F126" i="5" s="1"/>
  <c r="F125" i="5"/>
  <c r="F134" i="5"/>
  <c r="F133" i="5" s="1"/>
  <c r="G127" i="5"/>
  <c r="G126" i="5" s="1"/>
  <c r="G125" i="5"/>
  <c r="BP164" i="1"/>
  <c r="BP136" i="1"/>
  <c r="E117" i="5" l="1"/>
  <c r="G124" i="5"/>
  <c r="G135" i="5"/>
  <c r="G132" i="5" s="1"/>
  <c r="F135" i="5"/>
  <c r="F132" i="5" s="1"/>
  <c r="F124" i="5"/>
  <c r="BP135" i="1"/>
  <c r="BD88" i="1" l="1"/>
  <c r="O31" i="6"/>
  <c r="BD21" i="1"/>
  <c r="BD20" i="1"/>
  <c r="BD18" i="1"/>
  <c r="BP16" i="1"/>
  <c r="BP15" i="1"/>
  <c r="E11" i="5"/>
  <c r="BD8" i="1"/>
  <c r="L86" i="6" l="1"/>
  <c r="R86" i="6" s="1"/>
  <c r="BP85" i="1"/>
  <c r="F95" i="6"/>
  <c r="BP67" i="1"/>
  <c r="BD291" i="1"/>
  <c r="I192" i="6" l="1"/>
  <c r="BD307" i="1"/>
  <c r="BR288" i="1"/>
  <c r="BR291" i="1" l="1"/>
  <c r="BQ291" i="1"/>
  <c r="F167" i="6" l="1"/>
  <c r="BR299" i="1" l="1"/>
  <c r="BQ292" i="1"/>
  <c r="BR292" i="1"/>
  <c r="BQ293" i="1"/>
  <c r="BR293" i="1"/>
  <c r="BQ294" i="1"/>
  <c r="BR294" i="1"/>
  <c r="BQ295" i="1"/>
  <c r="BR295" i="1"/>
  <c r="BQ296" i="1"/>
  <c r="BR296" i="1"/>
  <c r="BQ297" i="1"/>
  <c r="BR297" i="1"/>
  <c r="BQ298" i="1"/>
  <c r="BR298" i="1"/>
  <c r="BQ299" i="1"/>
  <c r="BQ300" i="1"/>
  <c r="BR300" i="1"/>
  <c r="BQ301" i="1"/>
  <c r="BR301" i="1"/>
  <c r="G32" i="12" l="1"/>
  <c r="E29" i="12"/>
  <c r="G29" i="12"/>
  <c r="E33" i="12"/>
  <c r="G33" i="12"/>
  <c r="G178" i="5"/>
  <c r="G173" i="5"/>
  <c r="F178" i="5"/>
  <c r="F173" i="5"/>
  <c r="G180" i="5"/>
  <c r="G175" i="5"/>
  <c r="F180" i="5"/>
  <c r="F175" i="5"/>
  <c r="F179" i="5" l="1"/>
  <c r="G174" i="5"/>
  <c r="F174" i="5"/>
  <c r="F172" i="5"/>
  <c r="F177" i="5"/>
  <c r="G172" i="5"/>
  <c r="G179" i="5"/>
  <c r="G177" i="5"/>
  <c r="Z131" i="6"/>
  <c r="Z130" i="6" s="1"/>
  <c r="Z129" i="6" s="1"/>
  <c r="AA131" i="6"/>
  <c r="AA130" i="6" s="1"/>
  <c r="AA129" i="6" s="1"/>
  <c r="S44" i="6"/>
  <c r="S43" i="6" s="1"/>
  <c r="S28" i="6" s="1"/>
  <c r="T44" i="6"/>
  <c r="T43" i="6" s="1"/>
  <c r="T28" i="6" s="1"/>
  <c r="I109" i="6"/>
  <c r="J109" i="6"/>
  <c r="K109" i="6"/>
  <c r="I112" i="6"/>
  <c r="I111" i="6" s="1"/>
  <c r="J112" i="6"/>
  <c r="J111" i="6" s="1"/>
  <c r="K112" i="6"/>
  <c r="K111" i="6" s="1"/>
  <c r="F176" i="5" l="1"/>
  <c r="F171" i="5"/>
  <c r="G171" i="5"/>
  <c r="G176" i="5"/>
  <c r="H29" i="12"/>
  <c r="BG296" i="1"/>
  <c r="BG307" i="1" s="1"/>
  <c r="G170" i="5" l="1"/>
  <c r="I18" i="11" s="1"/>
  <c r="F170" i="5"/>
  <c r="G18" i="11" s="1"/>
  <c r="L18" i="11" s="1"/>
  <c r="F205" i="6"/>
  <c r="I205" i="6"/>
  <c r="BD187" i="1"/>
  <c r="BD186" i="1"/>
  <c r="I149" i="6" s="1"/>
  <c r="J18" i="11" l="1"/>
  <c r="G91" i="5"/>
  <c r="F91" i="5"/>
  <c r="E91" i="5"/>
  <c r="I101" i="6" l="1"/>
  <c r="I100" i="6" s="1"/>
  <c r="I99" i="6" s="1"/>
  <c r="J101" i="6"/>
  <c r="J100" i="6" s="1"/>
  <c r="J99" i="6" s="1"/>
  <c r="K101" i="6"/>
  <c r="K100" i="6" s="1"/>
  <c r="K99" i="6" s="1"/>
  <c r="BQ290" i="1"/>
  <c r="BR290" i="1"/>
  <c r="G168" i="5" l="1"/>
  <c r="F168" i="5"/>
  <c r="E20" i="11"/>
  <c r="K16" i="11"/>
  <c r="C34" i="11" l="1"/>
  <c r="C28" i="11"/>
  <c r="E16" i="11"/>
  <c r="E22" i="11" l="1"/>
  <c r="C48" i="11" s="1"/>
  <c r="C25" i="11"/>
  <c r="R165" i="6" l="1"/>
  <c r="BP282" i="1" l="1"/>
  <c r="BQ282" i="1"/>
  <c r="BR282" i="1"/>
  <c r="BP190" i="1" l="1"/>
  <c r="F149" i="6"/>
  <c r="BQ23" i="1"/>
  <c r="BR23" i="1"/>
  <c r="BQ22" i="1"/>
  <c r="BR22" i="1"/>
  <c r="BQ21" i="1"/>
  <c r="BR21" i="1"/>
  <c r="BQ20" i="1"/>
  <c r="BR20" i="1"/>
  <c r="BQ19" i="1"/>
  <c r="BR19" i="1"/>
  <c r="BQ18" i="1"/>
  <c r="BR18" i="1"/>
  <c r="BQ17" i="1"/>
  <c r="BQ16" i="1"/>
  <c r="BR16" i="1"/>
  <c r="BQ15" i="1"/>
  <c r="BR15" i="1"/>
  <c r="BQ14" i="1"/>
  <c r="BR14" i="1"/>
  <c r="BQ13" i="1"/>
  <c r="BR12" i="1"/>
  <c r="BQ12" i="1"/>
  <c r="BR17" i="1"/>
  <c r="BR13" i="1"/>
  <c r="H16" i="6" l="1"/>
  <c r="H17" i="6"/>
  <c r="G17" i="6"/>
  <c r="G16" i="6"/>
  <c r="I24" i="6" l="1"/>
  <c r="L24" i="6" s="1"/>
  <c r="L23" i="6" s="1"/>
  <c r="L22" i="6" s="1"/>
  <c r="L21" i="6" s="1"/>
  <c r="BJ306" i="1"/>
  <c r="H15" i="6"/>
  <c r="H14" i="6" s="1"/>
  <c r="H13" i="6" s="1"/>
  <c r="G15" i="6"/>
  <c r="G14" i="6" s="1"/>
  <c r="G13" i="6" s="1"/>
  <c r="BD277" i="1"/>
  <c r="F178" i="6"/>
  <c r="BD266" i="1"/>
  <c r="F174" i="6" s="1"/>
  <c r="BJ308" i="1" l="1"/>
  <c r="AO254" i="1"/>
  <c r="AO306" i="1" s="1"/>
  <c r="AO308" i="1" s="1"/>
  <c r="BD192" i="1"/>
  <c r="I154" i="6" s="1"/>
  <c r="BD185" i="1"/>
  <c r="BD182" i="1"/>
  <c r="BD176" i="1"/>
  <c r="BD169" i="1"/>
  <c r="I147" i="6" s="1"/>
  <c r="AL306" i="1" l="1"/>
  <c r="AL308" i="1" s="1"/>
  <c r="F166" i="6"/>
  <c r="I148" i="6"/>
  <c r="F165" i="6"/>
  <c r="BD116" i="1"/>
  <c r="BP116" i="1" s="1"/>
  <c r="BG84" i="1"/>
  <c r="I73" i="6"/>
  <c r="I70" i="6"/>
  <c r="I68" i="6"/>
  <c r="I65" i="6"/>
  <c r="I62" i="6"/>
  <c r="I61" i="6"/>
  <c r="O53" i="6"/>
  <c r="O37" i="6"/>
  <c r="O33" i="6"/>
  <c r="F70" i="6" l="1"/>
  <c r="AC306" i="1"/>
  <c r="AC308" i="1" s="1"/>
  <c r="I93" i="6"/>
  <c r="BG306" i="1"/>
  <c r="BG308" i="1" s="1"/>
  <c r="F102" i="6"/>
  <c r="BP92" i="1"/>
  <c r="I78" i="6"/>
  <c r="I67" i="6"/>
  <c r="I75" i="6"/>
  <c r="F50" i="6" l="1"/>
  <c r="L50" i="6"/>
  <c r="BA306" i="1"/>
  <c r="BA308" i="1" s="1"/>
  <c r="BP12" i="1"/>
  <c r="E16" i="5"/>
  <c r="BQ201" i="1" l="1"/>
  <c r="BQ202" i="1"/>
  <c r="BR202" i="1"/>
  <c r="BQ203" i="1"/>
  <c r="BR203" i="1"/>
  <c r="BQ204" i="1"/>
  <c r="BR204" i="1"/>
  <c r="BQ205" i="1"/>
  <c r="BR205" i="1"/>
  <c r="BQ206" i="1"/>
  <c r="BR206" i="1"/>
  <c r="BQ207" i="1"/>
  <c r="BR207" i="1"/>
  <c r="BQ208" i="1"/>
  <c r="BR208" i="1"/>
  <c r="BQ209" i="1"/>
  <c r="BR209" i="1"/>
  <c r="BQ210" i="1"/>
  <c r="BR210" i="1"/>
  <c r="BQ211" i="1"/>
  <c r="BR211" i="1"/>
  <c r="BQ212" i="1"/>
  <c r="BR212" i="1"/>
  <c r="BQ213" i="1"/>
  <c r="BR213" i="1"/>
  <c r="BQ214" i="1"/>
  <c r="BR214" i="1"/>
  <c r="BQ215" i="1"/>
  <c r="BR215" i="1"/>
  <c r="BQ216" i="1"/>
  <c r="BR216" i="1"/>
  <c r="BQ217" i="1"/>
  <c r="BR217" i="1"/>
  <c r="BQ218" i="1"/>
  <c r="BR218" i="1"/>
  <c r="BQ219" i="1"/>
  <c r="BR219" i="1"/>
  <c r="BQ220" i="1"/>
  <c r="BR220" i="1"/>
  <c r="BQ221" i="1"/>
  <c r="BR221" i="1"/>
  <c r="BQ222" i="1"/>
  <c r="BR222" i="1"/>
  <c r="BQ223" i="1"/>
  <c r="BR223" i="1"/>
  <c r="BQ224" i="1"/>
  <c r="BR224" i="1"/>
  <c r="BQ225" i="1"/>
  <c r="BR225" i="1"/>
  <c r="BQ226" i="1"/>
  <c r="BR226" i="1"/>
  <c r="BQ227" i="1"/>
  <c r="BR227" i="1"/>
  <c r="BQ228" i="1"/>
  <c r="BR228" i="1"/>
  <c r="BQ229" i="1"/>
  <c r="BR229" i="1"/>
  <c r="BQ230" i="1"/>
  <c r="BR230" i="1"/>
  <c r="BQ231" i="1"/>
  <c r="BR231" i="1"/>
  <c r="BQ232" i="1"/>
  <c r="BQ233" i="1"/>
  <c r="BR233" i="1"/>
  <c r="BQ234" i="1"/>
  <c r="BR234" i="1"/>
  <c r="BQ235" i="1"/>
  <c r="BR235" i="1"/>
  <c r="BQ236" i="1"/>
  <c r="BR236" i="1"/>
  <c r="BQ237" i="1"/>
  <c r="BR237" i="1"/>
  <c r="BQ238" i="1"/>
  <c r="BR238" i="1"/>
  <c r="BQ239" i="1"/>
  <c r="BR239" i="1"/>
  <c r="BQ240" i="1"/>
  <c r="BR240" i="1"/>
  <c r="BQ241" i="1"/>
  <c r="BR241" i="1"/>
  <c r="BQ242" i="1"/>
  <c r="BR242" i="1"/>
  <c r="BQ243" i="1"/>
  <c r="BR243" i="1"/>
  <c r="BQ244" i="1"/>
  <c r="BR244" i="1"/>
  <c r="BQ245" i="1"/>
  <c r="BR245" i="1"/>
  <c r="BQ246" i="1"/>
  <c r="BR246" i="1"/>
  <c r="BQ247" i="1"/>
  <c r="BR247" i="1"/>
  <c r="BQ248" i="1"/>
  <c r="BR248" i="1"/>
  <c r="BQ249" i="1"/>
  <c r="BR249" i="1"/>
  <c r="BQ250" i="1"/>
  <c r="BR250" i="1"/>
  <c r="BQ252" i="1"/>
  <c r="BR252" i="1"/>
  <c r="BQ253" i="1"/>
  <c r="BR253" i="1"/>
  <c r="BR254" i="1"/>
  <c r="BQ255" i="1"/>
  <c r="BR255" i="1"/>
  <c r="BQ256" i="1"/>
  <c r="BQ257" i="1"/>
  <c r="BR257" i="1"/>
  <c r="BQ258" i="1"/>
  <c r="BR258" i="1"/>
  <c r="BQ259" i="1"/>
  <c r="BR259" i="1"/>
  <c r="BQ260" i="1"/>
  <c r="BR260" i="1"/>
  <c r="BQ261" i="1"/>
  <c r="BR261" i="1"/>
  <c r="G147" i="5" l="1"/>
  <c r="F147" i="5"/>
  <c r="G146" i="5"/>
  <c r="G145" i="5"/>
  <c r="F146" i="5"/>
  <c r="F145" i="5"/>
  <c r="F144" i="5" l="1"/>
  <c r="F143" i="5" s="1"/>
  <c r="F142" i="5" s="1"/>
  <c r="G14" i="11" s="1"/>
  <c r="L14" i="11" s="1"/>
  <c r="G144" i="5"/>
  <c r="G143" i="5" s="1"/>
  <c r="G142" i="5" s="1"/>
  <c r="I14" i="11" s="1"/>
  <c r="J14" i="11" l="1"/>
  <c r="BQ302" i="1"/>
  <c r="BQ303" i="1"/>
  <c r="BQ304" i="1"/>
  <c r="BQ305" i="1"/>
  <c r="E32" i="12" l="1"/>
  <c r="H32" i="12" s="1"/>
  <c r="F185" i="5"/>
  <c r="G185" i="5"/>
  <c r="J94" i="6"/>
  <c r="K94" i="6"/>
  <c r="G184" i="5" l="1"/>
  <c r="G183" i="5" s="1"/>
  <c r="G182" i="5" s="1"/>
  <c r="I19" i="11" s="1"/>
  <c r="F184" i="5"/>
  <c r="F183" i="5" s="1"/>
  <c r="F182" i="5" s="1"/>
  <c r="G19" i="11" s="1"/>
  <c r="L19" i="11" s="1"/>
  <c r="W136" i="6"/>
  <c r="W135" i="6" s="1"/>
  <c r="W134" i="6" s="1"/>
  <c r="X136" i="6"/>
  <c r="X135" i="6" s="1"/>
  <c r="X134" i="6" s="1"/>
  <c r="E31" i="12" l="1"/>
  <c r="J19" i="11"/>
  <c r="H33" i="12"/>
  <c r="G31" i="12"/>
  <c r="D144" i="10"/>
  <c r="F144" i="10"/>
  <c r="D156" i="10"/>
  <c r="F156" i="10"/>
  <c r="D157" i="10"/>
  <c r="F157" i="10"/>
  <c r="D164" i="10"/>
  <c r="F164" i="10"/>
  <c r="G144" i="6"/>
  <c r="H144" i="6"/>
  <c r="N148" i="6"/>
  <c r="G151" i="6"/>
  <c r="G158" i="6"/>
  <c r="H158" i="6"/>
  <c r="V136" i="6"/>
  <c r="V135" i="6" s="1"/>
  <c r="V134" i="6" s="1"/>
  <c r="G135" i="6"/>
  <c r="G134" i="6" s="1"/>
  <c r="H135" i="6"/>
  <c r="H134" i="6" s="1"/>
  <c r="J135" i="6"/>
  <c r="J134" i="6" s="1"/>
  <c r="K135" i="6"/>
  <c r="K134" i="6" s="1"/>
  <c r="M135" i="6"/>
  <c r="M134" i="6" s="1"/>
  <c r="N135" i="6"/>
  <c r="N134" i="6" s="1"/>
  <c r="P135" i="6"/>
  <c r="P134" i="6" s="1"/>
  <c r="Q135" i="6"/>
  <c r="Q134" i="6" s="1"/>
  <c r="M32" i="6"/>
  <c r="N32" i="6"/>
  <c r="M34" i="6"/>
  <c r="M36" i="6"/>
  <c r="N36" i="6"/>
  <c r="M38" i="6"/>
  <c r="N38" i="6"/>
  <c r="M46" i="6"/>
  <c r="N46" i="6"/>
  <c r="H31" i="12" l="1"/>
  <c r="G157" i="10"/>
  <c r="G144" i="10"/>
  <c r="G156" i="10"/>
  <c r="D163" i="10"/>
  <c r="F163" i="10"/>
  <c r="G164" i="10"/>
  <c r="V54" i="6"/>
  <c r="G46" i="6"/>
  <c r="V47" i="6"/>
  <c r="V46" i="6" s="1"/>
  <c r="G32" i="6"/>
  <c r="V32" i="6"/>
  <c r="H36" i="6"/>
  <c r="W36" i="6"/>
  <c r="G36" i="6"/>
  <c r="V36" i="6"/>
  <c r="W54" i="6"/>
  <c r="H46" i="6"/>
  <c r="W47" i="6"/>
  <c r="W46" i="6" s="1"/>
  <c r="H32" i="6"/>
  <c r="W32" i="6"/>
  <c r="E53" i="9"/>
  <c r="G53" i="9"/>
  <c r="G74" i="6"/>
  <c r="G72" i="6"/>
  <c r="G64" i="6"/>
  <c r="H77" i="6"/>
  <c r="H76" i="6" s="1"/>
  <c r="G58" i="9"/>
  <c r="E58" i="9"/>
  <c r="G156" i="6"/>
  <c r="G155" i="6" s="1"/>
  <c r="H151" i="6"/>
  <c r="H153" i="6"/>
  <c r="G153" i="6"/>
  <c r="G150" i="6" s="1"/>
  <c r="H156" i="6"/>
  <c r="H155" i="6" s="1"/>
  <c r="G77" i="6"/>
  <c r="G76" i="6" s="1"/>
  <c r="H64" i="6"/>
  <c r="G66" i="6"/>
  <c r="H72" i="6"/>
  <c r="H66" i="6"/>
  <c r="H74" i="6"/>
  <c r="H52" i="6"/>
  <c r="H51" i="6" s="1"/>
  <c r="N34" i="6"/>
  <c r="G52" i="6"/>
  <c r="G51" i="6" s="1"/>
  <c r="G163" i="10" l="1"/>
  <c r="H58" i="9"/>
  <c r="H53" i="9"/>
  <c r="G71" i="6"/>
  <c r="H150" i="6"/>
  <c r="H71" i="6"/>
  <c r="H211" i="6" l="1"/>
  <c r="H210" i="6" s="1"/>
  <c r="H209" i="6" s="1"/>
  <c r="G202" i="6"/>
  <c r="N200" i="6"/>
  <c r="D161" i="10"/>
  <c r="F161" i="10"/>
  <c r="D160" i="10"/>
  <c r="F160" i="10"/>
  <c r="BR286" i="1"/>
  <c r="BQ287" i="1"/>
  <c r="BR287" i="1"/>
  <c r="BQ288" i="1"/>
  <c r="BQ289" i="1"/>
  <c r="BR289" i="1"/>
  <c r="E55" i="9"/>
  <c r="G55" i="9"/>
  <c r="Q190" i="6"/>
  <c r="Q189" i="6" s="1"/>
  <c r="Q188" i="6" s="1"/>
  <c r="G181" i="6"/>
  <c r="G180" i="6" s="1"/>
  <c r="BQ35" i="1"/>
  <c r="BR35" i="1"/>
  <c r="BQ36" i="1"/>
  <c r="BP35" i="1"/>
  <c r="BQ57" i="1"/>
  <c r="BR57" i="1"/>
  <c r="BP57" i="1"/>
  <c r="BQ262" i="1"/>
  <c r="BR262" i="1"/>
  <c r="BQ263" i="1"/>
  <c r="BR263" i="1"/>
  <c r="BQ264" i="1"/>
  <c r="BR264" i="1"/>
  <c r="BQ265" i="1"/>
  <c r="BR265" i="1"/>
  <c r="BQ266" i="1"/>
  <c r="BR266" i="1"/>
  <c r="BQ267" i="1"/>
  <c r="BR267" i="1"/>
  <c r="BQ268" i="1"/>
  <c r="BR268" i="1"/>
  <c r="BQ269" i="1"/>
  <c r="BR269" i="1"/>
  <c r="BQ270" i="1"/>
  <c r="BR270" i="1"/>
  <c r="BQ271" i="1"/>
  <c r="BR271" i="1"/>
  <c r="BQ272" i="1"/>
  <c r="BR272" i="1"/>
  <c r="BQ273" i="1"/>
  <c r="BR273" i="1"/>
  <c r="BQ274" i="1"/>
  <c r="BR274" i="1"/>
  <c r="BQ275" i="1"/>
  <c r="BR275" i="1"/>
  <c r="BQ276" i="1"/>
  <c r="BR276" i="1"/>
  <c r="BQ277" i="1"/>
  <c r="BR277" i="1"/>
  <c r="BQ278" i="1"/>
  <c r="BR278" i="1"/>
  <c r="BQ279" i="1"/>
  <c r="BR279" i="1"/>
  <c r="BQ280" i="1"/>
  <c r="BR280" i="1"/>
  <c r="BQ281" i="1"/>
  <c r="BR281" i="1"/>
  <c r="BQ283" i="1"/>
  <c r="BR283" i="1"/>
  <c r="BQ284" i="1"/>
  <c r="BR284" i="1"/>
  <c r="BQ285" i="1"/>
  <c r="BR285" i="1"/>
  <c r="D143" i="10"/>
  <c r="F143" i="10"/>
  <c r="D129" i="10"/>
  <c r="F131" i="10"/>
  <c r="D133" i="10"/>
  <c r="F133" i="10"/>
  <c r="F134" i="10"/>
  <c r="D136" i="10"/>
  <c r="F136" i="10"/>
  <c r="D137" i="10"/>
  <c r="F137" i="10"/>
  <c r="D138" i="10"/>
  <c r="F138" i="10"/>
  <c r="D139" i="10"/>
  <c r="F139" i="10"/>
  <c r="D140" i="10"/>
  <c r="F140" i="10"/>
  <c r="D141" i="10"/>
  <c r="F141" i="10"/>
  <c r="D142" i="10"/>
  <c r="F142" i="10"/>
  <c r="D124" i="10"/>
  <c r="F125" i="10"/>
  <c r="D126" i="10"/>
  <c r="F126" i="10"/>
  <c r="F128" i="10"/>
  <c r="M148" i="6"/>
  <c r="BQ198" i="1"/>
  <c r="BR198" i="1"/>
  <c r="D121" i="10"/>
  <c r="F121" i="10"/>
  <c r="D114" i="10"/>
  <c r="F114" i="10"/>
  <c r="BQ193" i="1"/>
  <c r="BR193" i="1"/>
  <c r="F112" i="10"/>
  <c r="D111" i="10"/>
  <c r="F111" i="10"/>
  <c r="D115" i="10"/>
  <c r="F115" i="10"/>
  <c r="D116" i="10"/>
  <c r="F116" i="10"/>
  <c r="D118" i="10"/>
  <c r="F118" i="10"/>
  <c r="D117" i="10"/>
  <c r="BQ186" i="1"/>
  <c r="BR186" i="1"/>
  <c r="D110" i="10"/>
  <c r="F110" i="10"/>
  <c r="D103" i="10"/>
  <c r="F103" i="10"/>
  <c r="D104" i="10"/>
  <c r="F104" i="10"/>
  <c r="D105" i="10"/>
  <c r="F105" i="10"/>
  <c r="D106" i="10"/>
  <c r="F106" i="10"/>
  <c r="BR183" i="1"/>
  <c r="BR184" i="1"/>
  <c r="D108" i="10"/>
  <c r="BR185" i="1"/>
  <c r="E30" i="12" l="1"/>
  <c r="G30" i="12"/>
  <c r="G23" i="12"/>
  <c r="E23" i="12"/>
  <c r="G7" i="12"/>
  <c r="E7" i="12"/>
  <c r="G140" i="5"/>
  <c r="F140" i="5"/>
  <c r="F139" i="5"/>
  <c r="G139" i="5"/>
  <c r="F108" i="10"/>
  <c r="G108" i="10" s="1"/>
  <c r="D44" i="10"/>
  <c r="F44" i="10"/>
  <c r="F30" i="10"/>
  <c r="D30" i="10"/>
  <c r="G116" i="10"/>
  <c r="G111" i="10"/>
  <c r="G118" i="10"/>
  <c r="G115" i="10"/>
  <c r="H55" i="9"/>
  <c r="G160" i="10"/>
  <c r="G105" i="10"/>
  <c r="G103" i="10"/>
  <c r="G121" i="10"/>
  <c r="G141" i="10"/>
  <c r="G139" i="10"/>
  <c r="G137" i="10"/>
  <c r="G133" i="10"/>
  <c r="G143" i="10"/>
  <c r="G106" i="10"/>
  <c r="G104" i="10"/>
  <c r="G110" i="10"/>
  <c r="G114" i="10"/>
  <c r="G126" i="10"/>
  <c r="G142" i="10"/>
  <c r="G140" i="10"/>
  <c r="G138" i="10"/>
  <c r="G136" i="10"/>
  <c r="G161" i="10"/>
  <c r="BQ307" i="1"/>
  <c r="BR307" i="1"/>
  <c r="F160" i="5"/>
  <c r="F156" i="5"/>
  <c r="F152" i="5"/>
  <c r="D29" i="10"/>
  <c r="F43" i="5"/>
  <c r="F42" i="5" s="1"/>
  <c r="F151" i="10"/>
  <c r="G157" i="5"/>
  <c r="G153" i="5"/>
  <c r="G130" i="5"/>
  <c r="F131" i="5"/>
  <c r="D151" i="10"/>
  <c r="F157" i="5"/>
  <c r="F153" i="5"/>
  <c r="F167" i="5"/>
  <c r="G131" i="5"/>
  <c r="G167" i="5"/>
  <c r="G160" i="5"/>
  <c r="G156" i="5"/>
  <c r="G152" i="5"/>
  <c r="F29" i="10"/>
  <c r="G43" i="5"/>
  <c r="G42" i="5" s="1"/>
  <c r="D119" i="10"/>
  <c r="F120" i="10"/>
  <c r="D120" i="10"/>
  <c r="F119" i="10"/>
  <c r="S192" i="6"/>
  <c r="T191" i="6"/>
  <c r="T192" i="6"/>
  <c r="H198" i="6"/>
  <c r="H197" i="6" s="1"/>
  <c r="H177" i="6"/>
  <c r="H176" i="6" s="1"/>
  <c r="F107" i="10"/>
  <c r="F113" i="10"/>
  <c r="K164" i="6"/>
  <c r="K163" i="6" s="1"/>
  <c r="K162" i="6" s="1"/>
  <c r="F150" i="10"/>
  <c r="F148" i="10"/>
  <c r="F147" i="10"/>
  <c r="N199" i="6"/>
  <c r="N198" i="6" s="1"/>
  <c r="N197" i="6" s="1"/>
  <c r="K198" i="6"/>
  <c r="K197" i="6" s="1"/>
  <c r="D159" i="10"/>
  <c r="F162" i="10"/>
  <c r="M200" i="6"/>
  <c r="H202" i="6"/>
  <c r="G204" i="6"/>
  <c r="G201" i="6" s="1"/>
  <c r="D107" i="10"/>
  <c r="D113" i="10"/>
  <c r="F117" i="10"/>
  <c r="G117" i="10" s="1"/>
  <c r="M149" i="6"/>
  <c r="J164" i="6"/>
  <c r="J163" i="6" s="1"/>
  <c r="J162" i="6" s="1"/>
  <c r="F149" i="10"/>
  <c r="D147" i="10"/>
  <c r="F155" i="10"/>
  <c r="F159" i="10"/>
  <c r="J202" i="6"/>
  <c r="M203" i="6"/>
  <c r="M202" i="6" s="1"/>
  <c r="K204" i="6"/>
  <c r="D162" i="10"/>
  <c r="H204" i="6"/>
  <c r="W167" i="6"/>
  <c r="F145" i="10"/>
  <c r="V167" i="6"/>
  <c r="D145" i="10"/>
  <c r="W166" i="6"/>
  <c r="V166" i="6"/>
  <c r="F135" i="10"/>
  <c r="D135" i="10"/>
  <c r="D134" i="10"/>
  <c r="F132" i="10"/>
  <c r="D132" i="10"/>
  <c r="D131" i="10"/>
  <c r="F130" i="10"/>
  <c r="D130" i="10"/>
  <c r="F129" i="10"/>
  <c r="G129" i="10" s="1"/>
  <c r="D128" i="10"/>
  <c r="F127" i="10"/>
  <c r="D127" i="10"/>
  <c r="D125" i="10"/>
  <c r="F124" i="10"/>
  <c r="G124" i="10" s="1"/>
  <c r="D123" i="10"/>
  <c r="F123" i="10"/>
  <c r="N190" i="6"/>
  <c r="N189" i="6" s="1"/>
  <c r="N188" i="6" s="1"/>
  <c r="M190" i="6"/>
  <c r="M189" i="6" s="1"/>
  <c r="M188" i="6" s="1"/>
  <c r="K190" i="6"/>
  <c r="K189" i="6" s="1"/>
  <c r="K188" i="6" s="1"/>
  <c r="D155" i="10"/>
  <c r="P190" i="6"/>
  <c r="P189" i="6" s="1"/>
  <c r="P188" i="6" s="1"/>
  <c r="G211" i="6"/>
  <c r="G210" i="6" s="1"/>
  <c r="G209" i="6" s="1"/>
  <c r="M157" i="6"/>
  <c r="D112" i="10"/>
  <c r="G112" i="10" s="1"/>
  <c r="J153" i="6"/>
  <c r="M154" i="6"/>
  <c r="M153" i="6" s="1"/>
  <c r="J151" i="6"/>
  <c r="M152" i="6"/>
  <c r="M151" i="6" s="1"/>
  <c r="F109" i="10"/>
  <c r="D109" i="10"/>
  <c r="F152" i="10"/>
  <c r="D152" i="10"/>
  <c r="H181" i="6"/>
  <c r="H180" i="6" s="1"/>
  <c r="D150" i="10"/>
  <c r="G177" i="6"/>
  <c r="G176" i="6" s="1"/>
  <c r="G171" i="6" s="1"/>
  <c r="D149" i="10"/>
  <c r="D148" i="10"/>
  <c r="D97" i="10"/>
  <c r="F97" i="10"/>
  <c r="D99" i="10"/>
  <c r="F99" i="10"/>
  <c r="D100" i="10"/>
  <c r="F100" i="10"/>
  <c r="D102" i="10"/>
  <c r="F102" i="10"/>
  <c r="D95" i="10"/>
  <c r="F95" i="10"/>
  <c r="H7" i="12" l="1"/>
  <c r="G138" i="5"/>
  <c r="G137" i="5" s="1"/>
  <c r="F138" i="5"/>
  <c r="F137" i="5" s="1"/>
  <c r="F159" i="5"/>
  <c r="F158" i="5" s="1"/>
  <c r="G19" i="9"/>
  <c r="G166" i="5"/>
  <c r="G165" i="5" s="1"/>
  <c r="G164" i="5" s="1"/>
  <c r="I17" i="11" s="1"/>
  <c r="G159" i="5"/>
  <c r="G158" i="5" s="1"/>
  <c r="F166" i="5"/>
  <c r="F165" i="5" s="1"/>
  <c r="F164" i="5" s="1"/>
  <c r="G17" i="11" s="1"/>
  <c r="L17" i="11" s="1"/>
  <c r="E19" i="9"/>
  <c r="G44" i="10"/>
  <c r="G30" i="10"/>
  <c r="G95" i="10"/>
  <c r="G100" i="10"/>
  <c r="G97" i="10"/>
  <c r="G159" i="10"/>
  <c r="G152" i="10"/>
  <c r="G127" i="10"/>
  <c r="G130" i="10"/>
  <c r="G150" i="10"/>
  <c r="G120" i="10"/>
  <c r="G149" i="10"/>
  <c r="G119" i="10"/>
  <c r="G102" i="10"/>
  <c r="G99" i="10"/>
  <c r="G109" i="10"/>
  <c r="G135" i="10"/>
  <c r="G162" i="10"/>
  <c r="G147" i="10"/>
  <c r="G113" i="10"/>
  <c r="G29" i="10"/>
  <c r="G151" i="10"/>
  <c r="D154" i="10"/>
  <c r="G123" i="10"/>
  <c r="G132" i="10"/>
  <c r="G145" i="10"/>
  <c r="F154" i="10"/>
  <c r="G155" i="10"/>
  <c r="G148" i="10"/>
  <c r="G107" i="10"/>
  <c r="G128" i="10"/>
  <c r="G134" i="10"/>
  <c r="G125" i="10"/>
  <c r="G131" i="10"/>
  <c r="H146" i="6"/>
  <c r="N147" i="6"/>
  <c r="N146" i="6" s="1"/>
  <c r="E13" i="9"/>
  <c r="G151" i="5"/>
  <c r="G150" i="5" s="1"/>
  <c r="G155" i="5"/>
  <c r="G154" i="5" s="1"/>
  <c r="F151" i="5"/>
  <c r="F150" i="5" s="1"/>
  <c r="G13" i="9"/>
  <c r="F155" i="5"/>
  <c r="F154" i="5" s="1"/>
  <c r="F129" i="5"/>
  <c r="H171" i="6"/>
  <c r="G129" i="5"/>
  <c r="M150" i="6"/>
  <c r="J150" i="6"/>
  <c r="J190" i="6"/>
  <c r="J189" i="6" s="1"/>
  <c r="J188" i="6" s="1"/>
  <c r="S191" i="6"/>
  <c r="S190" i="6" s="1"/>
  <c r="S189" i="6" s="1"/>
  <c r="S188" i="6" s="1"/>
  <c r="V165" i="6"/>
  <c r="V164" i="6" s="1"/>
  <c r="V163" i="6" s="1"/>
  <c r="V162" i="6" s="1"/>
  <c r="D96" i="10"/>
  <c r="F96" i="10"/>
  <c r="F146" i="10"/>
  <c r="H201" i="6"/>
  <c r="H196" i="6" s="1"/>
  <c r="J198" i="6"/>
  <c r="J197" i="6" s="1"/>
  <c r="M199" i="6"/>
  <c r="M198" i="6" s="1"/>
  <c r="M197" i="6" s="1"/>
  <c r="D158" i="10"/>
  <c r="G146" i="6"/>
  <c r="F101" i="10"/>
  <c r="G198" i="6"/>
  <c r="G197" i="6" s="1"/>
  <c r="G196" i="6" s="1"/>
  <c r="N205" i="6"/>
  <c r="N204" i="6" s="1"/>
  <c r="F158" i="10"/>
  <c r="G32" i="9"/>
  <c r="G59" i="9"/>
  <c r="J204" i="6"/>
  <c r="J201" i="6" s="1"/>
  <c r="M205" i="6"/>
  <c r="M204" i="6" s="1"/>
  <c r="M201" i="6" s="1"/>
  <c r="N203" i="6"/>
  <c r="N202" i="6" s="1"/>
  <c r="K202" i="6"/>
  <c r="K201" i="6" s="1"/>
  <c r="K196" i="6" s="1"/>
  <c r="K153" i="6"/>
  <c r="N154" i="6"/>
  <c r="N153" i="6" s="1"/>
  <c r="K151" i="6"/>
  <c r="N152" i="6"/>
  <c r="N151" i="6" s="1"/>
  <c r="E7" i="9"/>
  <c r="D122" i="10"/>
  <c r="G164" i="6"/>
  <c r="G163" i="6" s="1"/>
  <c r="G162" i="6" s="1"/>
  <c r="F122" i="10"/>
  <c r="H164" i="6"/>
  <c r="H163" i="6" s="1"/>
  <c r="H162" i="6" s="1"/>
  <c r="W165" i="6"/>
  <c r="W164" i="6" s="1"/>
  <c r="W163" i="6" s="1"/>
  <c r="W162" i="6" s="1"/>
  <c r="G7" i="9"/>
  <c r="T190" i="6"/>
  <c r="T189" i="6" s="1"/>
  <c r="T188" i="6" s="1"/>
  <c r="N158" i="6"/>
  <c r="N157" i="6"/>
  <c r="E32" i="9"/>
  <c r="D101" i="10"/>
  <c r="D98" i="10"/>
  <c r="F98" i="10"/>
  <c r="K146" i="6"/>
  <c r="D94" i="10"/>
  <c r="F94" i="10"/>
  <c r="D146" i="10"/>
  <c r="G12" i="9"/>
  <c r="G142" i="6"/>
  <c r="AC133" i="6"/>
  <c r="AD133" i="6"/>
  <c r="BQ145" i="1"/>
  <c r="BR145" i="1"/>
  <c r="H13" i="9" l="1"/>
  <c r="G154" i="10"/>
  <c r="H23" i="12"/>
  <c r="H19" i="9"/>
  <c r="H7" i="9"/>
  <c r="H32" i="9"/>
  <c r="G187" i="5"/>
  <c r="F187" i="5"/>
  <c r="H30" i="12"/>
  <c r="G28" i="12"/>
  <c r="G128" i="5"/>
  <c r="G123" i="5" s="1"/>
  <c r="G122" i="5" s="1"/>
  <c r="I13" i="11" s="1"/>
  <c r="E28" i="12"/>
  <c r="F128" i="5"/>
  <c r="F123" i="5" s="1"/>
  <c r="F122" i="5" s="1"/>
  <c r="G13" i="11" s="1"/>
  <c r="L13" i="11" s="1"/>
  <c r="G122" i="10"/>
  <c r="G96" i="10"/>
  <c r="G98" i="10"/>
  <c r="G101" i="10"/>
  <c r="F165" i="10"/>
  <c r="G158" i="10"/>
  <c r="J17" i="11"/>
  <c r="G94" i="10"/>
  <c r="D165" i="10"/>
  <c r="G146" i="10"/>
  <c r="G149" i="5"/>
  <c r="I15" i="11" s="1"/>
  <c r="F149" i="5"/>
  <c r="G15" i="11" s="1"/>
  <c r="L15" i="11" s="1"/>
  <c r="M196" i="6"/>
  <c r="G214" i="6" s="1"/>
  <c r="N201" i="6"/>
  <c r="N196" i="6" s="1"/>
  <c r="H214" i="6" s="1"/>
  <c r="K156" i="6"/>
  <c r="K155" i="6" s="1"/>
  <c r="N156" i="6"/>
  <c r="N155" i="6" s="1"/>
  <c r="E54" i="9"/>
  <c r="K150" i="6"/>
  <c r="G141" i="6"/>
  <c r="G140" i="6" s="1"/>
  <c r="G54" i="9"/>
  <c r="G52" i="9" s="1"/>
  <c r="N150" i="6"/>
  <c r="D93" i="10"/>
  <c r="H142" i="6"/>
  <c r="H141" i="6" s="1"/>
  <c r="H140" i="6" s="1"/>
  <c r="G33" i="9"/>
  <c r="K144" i="6"/>
  <c r="N145" i="6"/>
  <c r="N144" i="6" s="1"/>
  <c r="J196" i="6"/>
  <c r="E59" i="9"/>
  <c r="H59" i="9" s="1"/>
  <c r="E57" i="9"/>
  <c r="G57" i="9"/>
  <c r="M158" i="6"/>
  <c r="M156" i="6" s="1"/>
  <c r="M155" i="6" s="1"/>
  <c r="J156" i="6"/>
  <c r="J155" i="6" s="1"/>
  <c r="J146" i="6"/>
  <c r="M147" i="6"/>
  <c r="M146" i="6" s="1"/>
  <c r="E17" i="9"/>
  <c r="G17" i="9"/>
  <c r="J144" i="6"/>
  <c r="M145" i="6"/>
  <c r="M144" i="6" s="1"/>
  <c r="F93" i="10"/>
  <c r="G46" i="9"/>
  <c r="E46" i="9"/>
  <c r="E33" i="9"/>
  <c r="E12" i="9"/>
  <c r="H12" i="9" s="1"/>
  <c r="BQ142" i="1"/>
  <c r="N131" i="6"/>
  <c r="N130" i="6" s="1"/>
  <c r="N129" i="6" s="1"/>
  <c r="Q131" i="6"/>
  <c r="Q130" i="6" s="1"/>
  <c r="Q129" i="6" s="1"/>
  <c r="U131" i="6"/>
  <c r="U130" i="6" s="1"/>
  <c r="X131" i="6"/>
  <c r="X130" i="6" s="1"/>
  <c r="X129" i="6" s="1"/>
  <c r="BQ165" i="1"/>
  <c r="BR165" i="1"/>
  <c r="BQ131" i="1"/>
  <c r="BR131" i="1"/>
  <c r="BQ132" i="1"/>
  <c r="BR132" i="1"/>
  <c r="BQ133" i="1"/>
  <c r="BR133" i="1"/>
  <c r="BQ134" i="1"/>
  <c r="BR134" i="1"/>
  <c r="BQ136" i="1"/>
  <c r="BR136" i="1"/>
  <c r="BR138" i="1"/>
  <c r="BQ139" i="1"/>
  <c r="BR139" i="1"/>
  <c r="BQ140" i="1"/>
  <c r="BR140" i="1"/>
  <c r="BQ141" i="1"/>
  <c r="BR141" i="1"/>
  <c r="BR143" i="1"/>
  <c r="BQ146" i="1"/>
  <c r="BR146" i="1"/>
  <c r="BQ148" i="1"/>
  <c r="BR148" i="1"/>
  <c r="BR149" i="1"/>
  <c r="BQ150" i="1"/>
  <c r="BR150" i="1"/>
  <c r="BR151" i="1"/>
  <c r="BQ153" i="1"/>
  <c r="BR153" i="1"/>
  <c r="BR154" i="1"/>
  <c r="BR156" i="1"/>
  <c r="BR158" i="1"/>
  <c r="BQ159" i="1"/>
  <c r="BR159" i="1"/>
  <c r="BQ160" i="1"/>
  <c r="BR160" i="1"/>
  <c r="BQ161" i="1"/>
  <c r="BQ162" i="1"/>
  <c r="BR162" i="1"/>
  <c r="BQ163" i="1"/>
  <c r="BR163" i="1"/>
  <c r="BQ127" i="1"/>
  <c r="BR127" i="1"/>
  <c r="BQ129" i="1"/>
  <c r="BR129" i="1"/>
  <c r="BQ128" i="1"/>
  <c r="BR128" i="1"/>
  <c r="F103" i="5"/>
  <c r="G103" i="5"/>
  <c r="E103" i="5"/>
  <c r="D74" i="10"/>
  <c r="F74" i="10"/>
  <c r="D75" i="10"/>
  <c r="F75" i="10"/>
  <c r="M117" i="6"/>
  <c r="N117" i="6"/>
  <c r="M116" i="6"/>
  <c r="N116" i="6"/>
  <c r="M115" i="6"/>
  <c r="N115" i="6"/>
  <c r="M114" i="6"/>
  <c r="M113" i="6"/>
  <c r="N113" i="6"/>
  <c r="M108" i="6"/>
  <c r="N108" i="6"/>
  <c r="M106" i="6"/>
  <c r="N106" i="6"/>
  <c r="M107" i="6"/>
  <c r="N107" i="6"/>
  <c r="E94" i="5"/>
  <c r="E93" i="5"/>
  <c r="D65" i="10"/>
  <c r="F65" i="10"/>
  <c r="M104" i="6"/>
  <c r="N104" i="6"/>
  <c r="BQ89" i="1"/>
  <c r="BR89" i="1"/>
  <c r="D64" i="10"/>
  <c r="F64" i="10"/>
  <c r="BP89" i="1"/>
  <c r="BQ85" i="1"/>
  <c r="BR85" i="1"/>
  <c r="BQ86" i="1"/>
  <c r="BR86" i="1"/>
  <c r="BQ87" i="1"/>
  <c r="BR87" i="1"/>
  <c r="BQ88" i="1"/>
  <c r="BR88" i="1"/>
  <c r="BQ77" i="1"/>
  <c r="BR77" i="1"/>
  <c r="BQ78" i="1"/>
  <c r="BR78" i="1"/>
  <c r="BQ79" i="1"/>
  <c r="BR79" i="1"/>
  <c r="BQ80" i="1"/>
  <c r="BR80" i="1"/>
  <c r="BQ81" i="1"/>
  <c r="BR81" i="1"/>
  <c r="BQ82" i="1"/>
  <c r="BR82" i="1"/>
  <c r="BQ84" i="1"/>
  <c r="BR84" i="1"/>
  <c r="BQ75" i="1"/>
  <c r="BR75" i="1"/>
  <c r="BQ76" i="1"/>
  <c r="BR76" i="1"/>
  <c r="BQ68" i="1"/>
  <c r="BR68" i="1"/>
  <c r="BQ69" i="1"/>
  <c r="BR69" i="1"/>
  <c r="BQ70" i="1"/>
  <c r="BR70" i="1"/>
  <c r="BQ71" i="1"/>
  <c r="BR71" i="1"/>
  <c r="BQ72" i="1"/>
  <c r="BR72" i="1"/>
  <c r="BQ73" i="1"/>
  <c r="BR73" i="1"/>
  <c r="BQ74" i="1"/>
  <c r="BR74" i="1"/>
  <c r="BQ62" i="1"/>
  <c r="BR62" i="1"/>
  <c r="BQ63" i="1"/>
  <c r="BR63" i="1"/>
  <c r="BQ64" i="1"/>
  <c r="BR64" i="1"/>
  <c r="BQ65" i="1"/>
  <c r="BR65" i="1"/>
  <c r="BQ66" i="1"/>
  <c r="BR66" i="1"/>
  <c r="BQ59" i="1"/>
  <c r="BR59" i="1"/>
  <c r="BQ60" i="1"/>
  <c r="BR60" i="1"/>
  <c r="BQ61" i="1"/>
  <c r="BR61" i="1"/>
  <c r="BQ58" i="1"/>
  <c r="BR58" i="1"/>
  <c r="BQ56" i="1"/>
  <c r="BR56" i="1"/>
  <c r="BR55" i="1"/>
  <c r="BQ55" i="1"/>
  <c r="BQ50" i="1"/>
  <c r="BR50" i="1"/>
  <c r="BQ51" i="1"/>
  <c r="BR51" i="1"/>
  <c r="BQ52" i="1"/>
  <c r="BR52" i="1"/>
  <c r="BQ53" i="1"/>
  <c r="BR53" i="1"/>
  <c r="BQ54" i="1"/>
  <c r="BR54" i="1"/>
  <c r="BQ49" i="1"/>
  <c r="BR49" i="1"/>
  <c r="BQ48" i="1"/>
  <c r="BR48" i="1"/>
  <c r="BQ47" i="1"/>
  <c r="BR47" i="1"/>
  <c r="BQ46" i="1"/>
  <c r="BR46" i="1"/>
  <c r="BR45" i="1"/>
  <c r="BQ44" i="1"/>
  <c r="BR44" i="1"/>
  <c r="BQ38" i="1"/>
  <c r="BQ39" i="1"/>
  <c r="BR39" i="1"/>
  <c r="BQ40" i="1"/>
  <c r="BQ41" i="1"/>
  <c r="BQ42" i="1"/>
  <c r="BQ37" i="1"/>
  <c r="BR37" i="1"/>
  <c r="BQ32" i="1"/>
  <c r="BR32" i="1"/>
  <c r="BQ33" i="1"/>
  <c r="BR33" i="1"/>
  <c r="BQ34" i="1"/>
  <c r="BR34" i="1"/>
  <c r="BQ30" i="1"/>
  <c r="BR30" i="1"/>
  <c r="BQ29" i="1"/>
  <c r="BR29" i="1"/>
  <c r="BQ28" i="1"/>
  <c r="BR28" i="1"/>
  <c r="BQ27" i="1"/>
  <c r="BR27" i="1"/>
  <c r="BQ26" i="1"/>
  <c r="BR26" i="1"/>
  <c r="D18" i="10"/>
  <c r="F18" i="10"/>
  <c r="BQ25" i="1"/>
  <c r="BR25" i="1"/>
  <c r="D12" i="10"/>
  <c r="F12" i="10"/>
  <c r="D13" i="10"/>
  <c r="F13" i="10"/>
  <c r="D14" i="10"/>
  <c r="F14" i="10"/>
  <c r="D16" i="10"/>
  <c r="F16" i="10"/>
  <c r="D11" i="10"/>
  <c r="F11" i="10"/>
  <c r="BQ11" i="1"/>
  <c r="BR11" i="1"/>
  <c r="BQ8" i="1"/>
  <c r="BR8" i="1"/>
  <c r="BQ9" i="1"/>
  <c r="BR9" i="1"/>
  <c r="BQ10" i="1"/>
  <c r="BR10" i="1"/>
  <c r="M68" i="6"/>
  <c r="N68" i="6"/>
  <c r="M63" i="6"/>
  <c r="N63" i="6"/>
  <c r="M62" i="6"/>
  <c r="M102" i="6"/>
  <c r="N102" i="6"/>
  <c r="E10" i="12" l="1"/>
  <c r="G5" i="12"/>
  <c r="E19" i="12"/>
  <c r="G13" i="12"/>
  <c r="G16" i="12"/>
  <c r="E5" i="12"/>
  <c r="G11" i="12"/>
  <c r="E13" i="12"/>
  <c r="E16" i="12"/>
  <c r="F22" i="5"/>
  <c r="F21" i="5" s="1"/>
  <c r="F20" i="5" s="1"/>
  <c r="F19" i="5" s="1"/>
  <c r="G5" i="11" s="1"/>
  <c r="L5" i="11" s="1"/>
  <c r="G19" i="12"/>
  <c r="G10" i="12"/>
  <c r="E11" i="12"/>
  <c r="G20" i="12"/>
  <c r="G24" i="12"/>
  <c r="E24" i="12"/>
  <c r="E4" i="12"/>
  <c r="G4" i="12"/>
  <c r="G21" i="12"/>
  <c r="E21" i="12"/>
  <c r="E20" i="12"/>
  <c r="G18" i="12"/>
  <c r="E18" i="12"/>
  <c r="G15" i="12"/>
  <c r="E15" i="12"/>
  <c r="G14" i="12"/>
  <c r="E14" i="12"/>
  <c r="E6" i="12"/>
  <c r="G8" i="12"/>
  <c r="H17" i="9"/>
  <c r="G6" i="12"/>
  <c r="E8" i="12"/>
  <c r="G9" i="12"/>
  <c r="E9" i="12"/>
  <c r="H46" i="9"/>
  <c r="H33" i="9"/>
  <c r="J13" i="11"/>
  <c r="E34" i="12"/>
  <c r="G34" i="12"/>
  <c r="H28" i="12"/>
  <c r="G120" i="5"/>
  <c r="F120" i="5"/>
  <c r="D81" i="10"/>
  <c r="F57" i="10"/>
  <c r="D57" i="10"/>
  <c r="F51" i="10"/>
  <c r="D51" i="10"/>
  <c r="G64" i="5"/>
  <c r="F64" i="5"/>
  <c r="F62" i="5"/>
  <c r="G62" i="5"/>
  <c r="G55" i="5"/>
  <c r="G11" i="10"/>
  <c r="G14" i="10"/>
  <c r="G12" i="10"/>
  <c r="F28" i="10"/>
  <c r="D28" i="10"/>
  <c r="G64" i="10"/>
  <c r="H57" i="9"/>
  <c r="D6" i="10"/>
  <c r="G9" i="6"/>
  <c r="F7" i="10"/>
  <c r="D7" i="10"/>
  <c r="F6" i="10"/>
  <c r="H9" i="6"/>
  <c r="G16" i="10"/>
  <c r="G13" i="10"/>
  <c r="G74" i="10"/>
  <c r="G93" i="10"/>
  <c r="G18" i="10"/>
  <c r="J15" i="11"/>
  <c r="G165" i="10"/>
  <c r="G75" i="10"/>
  <c r="G65" i="10"/>
  <c r="G16" i="8"/>
  <c r="G10" i="5"/>
  <c r="F10" i="5"/>
  <c r="BR306" i="1"/>
  <c r="BR308" i="1" s="1"/>
  <c r="BQ306" i="1"/>
  <c r="BQ308" i="1" s="1"/>
  <c r="N84" i="6"/>
  <c r="N83" i="6" s="1"/>
  <c r="N82" i="6" s="1"/>
  <c r="T85" i="6"/>
  <c r="N103" i="6"/>
  <c r="M103" i="6"/>
  <c r="F78" i="5"/>
  <c r="G92" i="5"/>
  <c r="E95" i="5"/>
  <c r="F95" i="5"/>
  <c r="F101" i="5"/>
  <c r="F92" i="5"/>
  <c r="E98" i="5"/>
  <c r="G98" i="5"/>
  <c r="G97" i="5" s="1"/>
  <c r="E105" i="5"/>
  <c r="G41" i="5"/>
  <c r="E96" i="5"/>
  <c r="F96" i="5"/>
  <c r="E104" i="5"/>
  <c r="F104" i="5"/>
  <c r="F22" i="10"/>
  <c r="G29" i="5"/>
  <c r="F33" i="10"/>
  <c r="G49" i="5"/>
  <c r="G90" i="5"/>
  <c r="F102" i="5"/>
  <c r="G105" i="5"/>
  <c r="D22" i="10"/>
  <c r="F29" i="5"/>
  <c r="D24" i="10"/>
  <c r="F33" i="5"/>
  <c r="F41" i="5"/>
  <c r="D33" i="10"/>
  <c r="F49" i="5"/>
  <c r="D36" i="10"/>
  <c r="F55" i="5"/>
  <c r="D38" i="10"/>
  <c r="F57" i="5"/>
  <c r="F61" i="5"/>
  <c r="F69" i="5"/>
  <c r="G83" i="5"/>
  <c r="G85" i="5"/>
  <c r="F90" i="5"/>
  <c r="F105" i="5"/>
  <c r="H125" i="6"/>
  <c r="G111" i="5"/>
  <c r="F116" i="5"/>
  <c r="F115" i="5" s="1"/>
  <c r="F114" i="5" s="1"/>
  <c r="F24" i="10"/>
  <c r="G33" i="5"/>
  <c r="F38" i="10"/>
  <c r="G57" i="5"/>
  <c r="G77" i="5"/>
  <c r="G124" i="6"/>
  <c r="F110" i="5"/>
  <c r="F21" i="10"/>
  <c r="G27" i="5"/>
  <c r="F23" i="10"/>
  <c r="G31" i="5"/>
  <c r="F25" i="10"/>
  <c r="G35" i="5"/>
  <c r="F31" i="10"/>
  <c r="G45" i="5"/>
  <c r="G46" i="5"/>
  <c r="F34" i="10"/>
  <c r="G50" i="5"/>
  <c r="F37" i="10"/>
  <c r="G56" i="5"/>
  <c r="F39" i="10"/>
  <c r="G59" i="5"/>
  <c r="G58" i="5" s="1"/>
  <c r="F45" i="10"/>
  <c r="G67" i="5"/>
  <c r="G66" i="5" s="1"/>
  <c r="G72" i="5"/>
  <c r="G71" i="5" s="1"/>
  <c r="G70" i="5" s="1"/>
  <c r="F83" i="5"/>
  <c r="F85" i="5"/>
  <c r="F68" i="10"/>
  <c r="G94" i="5"/>
  <c r="F98" i="5"/>
  <c r="F97" i="5" s="1"/>
  <c r="D82" i="10"/>
  <c r="G125" i="6"/>
  <c r="F111" i="5"/>
  <c r="G61" i="5"/>
  <c r="G69" i="5"/>
  <c r="E92" i="5"/>
  <c r="D67" i="10"/>
  <c r="F93" i="5"/>
  <c r="G116" i="5"/>
  <c r="G115" i="5" s="1"/>
  <c r="G114" i="5" s="1"/>
  <c r="D21" i="10"/>
  <c r="F27" i="5"/>
  <c r="D23" i="10"/>
  <c r="F31" i="5"/>
  <c r="D25" i="10"/>
  <c r="F35" i="5"/>
  <c r="D31" i="10"/>
  <c r="F45" i="5"/>
  <c r="F46" i="5"/>
  <c r="D34" i="10"/>
  <c r="F50" i="5"/>
  <c r="D37" i="10"/>
  <c r="F56" i="5"/>
  <c r="D39" i="10"/>
  <c r="F59" i="5"/>
  <c r="F58" i="5" s="1"/>
  <c r="D45" i="10"/>
  <c r="F67" i="5"/>
  <c r="F66" i="5" s="1"/>
  <c r="D43" i="10"/>
  <c r="F72" i="5"/>
  <c r="F71" i="5" s="1"/>
  <c r="F70" i="5" s="1"/>
  <c r="F77" i="5"/>
  <c r="G78" i="5"/>
  <c r="E90" i="5"/>
  <c r="F67" i="10"/>
  <c r="G93" i="5"/>
  <c r="D68" i="10"/>
  <c r="F94" i="5"/>
  <c r="G95" i="5"/>
  <c r="G96" i="5"/>
  <c r="E101" i="5"/>
  <c r="G101" i="5"/>
  <c r="G102" i="5"/>
  <c r="G104" i="5"/>
  <c r="F80" i="10"/>
  <c r="H124" i="6"/>
  <c r="G110" i="5"/>
  <c r="F19" i="10"/>
  <c r="G22" i="5"/>
  <c r="G21" i="5" s="1"/>
  <c r="G20" i="5" s="1"/>
  <c r="G19" i="5" s="1"/>
  <c r="I5" i="11" s="1"/>
  <c r="D19" i="10"/>
  <c r="F5" i="10"/>
  <c r="H8" i="6"/>
  <c r="G8" i="6"/>
  <c r="D80" i="10"/>
  <c r="N105" i="6"/>
  <c r="H101" i="6"/>
  <c r="G101" i="6"/>
  <c r="M105" i="6"/>
  <c r="M112" i="6"/>
  <c r="M111" i="6" s="1"/>
  <c r="G20" i="11"/>
  <c r="E52" i="9"/>
  <c r="H52" i="9" s="1"/>
  <c r="N70" i="6"/>
  <c r="N69" i="6" s="1"/>
  <c r="F55" i="10"/>
  <c r="H54" i="9"/>
  <c r="N62" i="6"/>
  <c r="N95" i="6"/>
  <c r="H94" i="6"/>
  <c r="D8" i="10"/>
  <c r="D10" i="10"/>
  <c r="D15" i="10"/>
  <c r="D32" i="10"/>
  <c r="F41" i="10"/>
  <c r="F50" i="10"/>
  <c r="F52" i="10"/>
  <c r="H92" i="6"/>
  <c r="J92" i="6"/>
  <c r="J91" i="6" s="1"/>
  <c r="J90" i="6" s="1"/>
  <c r="F56" i="10"/>
  <c r="F54" i="10"/>
  <c r="D58" i="10"/>
  <c r="F63" i="10"/>
  <c r="F62" i="10"/>
  <c r="F61" i="10"/>
  <c r="F60" i="10"/>
  <c r="D69" i="10"/>
  <c r="F71" i="10"/>
  <c r="F72" i="10"/>
  <c r="F73" i="10"/>
  <c r="F77" i="10"/>
  <c r="F78" i="10"/>
  <c r="F90" i="10"/>
  <c r="F89" i="10"/>
  <c r="F88" i="10"/>
  <c r="F86" i="10"/>
  <c r="F85" i="10"/>
  <c r="F91" i="10"/>
  <c r="G11" i="9"/>
  <c r="D92" i="10"/>
  <c r="W131" i="6"/>
  <c r="W130" i="6" s="1"/>
  <c r="W129" i="6" s="1"/>
  <c r="G56" i="9"/>
  <c r="E56" i="9"/>
  <c r="F8" i="10"/>
  <c r="F10" i="10"/>
  <c r="F15" i="10"/>
  <c r="F27" i="10"/>
  <c r="F32" i="10"/>
  <c r="F36" i="10"/>
  <c r="D50" i="10"/>
  <c r="D49" i="10"/>
  <c r="F49" i="10"/>
  <c r="K92" i="6"/>
  <c r="K91" i="6" s="1"/>
  <c r="K90" i="6" s="1"/>
  <c r="D56" i="10"/>
  <c r="D54" i="10"/>
  <c r="F58" i="10"/>
  <c r="D62" i="10"/>
  <c r="D60" i="10"/>
  <c r="F66" i="10"/>
  <c r="F69" i="10"/>
  <c r="F70" i="10"/>
  <c r="D71" i="10"/>
  <c r="D72" i="10"/>
  <c r="D77" i="10"/>
  <c r="D78" i="10"/>
  <c r="D90" i="10"/>
  <c r="D89" i="10"/>
  <c r="D88" i="10"/>
  <c r="D86" i="10"/>
  <c r="D85" i="10"/>
  <c r="D91" i="10"/>
  <c r="E11" i="9"/>
  <c r="T135" i="6"/>
  <c r="T134" i="6" s="1"/>
  <c r="AC136" i="6"/>
  <c r="AC135" i="6" s="1"/>
  <c r="AC134" i="6" s="1"/>
  <c r="F92" i="10"/>
  <c r="D52" i="10"/>
  <c r="F87" i="10"/>
  <c r="F81" i="10"/>
  <c r="F82" i="10"/>
  <c r="D55" i="10"/>
  <c r="E8" i="9"/>
  <c r="J142" i="6"/>
  <c r="J141" i="6" s="1"/>
  <c r="J140" i="6" s="1"/>
  <c r="M143" i="6"/>
  <c r="M142" i="6" s="1"/>
  <c r="M141" i="6" s="1"/>
  <c r="M140" i="6" s="1"/>
  <c r="K142" i="6"/>
  <c r="K141" i="6" s="1"/>
  <c r="K140" i="6" s="1"/>
  <c r="N143" i="6"/>
  <c r="N142" i="6" s="1"/>
  <c r="N141" i="6" s="1"/>
  <c r="N140" i="6" s="1"/>
  <c r="G8" i="9"/>
  <c r="D27" i="10"/>
  <c r="E39" i="9"/>
  <c r="D76" i="10"/>
  <c r="G39" i="9"/>
  <c r="F76" i="10"/>
  <c r="G112" i="6"/>
  <c r="G111" i="6" s="1"/>
  <c r="D73" i="10"/>
  <c r="D70" i="10"/>
  <c r="D66" i="10"/>
  <c r="E24" i="9"/>
  <c r="G24" i="9"/>
  <c r="D63" i="10"/>
  <c r="D61" i="10"/>
  <c r="M131" i="6"/>
  <c r="M130" i="6" s="1"/>
  <c r="M129" i="6" s="1"/>
  <c r="D87" i="10"/>
  <c r="D84" i="10"/>
  <c r="P131" i="6"/>
  <c r="P130" i="6" s="1"/>
  <c r="P129" i="6" s="1"/>
  <c r="F84" i="10"/>
  <c r="M67" i="6"/>
  <c r="M66" i="6" s="1"/>
  <c r="F47" i="10"/>
  <c r="D47" i="10"/>
  <c r="F43" i="10"/>
  <c r="F46" i="10"/>
  <c r="D46" i="10"/>
  <c r="F42" i="10"/>
  <c r="H69" i="6"/>
  <c r="M70" i="6"/>
  <c r="M69" i="6" s="1"/>
  <c r="D42" i="10"/>
  <c r="D41" i="10"/>
  <c r="F40" i="10"/>
  <c r="D40" i="10"/>
  <c r="D5" i="10"/>
  <c r="M48" i="6"/>
  <c r="N48" i="6"/>
  <c r="V50" i="6"/>
  <c r="H44" i="6"/>
  <c r="W38" i="6"/>
  <c r="V34" i="6"/>
  <c r="H5" i="12" l="1"/>
  <c r="H10" i="12"/>
  <c r="H8" i="12"/>
  <c r="H11" i="12"/>
  <c r="H19" i="12"/>
  <c r="H4" i="12"/>
  <c r="H21" i="12"/>
  <c r="H39" i="9"/>
  <c r="H6" i="12"/>
  <c r="G6" i="10"/>
  <c r="H24" i="9"/>
  <c r="H14" i="12"/>
  <c r="H8" i="9"/>
  <c r="H20" i="12"/>
  <c r="H13" i="12"/>
  <c r="H9" i="12"/>
  <c r="H15" i="12"/>
  <c r="H11" i="9"/>
  <c r="G81" i="10"/>
  <c r="F34" i="5"/>
  <c r="F26" i="5"/>
  <c r="G34" i="5"/>
  <c r="G26" i="5"/>
  <c r="F68" i="5"/>
  <c r="F65" i="5" s="1"/>
  <c r="F40" i="5"/>
  <c r="G40" i="5"/>
  <c r="F9" i="5"/>
  <c r="F8" i="5" s="1"/>
  <c r="G3" i="11" s="1"/>
  <c r="L3" i="11" s="1"/>
  <c r="G63" i="5"/>
  <c r="F32" i="5"/>
  <c r="G9" i="5"/>
  <c r="G8" i="5" s="1"/>
  <c r="I3" i="11" s="1"/>
  <c r="G18" i="9"/>
  <c r="H34" i="12"/>
  <c r="G26" i="9"/>
  <c r="F30" i="5"/>
  <c r="G68" i="5"/>
  <c r="G65" i="5" s="1"/>
  <c r="F84" i="5"/>
  <c r="G30" i="5"/>
  <c r="G84" i="5"/>
  <c r="G28" i="5"/>
  <c r="E18" i="9"/>
  <c r="E26" i="9"/>
  <c r="G32" i="5"/>
  <c r="F28" i="5"/>
  <c r="F63" i="5"/>
  <c r="F119" i="5"/>
  <c r="F118" i="5" s="1"/>
  <c r="F113" i="5" s="1"/>
  <c r="G12" i="11" s="1"/>
  <c r="L12" i="11" s="1"/>
  <c r="G119" i="5"/>
  <c r="G118" i="5" s="1"/>
  <c r="G113" i="5" s="1"/>
  <c r="I12" i="11" s="1"/>
  <c r="G57" i="10"/>
  <c r="F60" i="5"/>
  <c r="G60" i="5"/>
  <c r="G51" i="10"/>
  <c r="G15" i="10"/>
  <c r="G28" i="10"/>
  <c r="G38" i="10"/>
  <c r="G92" i="10"/>
  <c r="H7" i="6"/>
  <c r="H6" i="6" s="1"/>
  <c r="H5" i="6" s="1"/>
  <c r="G7" i="6"/>
  <c r="G6" i="6" s="1"/>
  <c r="G5" i="6" s="1"/>
  <c r="G43" i="10"/>
  <c r="G69" i="10"/>
  <c r="G10" i="10"/>
  <c r="G49" i="10"/>
  <c r="G67" i="10"/>
  <c r="G32" i="10"/>
  <c r="G82" i="10"/>
  <c r="G22" i="10"/>
  <c r="H56" i="9"/>
  <c r="G47" i="10"/>
  <c r="G7" i="10"/>
  <c r="G24" i="10"/>
  <c r="G91" i="10"/>
  <c r="G89" i="10"/>
  <c r="G73" i="10"/>
  <c r="J5" i="11"/>
  <c r="G80" i="10"/>
  <c r="G33" i="10"/>
  <c r="G46" i="10"/>
  <c r="G87" i="10"/>
  <c r="G70" i="10"/>
  <c r="G36" i="10"/>
  <c r="G85" i="10"/>
  <c r="G90" i="10"/>
  <c r="G72" i="10"/>
  <c r="G61" i="10"/>
  <c r="G54" i="10"/>
  <c r="G52" i="10"/>
  <c r="G55" i="10"/>
  <c r="G5" i="10"/>
  <c r="F17" i="10"/>
  <c r="G19" i="10"/>
  <c r="G45" i="10"/>
  <c r="G37" i="10"/>
  <c r="G68" i="10"/>
  <c r="G21" i="10"/>
  <c r="G40" i="10"/>
  <c r="G58" i="10"/>
  <c r="G8" i="10"/>
  <c r="G86" i="10"/>
  <c r="G78" i="10"/>
  <c r="G71" i="10"/>
  <c r="G62" i="10"/>
  <c r="G56" i="10"/>
  <c r="G50" i="10"/>
  <c r="G31" i="10"/>
  <c r="G23" i="10"/>
  <c r="G60" i="10"/>
  <c r="G25" i="10"/>
  <c r="G84" i="10"/>
  <c r="G42" i="10"/>
  <c r="G76" i="10"/>
  <c r="G66" i="10"/>
  <c r="G27" i="10"/>
  <c r="G88" i="10"/>
  <c r="G63" i="10"/>
  <c r="G41" i="10"/>
  <c r="D17" i="10"/>
  <c r="G39" i="10"/>
  <c r="G34" i="10"/>
  <c r="F82" i="5"/>
  <c r="E30" i="9"/>
  <c r="G82" i="5"/>
  <c r="G30" i="9"/>
  <c r="G54" i="5"/>
  <c r="M84" i="6"/>
  <c r="M83" i="6" s="1"/>
  <c r="M82" i="6" s="1"/>
  <c r="S85" i="6"/>
  <c r="S84" i="6" s="1"/>
  <c r="S83" i="6" s="1"/>
  <c r="S82" i="6" s="1"/>
  <c r="W49" i="6"/>
  <c r="E15" i="9"/>
  <c r="E37" i="9"/>
  <c r="G41" i="9"/>
  <c r="N101" i="6"/>
  <c r="D79" i="10"/>
  <c r="F76" i="5"/>
  <c r="F75" i="5" s="1"/>
  <c r="F74" i="5" s="1"/>
  <c r="G8" i="11" s="1"/>
  <c r="L8" i="11" s="1"/>
  <c r="V49" i="6"/>
  <c r="V48" i="6" s="1"/>
  <c r="V43" i="6" s="1"/>
  <c r="M101" i="6"/>
  <c r="G29" i="9"/>
  <c r="E27" i="9"/>
  <c r="G123" i="6"/>
  <c r="G122" i="6" s="1"/>
  <c r="G121" i="6" s="1"/>
  <c r="H123" i="6"/>
  <c r="H122" i="6" s="1"/>
  <c r="H121" i="6" s="1"/>
  <c r="F4" i="10"/>
  <c r="E41" i="9"/>
  <c r="G27" i="9"/>
  <c r="F53" i="10"/>
  <c r="G25" i="9"/>
  <c r="E25" i="9"/>
  <c r="G48" i="5"/>
  <c r="G47" i="5" s="1"/>
  <c r="E29" i="9"/>
  <c r="E28" i="9"/>
  <c r="G109" i="5"/>
  <c r="G108" i="5" s="1"/>
  <c r="G107" i="5" s="1"/>
  <c r="I11" i="11" s="1"/>
  <c r="F109" i="5"/>
  <c r="F108" i="5" s="1"/>
  <c r="F107" i="5" s="1"/>
  <c r="E43" i="9"/>
  <c r="F44" i="5"/>
  <c r="F100" i="5"/>
  <c r="F99" i="5" s="1"/>
  <c r="G5" i="9"/>
  <c r="E5" i="9"/>
  <c r="G6" i="9"/>
  <c r="G100" i="5"/>
  <c r="G99" i="5" s="1"/>
  <c r="G89" i="5"/>
  <c r="G88" i="5" s="1"/>
  <c r="E6" i="9"/>
  <c r="E38" i="9"/>
  <c r="G28" i="9"/>
  <c r="F54" i="5"/>
  <c r="G76" i="5"/>
  <c r="G75" i="5" s="1"/>
  <c r="G74" i="5" s="1"/>
  <c r="I8" i="11" s="1"/>
  <c r="F48" i="5"/>
  <c r="F47" i="5" s="1"/>
  <c r="G44" i="5"/>
  <c r="F89" i="5"/>
  <c r="F88" i="5" s="1"/>
  <c r="F9" i="10"/>
  <c r="I20" i="11"/>
  <c r="K20" i="11"/>
  <c r="L20" i="11" s="1"/>
  <c r="C35" i="11"/>
  <c r="H131" i="6"/>
  <c r="H130" i="6" s="1"/>
  <c r="H129" i="6" s="1"/>
  <c r="AD132" i="6"/>
  <c r="AD131" i="6" s="1"/>
  <c r="AD130" i="6" s="1"/>
  <c r="G131" i="6"/>
  <c r="G130" i="6" s="1"/>
  <c r="G129" i="6" s="1"/>
  <c r="AC132" i="6"/>
  <c r="AC131" i="6" s="1"/>
  <c r="AC130" i="6" s="1"/>
  <c r="AC129" i="6" s="1"/>
  <c r="H112" i="6"/>
  <c r="H111" i="6" s="1"/>
  <c r="N114" i="6"/>
  <c r="N112" i="6" s="1"/>
  <c r="N111" i="6" s="1"/>
  <c r="H109" i="6"/>
  <c r="H100" i="6" s="1"/>
  <c r="N110" i="6"/>
  <c r="N109" i="6" s="1"/>
  <c r="G109" i="6"/>
  <c r="G100" i="6" s="1"/>
  <c r="G99" i="6" s="1"/>
  <c r="M110" i="6"/>
  <c r="M109" i="6" s="1"/>
  <c r="F20" i="10"/>
  <c r="G42" i="9"/>
  <c r="G37" i="9"/>
  <c r="E16" i="8"/>
  <c r="E60" i="9"/>
  <c r="H91" i="6"/>
  <c r="H90" i="6" s="1"/>
  <c r="F83" i="10"/>
  <c r="F48" i="10"/>
  <c r="D53" i="10"/>
  <c r="N78" i="6"/>
  <c r="N77" i="6" s="1"/>
  <c r="N76" i="6" s="1"/>
  <c r="M75" i="6"/>
  <c r="M74" i="6" s="1"/>
  <c r="M73" i="6"/>
  <c r="M72" i="6" s="1"/>
  <c r="M65" i="6"/>
  <c r="M64" i="6" s="1"/>
  <c r="N30" i="6"/>
  <c r="N29" i="6" s="1"/>
  <c r="G44" i="6"/>
  <c r="M44" i="6"/>
  <c r="G43" i="9"/>
  <c r="N61" i="6"/>
  <c r="N60" i="6" s="1"/>
  <c r="H60" i="6"/>
  <c r="H59" i="6" s="1"/>
  <c r="H58" i="6" s="1"/>
  <c r="G92" i="6"/>
  <c r="M93" i="6"/>
  <c r="M92" i="6" s="1"/>
  <c r="M78" i="6"/>
  <c r="M77" i="6" s="1"/>
  <c r="M76" i="6" s="1"/>
  <c r="N75" i="6"/>
  <c r="N74" i="6" s="1"/>
  <c r="N73" i="6"/>
  <c r="N72" i="6" s="1"/>
  <c r="E17" i="8"/>
  <c r="G17" i="8"/>
  <c r="G18" i="8" s="1"/>
  <c r="G60" i="9"/>
  <c r="M30" i="6"/>
  <c r="M29" i="6" s="1"/>
  <c r="W34" i="6"/>
  <c r="N44" i="6"/>
  <c r="W53" i="6"/>
  <c r="W52" i="6" s="1"/>
  <c r="W51" i="6" s="1"/>
  <c r="G48" i="6"/>
  <c r="W50" i="6"/>
  <c r="E42" i="9"/>
  <c r="D20" i="10"/>
  <c r="D48" i="10"/>
  <c r="T84" i="6"/>
  <c r="T83" i="6" s="1"/>
  <c r="T82" i="6" s="1"/>
  <c r="N67" i="6"/>
  <c r="N66" i="6" s="1"/>
  <c r="N65" i="6"/>
  <c r="N64" i="6" s="1"/>
  <c r="G94" i="6"/>
  <c r="M95" i="6"/>
  <c r="U135" i="6"/>
  <c r="U134" i="6" s="1"/>
  <c r="U129" i="6" s="1"/>
  <c r="AD136" i="6"/>
  <c r="AD135" i="6" s="1"/>
  <c r="AD134" i="6" s="1"/>
  <c r="N93" i="6"/>
  <c r="N92" i="6" s="1"/>
  <c r="D9" i="10"/>
  <c r="F79" i="10"/>
  <c r="E31" i="9"/>
  <c r="J46" i="6"/>
  <c r="J43" i="6" s="1"/>
  <c r="J28" i="6" s="1"/>
  <c r="K46" i="6"/>
  <c r="K43" i="6" s="1"/>
  <c r="K28" i="6" s="1"/>
  <c r="V38" i="6"/>
  <c r="H38" i="6"/>
  <c r="G34" i="6"/>
  <c r="T131" i="6"/>
  <c r="T130" i="6" s="1"/>
  <c r="T129" i="6" s="1"/>
  <c r="F59" i="10"/>
  <c r="G38" i="9"/>
  <c r="G23" i="9"/>
  <c r="D59" i="10"/>
  <c r="E23" i="9"/>
  <c r="D83" i="10"/>
  <c r="K131" i="6"/>
  <c r="K130" i="6" s="1"/>
  <c r="K129" i="6" s="1"/>
  <c r="J131" i="6"/>
  <c r="J130" i="6" s="1"/>
  <c r="J129" i="6" s="1"/>
  <c r="F35" i="10"/>
  <c r="D35" i="10"/>
  <c r="G44" i="9"/>
  <c r="E44" i="9"/>
  <c r="G40" i="9"/>
  <c r="G69" i="6"/>
  <c r="G16" i="9"/>
  <c r="E16" i="9"/>
  <c r="G10" i="9"/>
  <c r="D4" i="10"/>
  <c r="F87" i="5" l="1"/>
  <c r="G10" i="11" s="1"/>
  <c r="L10" i="11" s="1"/>
  <c r="G81" i="5"/>
  <c r="G80" i="5" s="1"/>
  <c r="I9" i="11" s="1"/>
  <c r="H18" i="9"/>
  <c r="H24" i="12"/>
  <c r="H5" i="9"/>
  <c r="H43" i="9"/>
  <c r="G39" i="5"/>
  <c r="H6" i="9"/>
  <c r="H25" i="9"/>
  <c r="H26" i="9"/>
  <c r="H16" i="9"/>
  <c r="H44" i="9"/>
  <c r="H23" i="9"/>
  <c r="H29" i="9"/>
  <c r="H18" i="12"/>
  <c r="H38" i="9"/>
  <c r="H37" i="9"/>
  <c r="H30" i="9"/>
  <c r="H16" i="12"/>
  <c r="H42" i="9"/>
  <c r="H27" i="9"/>
  <c r="H41" i="9"/>
  <c r="H28" i="9"/>
  <c r="G7" i="5"/>
  <c r="F7" i="5"/>
  <c r="F53" i="5"/>
  <c r="F52" i="5" s="1"/>
  <c r="F25" i="5"/>
  <c r="F81" i="5"/>
  <c r="F80" i="5" s="1"/>
  <c r="G9" i="11" s="1"/>
  <c r="L9" i="11" s="1"/>
  <c r="G53" i="5"/>
  <c r="G52" i="5" s="1"/>
  <c r="I7" i="11" s="1"/>
  <c r="G25" i="5"/>
  <c r="F39" i="5"/>
  <c r="J12" i="11"/>
  <c r="E3" i="12"/>
  <c r="G22" i="12"/>
  <c r="E22" i="12"/>
  <c r="G12" i="12"/>
  <c r="E12" i="12"/>
  <c r="E17" i="12"/>
  <c r="G3" i="12"/>
  <c r="G17" i="12"/>
  <c r="G79" i="10"/>
  <c r="G59" i="10"/>
  <c r="J8" i="11"/>
  <c r="G9" i="10"/>
  <c r="G20" i="10"/>
  <c r="G4" i="10"/>
  <c r="G17" i="10"/>
  <c r="G83" i="10"/>
  <c r="G35" i="10"/>
  <c r="G48" i="10"/>
  <c r="C36" i="11"/>
  <c r="D36" i="11" s="1"/>
  <c r="J20" i="11"/>
  <c r="G53" i="10"/>
  <c r="G11" i="11"/>
  <c r="L11" i="11" s="1"/>
  <c r="W48" i="6"/>
  <c r="W43" i="6" s="1"/>
  <c r="N100" i="6"/>
  <c r="N99" i="6" s="1"/>
  <c r="M100" i="6"/>
  <c r="M99" i="6" s="1"/>
  <c r="G43" i="6"/>
  <c r="W30" i="6"/>
  <c r="W29" i="6" s="1"/>
  <c r="G87" i="5"/>
  <c r="I10" i="11" s="1"/>
  <c r="J3" i="11"/>
  <c r="M52" i="6"/>
  <c r="M51" i="6" s="1"/>
  <c r="V53" i="6"/>
  <c r="V52" i="6" s="1"/>
  <c r="V51" i="6" s="1"/>
  <c r="G30" i="6"/>
  <c r="V30" i="6"/>
  <c r="V29" i="6" s="1"/>
  <c r="M43" i="6"/>
  <c r="G31" i="9"/>
  <c r="H31" i="9" s="1"/>
  <c r="H99" i="6"/>
  <c r="C37" i="11"/>
  <c r="D37" i="11" s="1"/>
  <c r="K22" i="11"/>
  <c r="G48" i="9"/>
  <c r="E18" i="8"/>
  <c r="H18" i="8" s="1"/>
  <c r="E48" i="9"/>
  <c r="H16" i="8"/>
  <c r="H60" i="9"/>
  <c r="E10" i="9"/>
  <c r="H10" i="9" s="1"/>
  <c r="N43" i="6"/>
  <c r="G4" i="9"/>
  <c r="E4" i="9"/>
  <c r="M71" i="6"/>
  <c r="F153" i="10"/>
  <c r="AD129" i="6"/>
  <c r="N71" i="6"/>
  <c r="G91" i="6"/>
  <c r="G90" i="6" s="1"/>
  <c r="H17" i="8"/>
  <c r="G15" i="9"/>
  <c r="H15" i="9" s="1"/>
  <c r="M61" i="6"/>
  <c r="M60" i="6" s="1"/>
  <c r="M59" i="6" s="1"/>
  <c r="G60" i="6"/>
  <c r="G59" i="6" s="1"/>
  <c r="G58" i="6" s="1"/>
  <c r="N52" i="6"/>
  <c r="N51" i="6" s="1"/>
  <c r="E34" i="9"/>
  <c r="G34" i="9"/>
  <c r="H34" i="6"/>
  <c r="G9" i="9"/>
  <c r="H30" i="6"/>
  <c r="N59" i="6"/>
  <c r="H48" i="6"/>
  <c r="H43" i="6" s="1"/>
  <c r="G14" i="9"/>
  <c r="G36" i="9"/>
  <c r="E36" i="9"/>
  <c r="E20" i="9"/>
  <c r="G38" i="6"/>
  <c r="G20" i="9"/>
  <c r="E14" i="9"/>
  <c r="E9" i="9"/>
  <c r="G47" i="9"/>
  <c r="E47" i="9"/>
  <c r="E40" i="9"/>
  <c r="H40" i="9" s="1"/>
  <c r="G21" i="9"/>
  <c r="E21" i="9"/>
  <c r="D153" i="10"/>
  <c r="G7" i="11" l="1"/>
  <c r="L7" i="11" s="1"/>
  <c r="F24" i="5"/>
  <c r="G6" i="11" s="1"/>
  <c r="L6" i="11" s="1"/>
  <c r="G24" i="5"/>
  <c r="I6" i="11" s="1"/>
  <c r="H9" i="9"/>
  <c r="H14" i="9"/>
  <c r="H20" i="9"/>
  <c r="H4" i="9"/>
  <c r="H36" i="9"/>
  <c r="H3" i="12"/>
  <c r="H34" i="9"/>
  <c r="H48" i="9"/>
  <c r="H17" i="12"/>
  <c r="H12" i="12"/>
  <c r="H47" i="9"/>
  <c r="H22" i="12"/>
  <c r="H21" i="9"/>
  <c r="J9" i="11"/>
  <c r="E25" i="12"/>
  <c r="G25" i="12"/>
  <c r="J10" i="11"/>
  <c r="J11" i="11"/>
  <c r="G35" i="9"/>
  <c r="C51" i="11"/>
  <c r="F166" i="10"/>
  <c r="G153" i="10"/>
  <c r="W28" i="6"/>
  <c r="V28" i="6"/>
  <c r="G29" i="6"/>
  <c r="G28" i="6" s="1"/>
  <c r="M28" i="6"/>
  <c r="M58" i="6"/>
  <c r="N28" i="6"/>
  <c r="G45" i="9"/>
  <c r="E22" i="9"/>
  <c r="E4" i="8" s="1"/>
  <c r="N58" i="6"/>
  <c r="H29" i="6"/>
  <c r="H28" i="6" s="1"/>
  <c r="G3" i="9"/>
  <c r="G22" i="9"/>
  <c r="E3" i="9"/>
  <c r="E45" i="9"/>
  <c r="E35" i="9"/>
  <c r="D166" i="10"/>
  <c r="J7" i="11" l="1"/>
  <c r="H25" i="12"/>
  <c r="G162" i="5"/>
  <c r="G189" i="5" s="1"/>
  <c r="H3" i="9"/>
  <c r="G4" i="8"/>
  <c r="H4" i="8" s="1"/>
  <c r="H22" i="9"/>
  <c r="E3" i="8"/>
  <c r="G5" i="8"/>
  <c r="G34" i="8" s="1"/>
  <c r="H35" i="9"/>
  <c r="G6" i="8"/>
  <c r="G35" i="8" s="1"/>
  <c r="H45" i="9"/>
  <c r="F162" i="5"/>
  <c r="F189" i="5" s="1"/>
  <c r="J6" i="11"/>
  <c r="E36" i="12"/>
  <c r="G36" i="12"/>
  <c r="G3" i="8"/>
  <c r="G32" i="8" s="1"/>
  <c r="G166" i="10"/>
  <c r="I16" i="11"/>
  <c r="G16" i="11"/>
  <c r="E6" i="8"/>
  <c r="E35" i="8" s="1"/>
  <c r="G49" i="9"/>
  <c r="E33" i="8"/>
  <c r="E5" i="8"/>
  <c r="E49" i="9"/>
  <c r="BP146" i="1"/>
  <c r="BD211" i="1"/>
  <c r="AR157" i="1"/>
  <c r="BP157" i="1" s="1"/>
  <c r="BP133" i="1"/>
  <c r="BP36" i="1"/>
  <c r="AR306" i="1" l="1"/>
  <c r="AR308" i="1" s="1"/>
  <c r="G33" i="8"/>
  <c r="H33" i="8" s="1"/>
  <c r="H3" i="8"/>
  <c r="E32" i="8"/>
  <c r="H32" i="8" s="1"/>
  <c r="G62" i="9"/>
  <c r="H49" i="9"/>
  <c r="H36" i="12"/>
  <c r="E43" i="5"/>
  <c r="G7" i="8"/>
  <c r="G22" i="11"/>
  <c r="L22" i="11" s="1"/>
  <c r="L16" i="11"/>
  <c r="I22" i="11"/>
  <c r="J16" i="11"/>
  <c r="Z306" i="1"/>
  <c r="Z308" i="1" s="1"/>
  <c r="C27" i="11"/>
  <c r="F85" i="6"/>
  <c r="F84" i="6" s="1"/>
  <c r="F83" i="6" s="1"/>
  <c r="F82" i="6" s="1"/>
  <c r="I132" i="6"/>
  <c r="I85" i="6"/>
  <c r="I84" i="6" s="1"/>
  <c r="I83" i="6" s="1"/>
  <c r="I82" i="6" s="1"/>
  <c r="H6" i="8"/>
  <c r="C26" i="11"/>
  <c r="E34" i="8"/>
  <c r="H34" i="8" s="1"/>
  <c r="E62" i="9"/>
  <c r="E7" i="8"/>
  <c r="H5" i="8"/>
  <c r="H35" i="8"/>
  <c r="A121" i="10"/>
  <c r="A120" i="10"/>
  <c r="G36" i="8" l="1"/>
  <c r="H62" i="9"/>
  <c r="C50" i="11"/>
  <c r="J22" i="11"/>
  <c r="D28" i="11"/>
  <c r="D27" i="11"/>
  <c r="C49" i="11"/>
  <c r="H7" i="8"/>
  <c r="E36" i="8"/>
  <c r="H36" i="8" l="1"/>
  <c r="D51" i="11"/>
  <c r="D50" i="11"/>
  <c r="L167" i="6" l="1"/>
  <c r="I167" i="6" l="1"/>
  <c r="AI249" i="1" l="1"/>
  <c r="AI236" i="1"/>
  <c r="AI211" i="1"/>
  <c r="I165" i="6" l="1"/>
  <c r="AI306" i="1"/>
  <c r="AI308" i="1" s="1"/>
  <c r="I166" i="6"/>
  <c r="BP70" i="1"/>
  <c r="I157" i="6" l="1"/>
  <c r="BD199" i="1" l="1"/>
  <c r="BP199" i="1" l="1"/>
  <c r="I158" i="6"/>
  <c r="BP195" i="1"/>
  <c r="BP194" i="1"/>
  <c r="BP173" i="1"/>
  <c r="C121" i="10" l="1"/>
  <c r="E121" i="10" s="1"/>
  <c r="C112" i="10"/>
  <c r="E112" i="10" s="1"/>
  <c r="C111" i="10"/>
  <c r="E111" i="10" s="1"/>
  <c r="E140" i="5"/>
  <c r="F158" i="6"/>
  <c r="C114" i="10" l="1"/>
  <c r="E114" i="10" s="1"/>
  <c r="BP172" i="1" l="1"/>
  <c r="C98" i="10" l="1"/>
  <c r="E98" i="10" s="1"/>
  <c r="C120" i="10"/>
  <c r="E120" i="10" s="1"/>
  <c r="BP139" i="1"/>
  <c r="BD131" i="1"/>
  <c r="S132" i="6" l="1"/>
  <c r="BP131" i="1"/>
  <c r="L158" i="6"/>
  <c r="C116" i="10" l="1"/>
  <c r="E116" i="10" s="1"/>
  <c r="C115" i="10"/>
  <c r="E115" i="10" s="1"/>
  <c r="BP62" i="1"/>
  <c r="C43" i="10" l="1"/>
  <c r="E43" i="10" s="1"/>
  <c r="BP144" i="1"/>
  <c r="E116" i="5" l="1"/>
  <c r="F93" i="6"/>
  <c r="O190" i="6" l="1"/>
  <c r="O189" i="6" s="1"/>
  <c r="O188" i="6" s="1"/>
  <c r="F190" i="6"/>
  <c r="F189" i="6" s="1"/>
  <c r="F188" i="6" s="1"/>
  <c r="BP178" i="1"/>
  <c r="BP177" i="1"/>
  <c r="BP176" i="1"/>
  <c r="BP175" i="1"/>
  <c r="BP174" i="1"/>
  <c r="BP171" i="1"/>
  <c r="BP170" i="1"/>
  <c r="BP169" i="1"/>
  <c r="BP167" i="1"/>
  <c r="BP166" i="1"/>
  <c r="BP168" i="1"/>
  <c r="Y131" i="6"/>
  <c r="Y130" i="6" s="1"/>
  <c r="Y129" i="6" s="1"/>
  <c r="L102" i="6"/>
  <c r="C102" i="10" l="1"/>
  <c r="E102" i="10" s="1"/>
  <c r="C100" i="10"/>
  <c r="E100" i="10" s="1"/>
  <c r="C99" i="10"/>
  <c r="E99" i="10" s="1"/>
  <c r="C97" i="10"/>
  <c r="E97" i="10" s="1"/>
  <c r="E127" i="5"/>
  <c r="E125" i="5"/>
  <c r="E129" i="5"/>
  <c r="C101" i="10"/>
  <c r="E101" i="10" s="1"/>
  <c r="R44" i="6"/>
  <c r="R43" i="6" s="1"/>
  <c r="R28" i="6" s="1"/>
  <c r="L147" i="6"/>
  <c r="I46" i="6"/>
  <c r="I43" i="6" s="1"/>
  <c r="I28" i="6" s="1"/>
  <c r="I94" i="6"/>
  <c r="V131" i="6"/>
  <c r="V130" i="6" s="1"/>
  <c r="V129" i="6" s="1"/>
  <c r="C95" i="10"/>
  <c r="E95" i="10" s="1"/>
  <c r="C94" i="10"/>
  <c r="E94" i="10" s="1"/>
  <c r="C96" i="10"/>
  <c r="E96" i="10" s="1"/>
  <c r="F92" i="6" l="1"/>
  <c r="L95" i="6"/>
  <c r="F94" i="6"/>
  <c r="C67" i="10"/>
  <c r="E67" i="10" s="1"/>
  <c r="F91" i="6" l="1"/>
  <c r="F90" i="6" s="1"/>
  <c r="F64" i="6" l="1"/>
  <c r="F60" i="6"/>
  <c r="BD115" i="1"/>
  <c r="BP115" i="1" s="1"/>
  <c r="BP117" i="1"/>
  <c r="BD114" i="1"/>
  <c r="BP114" i="1" s="1"/>
  <c r="E102" i="5" l="1"/>
  <c r="F114" i="6"/>
  <c r="BP191" i="1" l="1"/>
  <c r="I142" i="6"/>
  <c r="L106" i="6"/>
  <c r="I69" i="6"/>
  <c r="BP63" i="1"/>
  <c r="BP66" i="1"/>
  <c r="BP65" i="1"/>
  <c r="BP64" i="1"/>
  <c r="BP61" i="1"/>
  <c r="BP60" i="1"/>
  <c r="BP59" i="1"/>
  <c r="BP58" i="1"/>
  <c r="C44" i="10"/>
  <c r="E44" i="10" s="1"/>
  <c r="C30" i="10"/>
  <c r="E30" i="10" s="1"/>
  <c r="C10" i="10"/>
  <c r="E10" i="10" s="1"/>
  <c r="BP11" i="1"/>
  <c r="BP10" i="1"/>
  <c r="BP9" i="1"/>
  <c r="BP8" i="1"/>
  <c r="D19" i="12" l="1"/>
  <c r="F19" i="12" s="1"/>
  <c r="D13" i="12"/>
  <c r="F13" i="12" s="1"/>
  <c r="D21" i="12"/>
  <c r="F21" i="12" s="1"/>
  <c r="E134" i="5"/>
  <c r="F9" i="6"/>
  <c r="C6" i="10"/>
  <c r="E6" i="10" s="1"/>
  <c r="C7" i="10"/>
  <c r="E7" i="10" s="1"/>
  <c r="E69" i="5"/>
  <c r="C5" i="10"/>
  <c r="E5" i="10" s="1"/>
  <c r="F8" i="6"/>
  <c r="E10" i="5"/>
  <c r="E72" i="5"/>
  <c r="C45" i="10"/>
  <c r="E45" i="10" s="1"/>
  <c r="E67" i="5"/>
  <c r="R192" i="6"/>
  <c r="C46" i="10"/>
  <c r="E46" i="10" s="1"/>
  <c r="C117" i="10"/>
  <c r="E117" i="10" s="1"/>
  <c r="C47" i="10"/>
  <c r="E47" i="10" s="1"/>
  <c r="C8" i="10"/>
  <c r="E8" i="10" s="1"/>
  <c r="F173" i="6"/>
  <c r="F172" i="6" s="1"/>
  <c r="C4" i="10" l="1"/>
  <c r="E4" i="10" s="1"/>
  <c r="F36" i="6"/>
  <c r="I190" i="6"/>
  <c r="I189" i="6" s="1"/>
  <c r="I188" i="6" s="1"/>
  <c r="E68" i="5"/>
  <c r="E71" i="5"/>
  <c r="E70" i="5" s="1"/>
  <c r="E66" i="5"/>
  <c r="L84" i="6"/>
  <c r="L83" i="6" s="1"/>
  <c r="L82" i="6" s="1"/>
  <c r="R85" i="6" l="1"/>
  <c r="R84" i="6" s="1"/>
  <c r="R83" i="6" s="1"/>
  <c r="E65" i="5"/>
  <c r="D44" i="9"/>
  <c r="F44" i="9" s="1"/>
  <c r="BP299" i="1"/>
  <c r="BP300" i="1"/>
  <c r="BP301" i="1"/>
  <c r="F204" i="6"/>
  <c r="I204" i="6" l="1"/>
  <c r="L205" i="6"/>
  <c r="L204" i="6" s="1"/>
  <c r="I198" i="6"/>
  <c r="I197" i="6" s="1"/>
  <c r="BP71" i="1" l="1"/>
  <c r="C29" i="10" l="1"/>
  <c r="E29" i="10" s="1"/>
  <c r="BP260" i="1"/>
  <c r="BP261" i="1"/>
  <c r="BP281" i="1" l="1"/>
  <c r="BP283" i="1"/>
  <c r="BP284" i="1"/>
  <c r="BP285" i="1"/>
  <c r="BP272" i="1"/>
  <c r="BP273" i="1"/>
  <c r="BP274" i="1"/>
  <c r="BP275" i="1"/>
  <c r="BP263" i="1"/>
  <c r="BP264" i="1"/>
  <c r="BP265" i="1"/>
  <c r="BP266" i="1"/>
  <c r="BP267" i="1"/>
  <c r="BP268" i="1"/>
  <c r="BP269" i="1"/>
  <c r="BP270" i="1"/>
  <c r="C89" i="10" l="1"/>
  <c r="E89" i="10" s="1"/>
  <c r="C148" i="10"/>
  <c r="E148" i="10" s="1"/>
  <c r="C90" i="10"/>
  <c r="E90" i="10" s="1"/>
  <c r="C88" i="10"/>
  <c r="E88" i="10" s="1"/>
  <c r="E17" i="5"/>
  <c r="BP43" i="1" l="1"/>
  <c r="BP258" i="1" l="1"/>
  <c r="BP76" i="1" l="1"/>
  <c r="R191" i="6" l="1"/>
  <c r="L190" i="6" l="1"/>
  <c r="L189" i="6" s="1"/>
  <c r="L188" i="6" s="1"/>
  <c r="R190" i="6" l="1"/>
  <c r="R189" i="6" s="1"/>
  <c r="R188" i="6" s="1"/>
  <c r="BP165" i="1"/>
  <c r="E120" i="5" l="1"/>
  <c r="C92" i="10"/>
  <c r="E92" i="10" s="1"/>
  <c r="O135" i="6"/>
  <c r="O134" i="6" s="1"/>
  <c r="L135" i="6"/>
  <c r="L134" i="6" s="1"/>
  <c r="S135" i="6"/>
  <c r="S134" i="6" s="1"/>
  <c r="I135" i="6"/>
  <c r="I134" i="6" s="1"/>
  <c r="F135" i="6" l="1"/>
  <c r="F134" i="6" s="1"/>
  <c r="AB136" i="6"/>
  <c r="AB135" i="6" s="1"/>
  <c r="AB134" i="6" s="1"/>
  <c r="E119" i="5"/>
  <c r="E118" i="5" s="1"/>
  <c r="I92" i="6" l="1"/>
  <c r="I91" i="6" s="1"/>
  <c r="I90" i="6" s="1"/>
  <c r="L93" i="6"/>
  <c r="F177" i="6"/>
  <c r="F176" i="6" s="1"/>
  <c r="F181" i="6"/>
  <c r="F180" i="6" s="1"/>
  <c r="L149" i="6"/>
  <c r="L117" i="6"/>
  <c r="L116" i="6"/>
  <c r="L114" i="6"/>
  <c r="L113" i="6"/>
  <c r="L108" i="6"/>
  <c r="L104" i="6"/>
  <c r="I156" i="6" l="1"/>
  <c r="I155" i="6" s="1"/>
  <c r="I146" i="6"/>
  <c r="F171" i="6"/>
  <c r="F112" i="6" l="1"/>
  <c r="F111" i="6" s="1"/>
  <c r="L115" i="6"/>
  <c r="L112" i="6" s="1"/>
  <c r="L111" i="6" s="1"/>
  <c r="E15" i="5"/>
  <c r="E14" i="5" s="1"/>
  <c r="E13" i="5" s="1"/>
  <c r="C4" i="11" s="1"/>
  <c r="C87" i="10"/>
  <c r="E87" i="10" s="1"/>
  <c r="C85" i="10"/>
  <c r="E85" i="10" s="1"/>
  <c r="C86" i="10"/>
  <c r="E86" i="10" s="1"/>
  <c r="C77" i="10"/>
  <c r="E77" i="10" s="1"/>
  <c r="BP69" i="1" l="1"/>
  <c r="BP13" i="1"/>
  <c r="BP305" i="1"/>
  <c r="BP304" i="1"/>
  <c r="BP303" i="1"/>
  <c r="BP302" i="1"/>
  <c r="BP298" i="1"/>
  <c r="BP297" i="1"/>
  <c r="BP296" i="1"/>
  <c r="BP295" i="1"/>
  <c r="BP294" i="1"/>
  <c r="L200" i="6"/>
  <c r="BP292" i="1"/>
  <c r="BP291" i="1"/>
  <c r="BP290" i="1"/>
  <c r="BP288" i="1"/>
  <c r="BP287" i="1"/>
  <c r="BP286" i="1"/>
  <c r="BP280" i="1"/>
  <c r="BP279" i="1"/>
  <c r="BP278" i="1"/>
  <c r="BP277" i="1"/>
  <c r="BP276" i="1"/>
  <c r="BP271" i="1"/>
  <c r="BP262" i="1"/>
  <c r="BP255" i="1"/>
  <c r="BP254" i="1"/>
  <c r="BP252" i="1"/>
  <c r="U167" i="6"/>
  <c r="BP250" i="1"/>
  <c r="BP249" i="1"/>
  <c r="BP247" i="1"/>
  <c r="BP246" i="1"/>
  <c r="BP245" i="1"/>
  <c r="BP244" i="1"/>
  <c r="BD241" i="1"/>
  <c r="BP239" i="1"/>
  <c r="BP238" i="1"/>
  <c r="BP237" i="1"/>
  <c r="BP236" i="1"/>
  <c r="BP235" i="1"/>
  <c r="BP234" i="1"/>
  <c r="BP233" i="1"/>
  <c r="BP232" i="1"/>
  <c r="BP231" i="1"/>
  <c r="BP230" i="1"/>
  <c r="BP229" i="1"/>
  <c r="BP228" i="1"/>
  <c r="BP227" i="1"/>
  <c r="BP226" i="1"/>
  <c r="BP225" i="1"/>
  <c r="BP224" i="1"/>
  <c r="BP223" i="1"/>
  <c r="BP222" i="1"/>
  <c r="BP221" i="1"/>
  <c r="BP220" i="1"/>
  <c r="BP219" i="1"/>
  <c r="BP218" i="1"/>
  <c r="BP217" i="1"/>
  <c r="BP216" i="1"/>
  <c r="BP215" i="1"/>
  <c r="BP214" i="1"/>
  <c r="BP213" i="1"/>
  <c r="BP212" i="1"/>
  <c r="BP211" i="1"/>
  <c r="BP210" i="1"/>
  <c r="BP209" i="1"/>
  <c r="BP208" i="1"/>
  <c r="BP207" i="1"/>
  <c r="BP205" i="1"/>
  <c r="BP203" i="1"/>
  <c r="BD201" i="1"/>
  <c r="BP201" i="1" s="1"/>
  <c r="BP193" i="1"/>
  <c r="BP192" i="1"/>
  <c r="I153" i="6"/>
  <c r="I151" i="6"/>
  <c r="BP189" i="1"/>
  <c r="BP188" i="1"/>
  <c r="BP187" i="1"/>
  <c r="BP186" i="1"/>
  <c r="BP185" i="1"/>
  <c r="BP184" i="1"/>
  <c r="BP183" i="1"/>
  <c r="BP182" i="1"/>
  <c r="BP181" i="1"/>
  <c r="BP180" i="1"/>
  <c r="BP179" i="1"/>
  <c r="L148" i="6"/>
  <c r="I144" i="6"/>
  <c r="I141" i="6" s="1"/>
  <c r="AB132" i="6"/>
  <c r="BP129" i="1"/>
  <c r="BP128" i="1"/>
  <c r="C80" i="10"/>
  <c r="E80" i="10" s="1"/>
  <c r="C78" i="10"/>
  <c r="E78" i="10" s="1"/>
  <c r="C75" i="10"/>
  <c r="E75" i="10" s="1"/>
  <c r="C74" i="10"/>
  <c r="E74" i="10" s="1"/>
  <c r="C72" i="10"/>
  <c r="E72" i="10" s="1"/>
  <c r="L107" i="6"/>
  <c r="D26" i="9"/>
  <c r="F26" i="9" s="1"/>
  <c r="L103" i="6"/>
  <c r="C64" i="10"/>
  <c r="E64" i="10" s="1"/>
  <c r="BP88" i="1"/>
  <c r="BP87" i="1"/>
  <c r="BP86" i="1"/>
  <c r="BP82" i="1"/>
  <c r="BP83" i="1"/>
  <c r="BP81" i="1"/>
  <c r="BP80" i="1"/>
  <c r="BP79" i="1"/>
  <c r="BP78" i="1"/>
  <c r="BP77" i="1"/>
  <c r="BP75" i="1"/>
  <c r="BP74" i="1"/>
  <c r="BP72" i="1"/>
  <c r="BP68" i="1"/>
  <c r="I74" i="6"/>
  <c r="I72" i="6"/>
  <c r="BP56" i="1"/>
  <c r="L70" i="6"/>
  <c r="BP55" i="1"/>
  <c r="BP54" i="1"/>
  <c r="BP53" i="1"/>
  <c r="BP52" i="1"/>
  <c r="BP51" i="1"/>
  <c r="BP50" i="1"/>
  <c r="BP49" i="1"/>
  <c r="L65" i="6"/>
  <c r="BP48" i="1"/>
  <c r="L62" i="6"/>
  <c r="BP46" i="1"/>
  <c r="L61" i="6"/>
  <c r="BP45" i="1"/>
  <c r="BP44" i="1"/>
  <c r="BP42" i="1"/>
  <c r="BP41" i="1"/>
  <c r="BP40" i="1"/>
  <c r="BP39" i="1"/>
  <c r="BP38" i="1"/>
  <c r="U50" i="6"/>
  <c r="BP37" i="1"/>
  <c r="O48" i="6"/>
  <c r="L48" i="6"/>
  <c r="L46" i="6"/>
  <c r="BP34" i="1"/>
  <c r="BP33" i="1"/>
  <c r="BP30" i="1"/>
  <c r="BP29" i="1"/>
  <c r="BP27" i="1"/>
  <c r="BP26" i="1"/>
  <c r="O30" i="6"/>
  <c r="L30" i="6"/>
  <c r="BP25" i="1"/>
  <c r="BP24" i="1"/>
  <c r="F23" i="6"/>
  <c r="F22" i="6" s="1"/>
  <c r="BP23" i="1"/>
  <c r="BP22" i="1"/>
  <c r="BP21" i="1"/>
  <c r="BP20" i="1"/>
  <c r="BP19" i="1"/>
  <c r="BP18" i="1"/>
  <c r="BP17" i="1"/>
  <c r="C14" i="10"/>
  <c r="E14" i="10" s="1"/>
  <c r="C13" i="10"/>
  <c r="E13" i="10" s="1"/>
  <c r="BP14" i="1"/>
  <c r="D10" i="12" l="1"/>
  <c r="D11" i="12"/>
  <c r="F11" i="12" s="1"/>
  <c r="D23" i="12"/>
  <c r="E145" i="5"/>
  <c r="D6" i="12"/>
  <c r="D33" i="12"/>
  <c r="D32" i="12"/>
  <c r="D30" i="12"/>
  <c r="D24" i="12"/>
  <c r="D20" i="12"/>
  <c r="F20" i="12" s="1"/>
  <c r="D16" i="12"/>
  <c r="F16" i="12" s="1"/>
  <c r="D15" i="12"/>
  <c r="F15" i="12" s="1"/>
  <c r="D9" i="12"/>
  <c r="D7" i="12"/>
  <c r="E178" i="5"/>
  <c r="E173" i="5"/>
  <c r="C157" i="10"/>
  <c r="E157" i="10" s="1"/>
  <c r="C140" i="10"/>
  <c r="E140" i="10" s="1"/>
  <c r="C137" i="10"/>
  <c r="E137" i="10" s="1"/>
  <c r="C141" i="10"/>
  <c r="E141" i="10" s="1"/>
  <c r="C139" i="10"/>
  <c r="E139" i="10" s="1"/>
  <c r="C138" i="10"/>
  <c r="E138" i="10" s="1"/>
  <c r="C126" i="10"/>
  <c r="E126" i="10" s="1"/>
  <c r="C106" i="10"/>
  <c r="E106" i="10" s="1"/>
  <c r="C105" i="10"/>
  <c r="E105" i="10" s="1"/>
  <c r="C104" i="10"/>
  <c r="E104" i="10" s="1"/>
  <c r="C108" i="10"/>
  <c r="E108" i="10" s="1"/>
  <c r="E78" i="5"/>
  <c r="C51" i="10"/>
  <c r="E51" i="10" s="1"/>
  <c r="E64" i="5"/>
  <c r="E55" i="5"/>
  <c r="E50" i="5"/>
  <c r="C28" i="10"/>
  <c r="E28" i="10" s="1"/>
  <c r="E31" i="5"/>
  <c r="E33" i="5"/>
  <c r="E27" i="5"/>
  <c r="E35" i="5"/>
  <c r="C19" i="10"/>
  <c r="E19" i="10" s="1"/>
  <c r="C16" i="10"/>
  <c r="E16" i="10" s="1"/>
  <c r="O166" i="6"/>
  <c r="BD306" i="1"/>
  <c r="BD308" i="1" s="1"/>
  <c r="F16" i="6"/>
  <c r="E29" i="5"/>
  <c r="E46" i="5"/>
  <c r="E131" i="5"/>
  <c r="E180" i="5"/>
  <c r="E185" i="5"/>
  <c r="C38" i="10"/>
  <c r="E38" i="10" s="1"/>
  <c r="E57" i="5"/>
  <c r="E61" i="5"/>
  <c r="C81" i="10"/>
  <c r="E81" i="10" s="1"/>
  <c r="F124" i="6"/>
  <c r="E110" i="5"/>
  <c r="C118" i="10"/>
  <c r="E118" i="10" s="1"/>
  <c r="E136" i="5"/>
  <c r="O165" i="6"/>
  <c r="C147" i="10"/>
  <c r="E147" i="10" s="1"/>
  <c r="E152" i="5"/>
  <c r="C18" i="10"/>
  <c r="E18" i="10" s="1"/>
  <c r="E22" i="5"/>
  <c r="C31" i="10"/>
  <c r="E31" i="10" s="1"/>
  <c r="E45" i="5"/>
  <c r="C33" i="10"/>
  <c r="E33" i="10" s="1"/>
  <c r="E49" i="5"/>
  <c r="C39" i="10"/>
  <c r="E39" i="10" s="1"/>
  <c r="E59" i="5"/>
  <c r="C41" i="10"/>
  <c r="E41" i="10" s="1"/>
  <c r="E62" i="5"/>
  <c r="C49" i="10"/>
  <c r="E49" i="10" s="1"/>
  <c r="E85" i="5"/>
  <c r="C82" i="10"/>
  <c r="E82" i="10" s="1"/>
  <c r="F125" i="6"/>
  <c r="E111" i="5"/>
  <c r="C149" i="10"/>
  <c r="E149" i="10" s="1"/>
  <c r="E153" i="5"/>
  <c r="C151" i="10"/>
  <c r="E151" i="10" s="1"/>
  <c r="E157" i="5"/>
  <c r="E167" i="5"/>
  <c r="C12" i="10"/>
  <c r="E12" i="10" s="1"/>
  <c r="F17" i="6"/>
  <c r="E130" i="5"/>
  <c r="C119" i="10"/>
  <c r="E119" i="10" s="1"/>
  <c r="E139" i="5"/>
  <c r="E156" i="5"/>
  <c r="C152" i="10"/>
  <c r="E152" i="10" s="1"/>
  <c r="E160" i="5"/>
  <c r="C156" i="10"/>
  <c r="E156" i="10" s="1"/>
  <c r="E168" i="5"/>
  <c r="C103" i="10"/>
  <c r="E103" i="10" s="1"/>
  <c r="F109" i="6"/>
  <c r="L110" i="6"/>
  <c r="L109" i="6" s="1"/>
  <c r="L105" i="6"/>
  <c r="L101" i="6" s="1"/>
  <c r="F101" i="6"/>
  <c r="C110" i="10"/>
  <c r="E110" i="10" s="1"/>
  <c r="I202" i="6"/>
  <c r="I201" i="6" s="1"/>
  <c r="I196" i="6" s="1"/>
  <c r="F144" i="6"/>
  <c r="L145" i="6"/>
  <c r="L144" i="6" s="1"/>
  <c r="N94" i="6"/>
  <c r="N91" i="6" s="1"/>
  <c r="N90" i="6" s="1"/>
  <c r="M94" i="6"/>
  <c r="M91" i="6" s="1"/>
  <c r="M90" i="6" s="1"/>
  <c r="L67" i="6"/>
  <c r="L68" i="6"/>
  <c r="F72" i="6"/>
  <c r="L73" i="6"/>
  <c r="L72" i="6" s="1"/>
  <c r="F74" i="6"/>
  <c r="L75" i="6"/>
  <c r="L74" i="6" s="1"/>
  <c r="F46" i="6"/>
  <c r="C32" i="10"/>
  <c r="E32" i="10" s="1"/>
  <c r="C40" i="10"/>
  <c r="E40" i="10" s="1"/>
  <c r="C60" i="10"/>
  <c r="E60" i="10" s="1"/>
  <c r="C62" i="10"/>
  <c r="E62" i="10" s="1"/>
  <c r="C63" i="10"/>
  <c r="E63" i="10" s="1"/>
  <c r="C69" i="10"/>
  <c r="E69" i="10" s="1"/>
  <c r="C113" i="10"/>
  <c r="E113" i="10" s="1"/>
  <c r="C124" i="10"/>
  <c r="E124" i="10" s="1"/>
  <c r="C125" i="10"/>
  <c r="E125" i="10" s="1"/>
  <c r="C131" i="10"/>
  <c r="E131" i="10" s="1"/>
  <c r="C132" i="10"/>
  <c r="E132" i="10" s="1"/>
  <c r="C150" i="10"/>
  <c r="E150" i="10" s="1"/>
  <c r="C162" i="10"/>
  <c r="E162" i="10" s="1"/>
  <c r="C164" i="10"/>
  <c r="E164" i="10" s="1"/>
  <c r="C52" i="10"/>
  <c r="E52" i="10" s="1"/>
  <c r="D39" i="9"/>
  <c r="F39" i="9" s="1"/>
  <c r="C76" i="10"/>
  <c r="E76" i="10" s="1"/>
  <c r="D11" i="9"/>
  <c r="F11" i="9" s="1"/>
  <c r="C91" i="10"/>
  <c r="E91" i="10" s="1"/>
  <c r="C11" i="10"/>
  <c r="E11" i="10" s="1"/>
  <c r="C24" i="10"/>
  <c r="E24" i="10" s="1"/>
  <c r="C25" i="10"/>
  <c r="E25" i="10" s="1"/>
  <c r="C15" i="10"/>
  <c r="E15" i="10" s="1"/>
  <c r="C21" i="10"/>
  <c r="E21" i="10" s="1"/>
  <c r="C22" i="10"/>
  <c r="E22" i="10" s="1"/>
  <c r="C23" i="10"/>
  <c r="E23" i="10" s="1"/>
  <c r="C34" i="10"/>
  <c r="E34" i="10" s="1"/>
  <c r="C36" i="10"/>
  <c r="E36" i="10" s="1"/>
  <c r="C42" i="10"/>
  <c r="E42" i="10" s="1"/>
  <c r="C54" i="10"/>
  <c r="E54" i="10" s="1"/>
  <c r="C55" i="10"/>
  <c r="E55" i="10" s="1"/>
  <c r="C56" i="10"/>
  <c r="E56" i="10" s="1"/>
  <c r="C61" i="10"/>
  <c r="E61" i="10" s="1"/>
  <c r="C65" i="10"/>
  <c r="E65" i="10" s="1"/>
  <c r="C66" i="10"/>
  <c r="E66" i="10" s="1"/>
  <c r="D27" i="9"/>
  <c r="F27" i="9" s="1"/>
  <c r="C68" i="10"/>
  <c r="E68" i="10" s="1"/>
  <c r="C70" i="10"/>
  <c r="E70" i="10" s="1"/>
  <c r="C71" i="10"/>
  <c r="E71" i="10" s="1"/>
  <c r="C107" i="10"/>
  <c r="E107" i="10" s="1"/>
  <c r="C109" i="10"/>
  <c r="E109" i="10" s="1"/>
  <c r="C127" i="10"/>
  <c r="E127" i="10" s="1"/>
  <c r="C128" i="10"/>
  <c r="E128" i="10" s="1"/>
  <c r="C129" i="10"/>
  <c r="E129" i="10" s="1"/>
  <c r="C130" i="10"/>
  <c r="E130" i="10" s="1"/>
  <c r="C133" i="10"/>
  <c r="E133" i="10" s="1"/>
  <c r="C136" i="10"/>
  <c r="E136" i="10" s="1"/>
  <c r="C155" i="10"/>
  <c r="E155" i="10" s="1"/>
  <c r="C159" i="10"/>
  <c r="E159" i="10" s="1"/>
  <c r="C161" i="10"/>
  <c r="E161" i="10" s="1"/>
  <c r="I164" i="6"/>
  <c r="I163" i="6" s="1"/>
  <c r="I162" i="6" s="1"/>
  <c r="L32" i="6"/>
  <c r="L34" i="6"/>
  <c r="O32" i="6"/>
  <c r="O34" i="6"/>
  <c r="L38" i="6"/>
  <c r="O38" i="6"/>
  <c r="D41" i="9"/>
  <c r="F41" i="9" s="1"/>
  <c r="I71" i="6"/>
  <c r="I150" i="6"/>
  <c r="I140" i="6" s="1"/>
  <c r="O131" i="6"/>
  <c r="O130" i="6" s="1"/>
  <c r="O129" i="6" s="1"/>
  <c r="L146" i="6"/>
  <c r="F146" i="6"/>
  <c r="F66" i="6"/>
  <c r="I66" i="6"/>
  <c r="I23" i="6"/>
  <c r="I22" i="6" s="1"/>
  <c r="I21" i="6" s="1"/>
  <c r="L64" i="6"/>
  <c r="I64" i="6"/>
  <c r="L69" i="6"/>
  <c r="F69" i="6"/>
  <c r="O52" i="6"/>
  <c r="O51" i="6" s="1"/>
  <c r="U49" i="6"/>
  <c r="L44" i="6"/>
  <c r="L43" i="6" s="1"/>
  <c r="L94" i="6"/>
  <c r="F202" i="6"/>
  <c r="F201" i="6" s="1"/>
  <c r="U31" i="6"/>
  <c r="F21" i="6"/>
  <c r="E133" i="5"/>
  <c r="BP241" i="1"/>
  <c r="BP256" i="1"/>
  <c r="D25" i="9"/>
  <c r="F25" i="9" s="1"/>
  <c r="D29" i="9"/>
  <c r="F29" i="9" s="1"/>
  <c r="D28" i="9"/>
  <c r="F28" i="9" s="1"/>
  <c r="BP47" i="1"/>
  <c r="D4" i="12" s="1"/>
  <c r="E126" i="5"/>
  <c r="BP293" i="1"/>
  <c r="BP84" i="1"/>
  <c r="E83" i="5" s="1"/>
  <c r="C58" i="10"/>
  <c r="E58" i="10" s="1"/>
  <c r="BP251" i="1"/>
  <c r="BP32" i="1"/>
  <c r="BP253" i="1"/>
  <c r="BP73" i="1"/>
  <c r="BP242" i="1"/>
  <c r="U47" i="6"/>
  <c r="C73" i="10"/>
  <c r="E73" i="10" s="1"/>
  <c r="F32" i="12" l="1"/>
  <c r="D29" i="12"/>
  <c r="D14" i="12"/>
  <c r="F14" i="12" s="1"/>
  <c r="D18" i="12"/>
  <c r="C134" i="10"/>
  <c r="E134" i="10" s="1"/>
  <c r="C143" i="10"/>
  <c r="E143" i="10" s="1"/>
  <c r="D8" i="12"/>
  <c r="F4" i="12"/>
  <c r="E109" i="5"/>
  <c r="E108" i="5" s="1"/>
  <c r="E107" i="5" s="1"/>
  <c r="C11" i="11" s="1"/>
  <c r="F33" i="12"/>
  <c r="D5" i="12"/>
  <c r="F30" i="12"/>
  <c r="BP307" i="1"/>
  <c r="C135" i="10"/>
  <c r="E135" i="10" s="1"/>
  <c r="C142" i="10"/>
  <c r="E142" i="10" s="1"/>
  <c r="E34" i="5"/>
  <c r="F6" i="12"/>
  <c r="F23" i="12"/>
  <c r="E28" i="5"/>
  <c r="E32" i="5"/>
  <c r="E30" i="5"/>
  <c r="F10" i="12"/>
  <c r="D31" i="12"/>
  <c r="F31" i="12" s="1"/>
  <c r="C57" i="10"/>
  <c r="E57" i="10" s="1"/>
  <c r="E56" i="5"/>
  <c r="E41" i="5"/>
  <c r="F7" i="12"/>
  <c r="F15" i="6"/>
  <c r="F14" i="6" s="1"/>
  <c r="F13" i="6" s="1"/>
  <c r="BP306" i="1"/>
  <c r="D6" i="9"/>
  <c r="F6" i="9" s="1"/>
  <c r="D43" i="9"/>
  <c r="F43" i="9" s="1"/>
  <c r="F123" i="6"/>
  <c r="F122" i="6" s="1"/>
  <c r="F121" i="6" s="1"/>
  <c r="C123" i="10"/>
  <c r="E123" i="10" s="1"/>
  <c r="C17" i="10"/>
  <c r="E17" i="10" s="1"/>
  <c r="D13" i="9"/>
  <c r="F13" i="9" s="1"/>
  <c r="C160" i="10"/>
  <c r="E160" i="10" s="1"/>
  <c r="E175" i="5"/>
  <c r="E147" i="5"/>
  <c r="F9" i="12" s="1"/>
  <c r="C79" i="10"/>
  <c r="E79" i="10" s="1"/>
  <c r="E146" i="5"/>
  <c r="E77" i="5"/>
  <c r="U165" i="6"/>
  <c r="F100" i="6"/>
  <c r="F99" i="6" s="1"/>
  <c r="D55" i="9"/>
  <c r="F55" i="9" s="1"/>
  <c r="O44" i="6"/>
  <c r="U45" i="6"/>
  <c r="U44" i="6" s="1"/>
  <c r="L100" i="6"/>
  <c r="L99" i="6" s="1"/>
  <c r="H184" i="6"/>
  <c r="H216" i="6" s="1"/>
  <c r="G184" i="6"/>
  <c r="G216" i="6" s="1"/>
  <c r="E9" i="5"/>
  <c r="E8" i="5" s="1"/>
  <c r="E7" i="5" s="1"/>
  <c r="E166" i="5"/>
  <c r="E165" i="5" s="1"/>
  <c r="E164" i="5" s="1"/>
  <c r="C17" i="11" s="1"/>
  <c r="M17" i="11" s="1"/>
  <c r="N17" i="11" s="1"/>
  <c r="D33" i="9"/>
  <c r="F33" i="9" s="1"/>
  <c r="D23" i="9"/>
  <c r="F23" i="9" s="1"/>
  <c r="E89" i="5"/>
  <c r="D16" i="9"/>
  <c r="F16" i="9" s="1"/>
  <c r="E60" i="5"/>
  <c r="D17" i="9"/>
  <c r="F17" i="9" s="1"/>
  <c r="C145" i="10"/>
  <c r="E145" i="10" s="1"/>
  <c r="C144" i="10"/>
  <c r="E144" i="10" s="1"/>
  <c r="D19" i="9"/>
  <c r="F19" i="9" s="1"/>
  <c r="D15" i="9"/>
  <c r="F15" i="9" s="1"/>
  <c r="C84" i="10"/>
  <c r="E84" i="10" s="1"/>
  <c r="L203" i="6"/>
  <c r="L202" i="6" s="1"/>
  <c r="L201" i="6" s="1"/>
  <c r="C154" i="10"/>
  <c r="E154" i="10" s="1"/>
  <c r="C163" i="10"/>
  <c r="E163" i="10" s="1"/>
  <c r="C146" i="10"/>
  <c r="E146" i="10" s="1"/>
  <c r="F156" i="6"/>
  <c r="F155" i="6" s="1"/>
  <c r="L157" i="6"/>
  <c r="F142" i="6"/>
  <c r="F141" i="6" s="1"/>
  <c r="L143" i="6"/>
  <c r="L142" i="6" s="1"/>
  <c r="L141" i="6" s="1"/>
  <c r="F153" i="6"/>
  <c r="L154" i="6"/>
  <c r="L153" i="6" s="1"/>
  <c r="F151" i="6"/>
  <c r="L152" i="6"/>
  <c r="L151" i="6" s="1"/>
  <c r="F71" i="6"/>
  <c r="F131" i="6"/>
  <c r="F130" i="6" s="1"/>
  <c r="F129" i="6" s="1"/>
  <c r="U39" i="6"/>
  <c r="U38" i="6" s="1"/>
  <c r="F77" i="6"/>
  <c r="F76" i="6" s="1"/>
  <c r="U33" i="6"/>
  <c r="U32" i="6" s="1"/>
  <c r="U35" i="6"/>
  <c r="U34" i="6" s="1"/>
  <c r="U53" i="6"/>
  <c r="U54" i="6"/>
  <c r="F52" i="6"/>
  <c r="F51" i="6" s="1"/>
  <c r="F30" i="6"/>
  <c r="U30" i="6"/>
  <c r="F44" i="6"/>
  <c r="F38" i="6"/>
  <c r="E26" i="5"/>
  <c r="E177" i="5"/>
  <c r="E63" i="5"/>
  <c r="C93" i="10"/>
  <c r="E93" i="10" s="1"/>
  <c r="C59" i="10"/>
  <c r="E59" i="10" s="1"/>
  <c r="C27" i="10"/>
  <c r="E27" i="10" s="1"/>
  <c r="C37" i="10"/>
  <c r="E37" i="10" s="1"/>
  <c r="C9" i="10"/>
  <c r="E9" i="10" s="1"/>
  <c r="C50" i="10"/>
  <c r="E50" i="10" s="1"/>
  <c r="D20" i="9"/>
  <c r="F20" i="9" s="1"/>
  <c r="D24" i="9"/>
  <c r="F24" i="9" s="1"/>
  <c r="E138" i="5"/>
  <c r="E137" i="5" s="1"/>
  <c r="E97" i="5"/>
  <c r="E58" i="5"/>
  <c r="L52" i="6"/>
  <c r="L51" i="6" s="1"/>
  <c r="E48" i="5"/>
  <c r="E47" i="5" s="1"/>
  <c r="L71" i="6"/>
  <c r="E155" i="5"/>
  <c r="E154" i="5" s="1"/>
  <c r="E151" i="5"/>
  <c r="E150" i="5" s="1"/>
  <c r="E128" i="5"/>
  <c r="E135" i="5"/>
  <c r="E132" i="5" s="1"/>
  <c r="F211" i="6"/>
  <c r="F210" i="6" s="1"/>
  <c r="F209" i="6" s="1"/>
  <c r="E159" i="5"/>
  <c r="E158" i="5" s="1"/>
  <c r="E179" i="5"/>
  <c r="E44" i="5"/>
  <c r="O164" i="6"/>
  <c r="O163" i="6" s="1"/>
  <c r="O162" i="6" s="1"/>
  <c r="L66" i="6"/>
  <c r="L164" i="6"/>
  <c r="L163" i="6" s="1"/>
  <c r="L162" i="6" s="1"/>
  <c r="L131" i="6"/>
  <c r="L130" i="6" s="1"/>
  <c r="L129" i="6" s="1"/>
  <c r="I131" i="6"/>
  <c r="I130" i="6" s="1"/>
  <c r="I129" i="6" s="1"/>
  <c r="F34" i="6"/>
  <c r="U46" i="6"/>
  <c r="O46" i="6"/>
  <c r="U48" i="6"/>
  <c r="F48" i="6"/>
  <c r="F59" i="6"/>
  <c r="F7" i="6"/>
  <c r="F6" i="6" s="1"/>
  <c r="F5" i="6" s="1"/>
  <c r="F32" i="6"/>
  <c r="I77" i="6"/>
  <c r="I76" i="6" s="1"/>
  <c r="O36" i="6"/>
  <c r="O29" i="6" s="1"/>
  <c r="U37" i="6"/>
  <c r="AB133" i="6"/>
  <c r="E124" i="5"/>
  <c r="E42" i="5"/>
  <c r="E21" i="5"/>
  <c r="E20" i="5" s="1"/>
  <c r="F8" i="12" l="1"/>
  <c r="C3" i="11"/>
  <c r="F3" i="11" s="1"/>
  <c r="E19" i="5"/>
  <c r="C5" i="11" s="1"/>
  <c r="F5" i="12"/>
  <c r="F24" i="12"/>
  <c r="BP308" i="1"/>
  <c r="E25" i="5"/>
  <c r="D17" i="12"/>
  <c r="F18" i="12"/>
  <c r="D30" i="9"/>
  <c r="D28" i="12"/>
  <c r="F29" i="12"/>
  <c r="D22" i="12"/>
  <c r="D3" i="12"/>
  <c r="C53" i="10"/>
  <c r="E53" i="10" s="1"/>
  <c r="O43" i="6"/>
  <c r="O28" i="6" s="1"/>
  <c r="C158" i="10"/>
  <c r="E144" i="5"/>
  <c r="E143" i="5" s="1"/>
  <c r="C122" i="10"/>
  <c r="E122" i="10" s="1"/>
  <c r="U43" i="6"/>
  <c r="F150" i="6"/>
  <c r="F140" i="6" s="1"/>
  <c r="D54" i="9"/>
  <c r="F54" i="9" s="1"/>
  <c r="E172" i="5"/>
  <c r="M11" i="11"/>
  <c r="N11" i="11" s="1"/>
  <c r="F11" i="11"/>
  <c r="H11" i="11"/>
  <c r="F17" i="11"/>
  <c r="H17" i="11"/>
  <c r="M4" i="11"/>
  <c r="N4" i="11" s="1"/>
  <c r="F4" i="11"/>
  <c r="H4" i="11"/>
  <c r="E176" i="5"/>
  <c r="E88" i="5"/>
  <c r="E76" i="5"/>
  <c r="E75" i="5" s="1"/>
  <c r="D37" i="9"/>
  <c r="F37" i="9" s="1"/>
  <c r="E149" i="5"/>
  <c r="C15" i="11" s="1"/>
  <c r="E123" i="5"/>
  <c r="E122" i="5" s="1"/>
  <c r="C13" i="11" s="1"/>
  <c r="D9" i="9"/>
  <c r="F9" i="9" s="1"/>
  <c r="C83" i="10"/>
  <c r="E83" i="10" s="1"/>
  <c r="C20" i="10"/>
  <c r="E20" i="10" s="1"/>
  <c r="F198" i="6"/>
  <c r="F197" i="6" s="1"/>
  <c r="F196" i="6" s="1"/>
  <c r="L199" i="6"/>
  <c r="L198" i="6" s="1"/>
  <c r="L197" i="6" s="1"/>
  <c r="L196" i="6" s="1"/>
  <c r="F214" i="6" s="1"/>
  <c r="C48" i="10"/>
  <c r="E48" i="10" s="1"/>
  <c r="C35" i="10"/>
  <c r="E35" i="10" s="1"/>
  <c r="F164" i="6"/>
  <c r="F163" i="6" s="1"/>
  <c r="F162" i="6" s="1"/>
  <c r="U166" i="6"/>
  <c r="L92" i="6"/>
  <c r="L91" i="6" s="1"/>
  <c r="F43" i="6"/>
  <c r="F58" i="6"/>
  <c r="L78" i="6"/>
  <c r="L77" i="6" s="1"/>
  <c r="L76" i="6" s="1"/>
  <c r="I60" i="6"/>
  <c r="I59" i="6" s="1"/>
  <c r="I58" i="6" s="1"/>
  <c r="L63" i="6"/>
  <c r="L60" i="6" s="1"/>
  <c r="L59" i="6" s="1"/>
  <c r="L36" i="6"/>
  <c r="L29" i="6" s="1"/>
  <c r="L28" i="6" s="1"/>
  <c r="U36" i="6"/>
  <c r="U29" i="6" s="1"/>
  <c r="D4" i="9"/>
  <c r="F4" i="9" s="1"/>
  <c r="D57" i="9"/>
  <c r="F57" i="9" s="1"/>
  <c r="D21" i="9"/>
  <c r="F21" i="9" s="1"/>
  <c r="D14" i="9"/>
  <c r="F14" i="9" s="1"/>
  <c r="D40" i="9"/>
  <c r="F40" i="9" s="1"/>
  <c r="D59" i="9"/>
  <c r="F59" i="9" s="1"/>
  <c r="D46" i="9"/>
  <c r="F46" i="9" s="1"/>
  <c r="D12" i="9"/>
  <c r="F12" i="9" s="1"/>
  <c r="D47" i="9"/>
  <c r="F47" i="9" s="1"/>
  <c r="D42" i="9"/>
  <c r="F42" i="9" s="1"/>
  <c r="D32" i="9"/>
  <c r="F32" i="9" s="1"/>
  <c r="D34" i="9"/>
  <c r="F34" i="9" s="1"/>
  <c r="D48" i="9"/>
  <c r="F48" i="9" s="1"/>
  <c r="D18" i="9"/>
  <c r="F18" i="9" s="1"/>
  <c r="L156" i="6"/>
  <c r="L155" i="6" s="1"/>
  <c r="L150" i="6"/>
  <c r="F29" i="6"/>
  <c r="E82" i="5"/>
  <c r="R82" i="6"/>
  <c r="E84" i="5"/>
  <c r="E115" i="5"/>
  <c r="E114" i="5" s="1"/>
  <c r="E113" i="5" s="1"/>
  <c r="E174" i="5"/>
  <c r="R164" i="6"/>
  <c r="R163" i="6" s="1"/>
  <c r="R162" i="6" s="1"/>
  <c r="S131" i="6"/>
  <c r="S130" i="6" s="1"/>
  <c r="S129" i="6" s="1"/>
  <c r="U52" i="6"/>
  <c r="U51" i="6" s="1"/>
  <c r="E100" i="5"/>
  <c r="E99" i="5" s="1"/>
  <c r="M3" i="11" l="1"/>
  <c r="N3" i="11" s="1"/>
  <c r="H3" i="11"/>
  <c r="H5" i="11"/>
  <c r="F5" i="11"/>
  <c r="M5" i="11"/>
  <c r="N5" i="11" s="1"/>
  <c r="E142" i="5"/>
  <c r="C14" i="11" s="1"/>
  <c r="C12" i="11"/>
  <c r="E87" i="5"/>
  <c r="C10" i="11" s="1"/>
  <c r="M10" i="11" s="1"/>
  <c r="N10" i="11" s="1"/>
  <c r="E74" i="5"/>
  <c r="C8" i="11" s="1"/>
  <c r="F17" i="12"/>
  <c r="F3" i="12"/>
  <c r="D12" i="12"/>
  <c r="F22" i="12"/>
  <c r="D34" i="12"/>
  <c r="F28" i="12"/>
  <c r="C165" i="10"/>
  <c r="E165" i="10" s="1"/>
  <c r="E158" i="10"/>
  <c r="U28" i="6"/>
  <c r="M15" i="11"/>
  <c r="N15" i="11" s="1"/>
  <c r="D58" i="9"/>
  <c r="F58" i="9" s="1"/>
  <c r="E184" i="5"/>
  <c r="E183" i="5" s="1"/>
  <c r="E182" i="5" s="1"/>
  <c r="C19" i="11" s="1"/>
  <c r="D5" i="9"/>
  <c r="F5" i="9" s="1"/>
  <c r="E54" i="5"/>
  <c r="E53" i="5" s="1"/>
  <c r="E52" i="5" s="1"/>
  <c r="C7" i="11" s="1"/>
  <c r="M7" i="11" s="1"/>
  <c r="N7" i="11" s="1"/>
  <c r="E81" i="5"/>
  <c r="E80" i="5" s="1"/>
  <c r="C9" i="11" s="1"/>
  <c r="H9" i="11" s="1"/>
  <c r="E171" i="5"/>
  <c r="E170" i="5" s="1"/>
  <c r="C18" i="11" s="1"/>
  <c r="F18" i="11" s="1"/>
  <c r="D7" i="9"/>
  <c r="F7" i="9" s="1"/>
  <c r="D36" i="9"/>
  <c r="F36" i="9" s="1"/>
  <c r="E40" i="5"/>
  <c r="E39" i="5" s="1"/>
  <c r="E24" i="5" s="1"/>
  <c r="C153" i="10"/>
  <c r="E153" i="10" s="1"/>
  <c r="F28" i="6"/>
  <c r="D10" i="9"/>
  <c r="F10" i="9" s="1"/>
  <c r="F30" i="9"/>
  <c r="D38" i="9"/>
  <c r="F38" i="9" s="1"/>
  <c r="D53" i="9"/>
  <c r="F53" i="9" s="1"/>
  <c r="D31" i="9"/>
  <c r="F31" i="9" s="1"/>
  <c r="D45" i="9"/>
  <c r="F45" i="9" s="1"/>
  <c r="D8" i="9"/>
  <c r="F8" i="9" s="1"/>
  <c r="L140" i="6"/>
  <c r="L90" i="6"/>
  <c r="AB131" i="6"/>
  <c r="U164" i="6"/>
  <c r="L58" i="6"/>
  <c r="E162" i="5" l="1"/>
  <c r="M8" i="11"/>
  <c r="N8" i="11" s="1"/>
  <c r="H8" i="11"/>
  <c r="F8" i="11"/>
  <c r="F12" i="12"/>
  <c r="D25" i="12"/>
  <c r="F34" i="12"/>
  <c r="C6" i="11"/>
  <c r="F9" i="11"/>
  <c r="H10" i="11"/>
  <c r="F10" i="11"/>
  <c r="H7" i="11"/>
  <c r="F7" i="11"/>
  <c r="M9" i="11"/>
  <c r="N9" i="11" s="1"/>
  <c r="M18" i="11"/>
  <c r="N18" i="11" s="1"/>
  <c r="H18" i="11"/>
  <c r="F19" i="11"/>
  <c r="M19" i="11"/>
  <c r="N19" i="11" s="1"/>
  <c r="H19" i="11"/>
  <c r="C20" i="11"/>
  <c r="H20" i="11" s="1"/>
  <c r="H15" i="11"/>
  <c r="F15" i="11"/>
  <c r="E187" i="5"/>
  <c r="D56" i="9"/>
  <c r="F56" i="9" s="1"/>
  <c r="M13" i="11"/>
  <c r="N13" i="11" s="1"/>
  <c r="F13" i="11"/>
  <c r="H13" i="11"/>
  <c r="M12" i="11"/>
  <c r="N12" i="11" s="1"/>
  <c r="F12" i="11"/>
  <c r="H12" i="11"/>
  <c r="C166" i="10"/>
  <c r="E166" i="10" s="1"/>
  <c r="D52" i="9"/>
  <c r="D35" i="9"/>
  <c r="F35" i="9" s="1"/>
  <c r="D3" i="9"/>
  <c r="F3" i="9" s="1"/>
  <c r="D6" i="8"/>
  <c r="F6" i="8" s="1"/>
  <c r="D22" i="9"/>
  <c r="F22" i="9" s="1"/>
  <c r="AB130" i="6"/>
  <c r="AB129" i="6" s="1"/>
  <c r="U163" i="6"/>
  <c r="U162" i="6" s="1"/>
  <c r="F25" i="12" l="1"/>
  <c r="E189" i="5"/>
  <c r="D36" i="12"/>
  <c r="F36" i="12" s="1"/>
  <c r="H6" i="11"/>
  <c r="M6" i="11"/>
  <c r="N6" i="11" s="1"/>
  <c r="F6" i="11"/>
  <c r="F20" i="11"/>
  <c r="M20" i="11"/>
  <c r="N20" i="11" s="1"/>
  <c r="C33" i="11"/>
  <c r="D34" i="11" s="1"/>
  <c r="F184" i="6"/>
  <c r="F216" i="6" s="1"/>
  <c r="D17" i="8"/>
  <c r="F17" i="8" s="1"/>
  <c r="M14" i="11"/>
  <c r="N14" i="11" s="1"/>
  <c r="F14" i="11"/>
  <c r="H14" i="11"/>
  <c r="C16" i="11"/>
  <c r="C24" i="11" s="1"/>
  <c r="D24" i="11" s="1"/>
  <c r="D60" i="9"/>
  <c r="F60" i="9" s="1"/>
  <c r="F52" i="9"/>
  <c r="D4" i="8"/>
  <c r="F4" i="8" s="1"/>
  <c r="D5" i="8"/>
  <c r="F5" i="8" s="1"/>
  <c r="D16" i="8"/>
  <c r="F16" i="8" s="1"/>
  <c r="D3" i="8"/>
  <c r="D49" i="9"/>
  <c r="D35" i="8"/>
  <c r="C22" i="11" l="1"/>
  <c r="H16" i="11"/>
  <c r="F49" i="9"/>
  <c r="C38" i="11"/>
  <c r="D38" i="11" s="1"/>
  <c r="D33" i="11"/>
  <c r="D35" i="11"/>
  <c r="M16" i="11"/>
  <c r="F16" i="11"/>
  <c r="D32" i="8"/>
  <c r="F3" i="8"/>
  <c r="D33" i="8"/>
  <c r="D18" i="8"/>
  <c r="F18" i="8" s="1"/>
  <c r="D34" i="8"/>
  <c r="D7" i="8"/>
  <c r="F7" i="8" s="1"/>
  <c r="D62" i="9"/>
  <c r="F62" i="9" s="1"/>
  <c r="C29" i="11" l="1"/>
  <c r="D29" i="11" s="1"/>
  <c r="N16" i="11"/>
  <c r="M22" i="11"/>
  <c r="C47" i="11"/>
  <c r="F22" i="11"/>
  <c r="H22" i="11"/>
  <c r="D25" i="11"/>
  <c r="D26" i="11"/>
  <c r="D36" i="8"/>
  <c r="C52" i="11" l="1"/>
  <c r="D52" i="11" s="1"/>
  <c r="N22" i="11"/>
  <c r="D48" i="11"/>
  <c r="D47" i="11"/>
  <c r="D49" i="11"/>
</calcChain>
</file>

<file path=xl/sharedStrings.xml><?xml version="1.0" encoding="utf-8"?>
<sst xmlns="http://schemas.openxmlformats.org/spreadsheetml/2006/main" count="6090" uniqueCount="1705">
  <si>
    <t xml:space="preserve">CODIGO:  </t>
  </si>
  <si>
    <t xml:space="preserve">VERSIÓN: </t>
  </si>
  <si>
    <t xml:space="preserve">FECHA: </t>
  </si>
  <si>
    <t>PÁGINA:</t>
  </si>
  <si>
    <t>UNIDAD EJECUTORA</t>
  </si>
  <si>
    <t>LÍNEA ESTRATÉGICA</t>
  </si>
  <si>
    <t>SECTOR</t>
  </si>
  <si>
    <t>PROGRAMA</t>
  </si>
  <si>
    <t>INDICADOR DE RESULTADO Y/O BIENESTAR</t>
  </si>
  <si>
    <t>PRODUCTO</t>
  </si>
  <si>
    <t>INDICADOR PRODUCTO</t>
  </si>
  <si>
    <t>PROYECTO</t>
  </si>
  <si>
    <t>TOTAL RECURSOS</t>
  </si>
  <si>
    <t>RESPONSABLE</t>
  </si>
  <si>
    <t>CÓDIGO</t>
  </si>
  <si>
    <t>NOMBRE</t>
  </si>
  <si>
    <t>CÓDIGO PDD</t>
  </si>
  <si>
    <t>PRODUCTO PDD</t>
  </si>
  <si>
    <t>CÓDIGO CATÁLOGO DE PRODUCTOS MGA</t>
  </si>
  <si>
    <t xml:space="preserve">PRODUCTO CATÁLOGO MGA </t>
  </si>
  <si>
    <t>INDICADOR PDD</t>
  </si>
  <si>
    <t>CÓDIGO CATALOGO DE INDICADORES MGA</t>
  </si>
  <si>
    <t xml:space="preserve">INDICADOR CATÁLOGO MGA </t>
  </si>
  <si>
    <t>CÓDIGO BPIN</t>
  </si>
  <si>
    <t>NOMBRE DEL PROYECTO</t>
  </si>
  <si>
    <t>OBJETIVO DEL PROYECTO</t>
  </si>
  <si>
    <t xml:space="preserve">CONTRIBUCION ESPECIAL
(FONDO DE SEGURIDAD 5%) 
 </t>
  </si>
  <si>
    <t xml:space="preserve">SOBRETASA AL ACPM  
</t>
  </si>
  <si>
    <t xml:space="preserve">MONOPOLIO EDUCACIÓN Y SALUD  51% DESTINACION ESPECIFICA
 </t>
  </si>
  <si>
    <t xml:space="preserve">SGP SALÚD PUBLICA - PRESTACIÓN DE SERVICIOS
 </t>
  </si>
  <si>
    <t>SGP APORTES PATRONALES - CANCELACIÓN DE PRESTACIONES SOCIALES -EDUCACIÓN</t>
  </si>
  <si>
    <t xml:space="preserve">FONDO DE EDUCACION,  PAE, CONVENIO MEN 
</t>
  </si>
  <si>
    <t xml:space="preserve">SGP AGUA POTABLE Y SANEAMIENTO BÁSICO
</t>
  </si>
  <si>
    <t xml:space="preserve">RECURSO ORDINARIO
</t>
  </si>
  <si>
    <t xml:space="preserve">OTROS (IVA TELEFONIA MÓVIL  - REGISTRO - LEY 1816 (3% MONOPOLIO LICORES) (DEPORTES) EXTRACCION MATERIAL RIO  </t>
  </si>
  <si>
    <t>NACIÓN  - COFINANCIACIÓN
CONV ANTICONTRABANDO</t>
  </si>
  <si>
    <t xml:space="preserve">304 -SECRETARÍA ADMINISTRATIVA </t>
  </si>
  <si>
    <t xml:space="preserve">LIDERAZGO, GOBERNABILIDAD Y TRANSPARENCIA </t>
  </si>
  <si>
    <t>Gobierno territorial</t>
  </si>
  <si>
    <t>Fortalecimiento a la gestión y dirección de la administración pública territorial "Quindío con una administración al servicio de la ciudadanía "</t>
  </si>
  <si>
    <t>Índice de Gestión del Modelo Integrado de Planeación y de Gestión MIPG  de la Administración Departamental</t>
  </si>
  <si>
    <t>ND</t>
  </si>
  <si>
    <t>Implementación de  las Dimensiones y Políticas  del Modelo Integrado de Planeación y de Gestión MIPG</t>
  </si>
  <si>
    <t xml:space="preserve">Servicio de Implementación Sistemas de Gestión </t>
  </si>
  <si>
    <t>Número de Dimensiones y Políticas   de MIPG implementadas.</t>
  </si>
  <si>
    <t>Sistema de Gestión implementado</t>
  </si>
  <si>
    <t>202000363-0006</t>
  </si>
  <si>
    <t>Implementación del Modelo Integrado de Planeación y de Gestión MIPG  de la Administración Departamental del Quindío (Dimensiones  de Talento humano,  Información y Comunicación y Gestión del Conocimiento).</t>
  </si>
  <si>
    <t xml:space="preserve">Incrementar en Índice de Gestión y Desempeño  de la Administración Departamental ,  a Implementar los procesos y procedimientos de depuración de los expedientes administrativos pensionales, que permitan la determinación de cuotas partes pensionales, bonos pensionales y otros, con el fin de contar con información depurada y real. </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</si>
  <si>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</si>
  <si>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</si>
  <si>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</si>
  <si>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202000363-0007</t>
  </si>
  <si>
    <t xml:space="preserve">Actualización, depuración, seguimiento y evaluación del Pasivo Pensional de la Administración Departamental del Quindío </t>
  </si>
  <si>
    <t>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t>
  </si>
  <si>
    <t xml:space="preserve">Proceso de modernización administrativa, incluido en  estudio de la viabilidad de creación de la Oficina de la Felicidad. </t>
  </si>
  <si>
    <t>Proceso de modernización administrativa implementada</t>
  </si>
  <si>
    <t xml:space="preserve">Metodologías aplicadas </t>
  </si>
  <si>
    <t>202000363-0041</t>
  </si>
  <si>
    <t xml:space="preserve">Implementación de un programa de modernización  de la gestión Administrativa  de la Administración Departamental del Quindío. "TÚ y YO SOMOS QUINDÍO" </t>
  </si>
  <si>
    <t>Fortalecimiento del buen gobierno para el respeto y garantía de los derechos humanos. "Quindío integrado y participativo"</t>
  </si>
  <si>
    <t>Porcentaje promedio  de participación de ciudadanos en los eventos de elección popular.</t>
  </si>
  <si>
    <t>Implementación del Plan de Acción del Sistema Departamental de Servicio a la Ciudadanía SDSC</t>
  </si>
  <si>
    <t>Servicio de integración de la oferta pública</t>
  </si>
  <si>
    <t>Plan de Acción del Sistema Departamental de Servicio a la Ciudadanía SDSC implementado</t>
  </si>
  <si>
    <t xml:space="preserve">Espacios de integración de oferta pública generados </t>
  </si>
  <si>
    <t>202000363-0005</t>
  </si>
  <si>
    <t xml:space="preserve">Implementación del Sistema Departamental de Servicio a la Ciudadanía SDSC   en la Administración Departamental. </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</si>
  <si>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</si>
  <si>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 xml:space="preserve">305 SECRETARÍA DE PLANEACIÓN </t>
  </si>
  <si>
    <t>Porcentaje promedio  de participación de ciudadanos en los eventos de elección popular</t>
  </si>
  <si>
    <t>Fortalecimiento técnico y logístico del  Consejo Territorial de Planeación Departamental, como representantes de la sociedad civil en la planeación  del desarrollo integral  de la entidad territorial</t>
  </si>
  <si>
    <t>Servicio de promoción a la participación ciudadana</t>
  </si>
  <si>
    <t>Consejo Territorial de Planeación Departamental fortalecido</t>
  </si>
  <si>
    <t>Espacios de participación promovidos</t>
  </si>
  <si>
    <t>202000363-0042</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</si>
  <si>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</si>
  <si>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</si>
  <si>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Eventos de Rendición Pública de Cuentas que divulgan la gestión administrativa.</t>
  </si>
  <si>
    <t>Eventos de Rendición Públicas de Cuentas realizados</t>
  </si>
  <si>
    <t>202000363-0043</t>
  </si>
  <si>
    <t xml:space="preserve"> Implementación  de eventos de Rendición Pública de Cuentas  de divulgación de gestión  de la Administración Departamental  "TU Y YO SOMOS QUINDIO" </t>
  </si>
  <si>
    <t>Incrementar la  participación de ciudadanos en los eventos de elección popular, a través  de la realización de la  Rendición Pública de Cuentas, con el propósito de generar un espacio de interlocución entre la sociedad civil y/o organizada.</t>
  </si>
  <si>
    <t>Instrumentos de planificación para el ordenamiento y la gestión territorial departamental (Plan de Desarrollo Departamental PDD, Ordenamiento Territorial, Sistema de Información Geográfica, Mecanismos de Integración, Catastro multipropósito etc.).</t>
  </si>
  <si>
    <t>Documentos de lineamientos técnicos</t>
  </si>
  <si>
    <t>Instrumentos de planificación de ordenamiento y gestión territorial departamental implementados</t>
  </si>
  <si>
    <t>Documentos de lineamientos técnicos realizados</t>
  </si>
  <si>
    <t>202000363-0044</t>
  </si>
  <si>
    <t xml:space="preserve"> Implementación   de instrumentos de planificación para  en  Ordenamiento y la Gestión Territorial Departamental del Quindío  "TU Y YO SOMOS QUINDIO" </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</si>
  <si>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</si>
  <si>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Observatorio económico del departamento, con procesos de fortalecimiento</t>
  </si>
  <si>
    <t>Servicios de información implementados</t>
  </si>
  <si>
    <t>Observatorio económico del Departamento del Quindío actualizado y dotado</t>
  </si>
  <si>
    <t>Sistemas de información implementados</t>
  </si>
  <si>
    <t>202000363-0045</t>
  </si>
  <si>
    <t xml:space="preserve">  Implementación del Observatorio Económico  de la Administración Departamental del Quindío "TU Y YO SOMOS QUINDIO"</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</si>
  <si>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</si>
  <si>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Banco de Programas y Proyectos del Departamento fortalecido</t>
  </si>
  <si>
    <t>202000363-0046</t>
  </si>
  <si>
    <t>Fortalecimiento del Banco de Programas y Proyectos de la administración departamental  "TÚ Y YO SOMOS QUINDIO"</t>
  </si>
  <si>
    <t>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</si>
  <si>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Índice de Gestión del Modelo Integrado de Planeación y de Gestión MIPG   Departamental (Entes Territoriales Municipales)</t>
  </si>
  <si>
    <t xml:space="preserve">Entes territoriales  con servicio de asistencia técnica de los Instrumentos de Planificación para  el Ordenamiento y la Gestión Territorial departamental. </t>
  </si>
  <si>
    <t>Servicio de asistencia técnica</t>
  </si>
  <si>
    <t>Entes territoriales con procesos de asistencia técnica realizadas.</t>
  </si>
  <si>
    <t>Entidades territoriales asistidas técnicamente</t>
  </si>
  <si>
    <t>202000363-0047</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</si>
  <si>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</si>
  <si>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</si>
  <si>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Entes territoriales con servicio de asistencia  técnica del Modelo Integrado de Planeación y de Gestión MIPG</t>
  </si>
  <si>
    <t>Entes Territoriales con procesos de asistencia técnica realizadas</t>
  </si>
  <si>
    <t>Entes territoriales  con servicio de asistencia técnica en la Medición del Desempeño Municipal</t>
  </si>
  <si>
    <t>Entes Territoriales con procesos de asistencia técnica realizadas.</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</si>
  <si>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</si>
  <si>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</si>
  <si>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en Banco de Programas y Proyectos de Inversión Nacional (BPIN).  </t>
  </si>
  <si>
    <t>Servicio de Implementación Sistemas de Gestión</t>
  </si>
  <si>
    <t>Número de Dimensiones y Políticas   de MIPG implementadas</t>
  </si>
  <si>
    <t>202000363-0008</t>
  </si>
  <si>
    <t xml:space="preserve"> Implementación  del Modelo Integrado de Planeación y de Gestión MIPG en la Administración Departamental del   Quindío</t>
  </si>
  <si>
    <t xml:space="preserve"> Aumentar en Índice de Gestión y Desempeño de la Administración Departamental considerando las dimensiones y políticas qué conforman en Modelo Integrado de Gestión y Desempeño </t>
  </si>
  <si>
    <t>307 SECRETARÍA DE HACIENDA</t>
  </si>
  <si>
    <t>Índice de Desempeño Fiscal Administración Departamental</t>
  </si>
  <si>
    <t>Estrategia para el mejoramiento del Índice de Desempeño Fiscal en la Administración Departamental.</t>
  </si>
  <si>
    <t>Estrategia  de fortalecimiento  del Índice de Desempeño  Fiscal implementadas.</t>
  </si>
  <si>
    <t xml:space="preserve">Estrategia para el mejoramiento del Índice de Desempeño Fiscal ejecutada </t>
  </si>
  <si>
    <t>202000363-0048</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</si>
  <si>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</si>
  <si>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</si>
  <si>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 xml:space="preserve">Programa para el cumplimiento de las políticas y prácticas contables para la administración departamental         </t>
  </si>
  <si>
    <t>Servicio de saneamiento fiscal y financiero</t>
  </si>
  <si>
    <t>Programa para el cumplimiento de las políticas y prácticas contables implementado</t>
  </si>
  <si>
    <t>202000363-0049</t>
  </si>
  <si>
    <t xml:space="preserve">Implementación  de  un programa para el cumplimiento de las políticas y prácticas contables de la administración departamental del Quindío.    </t>
  </si>
  <si>
    <t>Incrementar el Índice de Desempeño Fiscal de la Administración Departamental,   a través de la implementación del programa para el cumplimiento de las políticas y prácticas contables para la administración departamental,  encaminado a la  generación de información  veraz, confiable y razonable.</t>
  </si>
  <si>
    <t xml:space="preserve">308 SECRETARÍA DE AGUAS E INFRAESTRUCTURA </t>
  </si>
  <si>
    <t xml:space="preserve">INCLUSIÓN SOCIAL Y EQUIDAD </t>
  </si>
  <si>
    <t>Justicia y del derecho</t>
  </si>
  <si>
    <t>Promoción al acceso a la justicia. "Tú y yo con justicia"</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</si>
  <si>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</si>
  <si>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</si>
  <si>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</si>
  <si>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</si>
  <si>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</si>
  <si>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202000363-0017</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</si>
  <si>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</si>
  <si>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</si>
  <si>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Salud y protección social</t>
  </si>
  <si>
    <t>Aseguramiento y Prestación integral de servicios de salud "Tú y yo con servicios de salud"</t>
  </si>
  <si>
    <t>Índice Departamental de Competitividad</t>
  </si>
  <si>
    <t xml:space="preserve">Infraestructura hospitalaria con procesos constructivos, mejorados, ampliados, mantenidos, y/o reforzados </t>
  </si>
  <si>
    <t>Hospitales de tercer nivel de atención adecuados</t>
  </si>
  <si>
    <t>Infraestructura hospitalaria con procesos constructivos, mejorados, ampliados, mantenidos, y/o reforzados realizados</t>
  </si>
  <si>
    <t>202000363-0018</t>
  </si>
  <si>
    <t>Mejoramiento de la infraestructura física de las instituciones de salud pública y bienestar social en el  departamento del Quindío</t>
  </si>
  <si>
    <t>Mejorar la infraestructura hospitalaria del Departamento del Quindío, con el propósito de optimización de la prestación del servicio y en acceso incluyente y equitativo a la oferta de servicios del Estado.</t>
  </si>
  <si>
    <t>Educación</t>
  </si>
  <si>
    <t>Calidad, cobertura y fortalecimiento de la educación inicial, prescolar, básica y media." Tú y yo con educación y  calidad"</t>
  </si>
  <si>
    <t>Tasa de cobertura bruta en transición
Tasa de cobertura bruta en educación básica
Tasa de cobertura en educación media
Tasa de deserción escolar intra-anual</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</si>
  <si>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</si>
  <si>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</si>
  <si>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</si>
  <si>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</si>
  <si>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202000363-0050</t>
  </si>
  <si>
    <t xml:space="preserve"> Mantenimiento de  la infraestructura  Educativa en el Departamento del Quindío. </t>
  </si>
  <si>
    <t xml:space="preserve"> Mantener de la infraestructura educativa, con el propósito de garantizar  la permanencia y calidad  de la prestación  del servicio educativo en Departamento del Quindío.  </t>
  </si>
  <si>
    <t>Cultura</t>
  </si>
  <si>
    <t>Promoción y acceso efectivo a procesos culturales y artísticos. "Tú y yo somos cultura Quindiana"</t>
  </si>
  <si>
    <t>Tasa de participación en procesos y actividades artísticas y culturales.
Tasa de consumo de sustancias sicoactivas por 100.000 habitantes en el departamento del Quindío.</t>
  </si>
  <si>
    <t>3301068</t>
  </si>
  <si>
    <t>Servicio de mantenimiento de infraestructura cultural</t>
  </si>
  <si>
    <t>330106800</t>
  </si>
  <si>
    <t>Infraestructura cultural intervenida</t>
  </si>
  <si>
    <t>202000363-0051</t>
  </si>
  <si>
    <t xml:space="preserve"> Mantenimiento de la infraestructura cultural en el departamento del Quindío  </t>
  </si>
  <si>
    <t xml:space="preserve"> Realizar mantenimiento de la  infraestructura cultural, para fortalecer los espacios de los artistas y gestores culturales dedicados a la creación, promoción y divulgación de actividades en el Departamento del Quindío.</t>
  </si>
  <si>
    <t>Deporte y recreación</t>
  </si>
  <si>
    <t>Fomento a la recreación, la actividad física y el deporte para desarrollar entornos de convivencia y paz "Tú y yo en la recreación y en deporte"</t>
  </si>
  <si>
    <t>Cobertura de municipios qué participan en programas de recreación, actividad física y deporte social y comunitario en el Departamento del Quindío.
Cobertura de ligas apoyadas en el departamento del Quindío.
Porcentaje de medallería del departamento del Quindío en los Juegos Nacionales.</t>
  </si>
  <si>
    <t xml:space="preserve">Infraestructura  deportiva y/o recreativa con procesos   constructivos ,  mejorados,  ampliados,  mantenidos y/o  reforzados </t>
  </si>
  <si>
    <t>Servicio de mantenimiento a la infraestructura deportiva</t>
  </si>
  <si>
    <t xml:space="preserve">Infraestructura  deportiva y/o recreativa con procesos   constructivos,  mejorados,  ampliados,  mantenidos y/o   reforzados </t>
  </si>
  <si>
    <t>Intervenciones realizadas a infraestructura deportiva</t>
  </si>
  <si>
    <t>202000363-0052</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</si>
  <si>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</si>
  <si>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</si>
  <si>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 xml:space="preserve">TERRITORIO, AMBIENTE Y DESARROLLO SOSTENIBLE </t>
  </si>
  <si>
    <t>Transporte</t>
  </si>
  <si>
    <t>Infraestructura red vial regional. "Tú y yo con movilidad vial"</t>
  </si>
  <si>
    <t>Infraestructura  en  puentes  con procesos  de construcción, mejoramiento, ampliación, mantenimiento y/o reforzamiento</t>
  </si>
  <si>
    <t>Puente de la red vial secundaria con mantenimiento</t>
  </si>
  <si>
    <t>Infraestructura en puentes construida, mejorada, ampliada, mantenida y/o reforzada</t>
  </si>
  <si>
    <t>Puente de la red secundaria con mantenimiento</t>
  </si>
  <si>
    <t>202000363-0053</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</si>
  <si>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</si>
  <si>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</si>
  <si>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</si>
  <si>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</si>
  <si>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</si>
  <si>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</si>
  <si>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Estudios y diseños de infraestructura vial</t>
  </si>
  <si>
    <t>Estudios de preinversión para la red vial regional</t>
  </si>
  <si>
    <t>Estudios y diseños de infraestructura vial elaborado.</t>
  </si>
  <si>
    <t>Estudios de preinversión realizados</t>
  </si>
  <si>
    <t>202000363-0054</t>
  </si>
  <si>
    <t xml:space="preserve"> Elaboración estudios y diseños de Infraestructura vial en el Departamento de Quindío </t>
  </si>
  <si>
    <t>Realizar  estudios de pre inversión de infraestructura vial,  con el objeto de gestionar  recursos de inversión   para  la  optimización de la red vial, reducción de costos de operación y  mejoramiento de la calidad de vida se los  habitantes del  departamento del Quindío,</t>
  </si>
  <si>
    <t>Ambiente y desarrollo sostenible</t>
  </si>
  <si>
    <t>Ordenamiento Ambiental Territorial. "Tú y yo planificamos con sentido ambiental"</t>
  </si>
  <si>
    <t xml:space="preserve">Porcentaje de Ecosistemas protegidos y/o en procesos de restauración en el Departamento </t>
  </si>
  <si>
    <t>Obras para estabilización de taludes</t>
  </si>
  <si>
    <t>320501000</t>
  </si>
  <si>
    <t>Obras para estabilización de taludes realizadas</t>
  </si>
  <si>
    <t>202000363-0055</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</si>
  <si>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</si>
  <si>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</si>
  <si>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Obras de infraestructura para mitigación y atención a desastres</t>
  </si>
  <si>
    <t xml:space="preserve">Obras de infraestructura para mitigación y atención a desastres realizadas </t>
  </si>
  <si>
    <t>202000363-0056</t>
  </si>
  <si>
    <t xml:space="preserve"> Construcción, mantenimiento y/o mejoramiento de obras de infraestructura  para la mitigación y atención de desastres en los municipios del departamento del Quindío </t>
  </si>
  <si>
    <t xml:space="preserve"> Construir, mantener y/o mejorar  obras de infraestructura para la  mitigación y atención de desastres en los municipios del departamento del Quindío, con el propósito de evitar pérdidas de vidas humanas, servicios, infraestructura y económicas, </t>
  </si>
  <si>
    <t>Vivienda, Ciudad y Territorio</t>
  </si>
  <si>
    <t>Acceso a soluciones de vivienda. "Tú y yo con vivienda digna"</t>
  </si>
  <si>
    <t>Déficit cualitativo de viviendas por hogares</t>
  </si>
  <si>
    <t>Viviendas de interés social urbanas mejoradas</t>
  </si>
  <si>
    <t>400101500</t>
  </si>
  <si>
    <t>Viviendas de Interés Social urbanas mejoradas</t>
  </si>
  <si>
    <t>202000363-0057</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</si>
  <si>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</si>
  <si>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</si>
  <si>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Acceso de la población a los servicios de agua potable y saneamiento básico. "Tú y yo con calidad del agua"</t>
  </si>
  <si>
    <t xml:space="preserve">Cobertura de acueducto
Cobertura  de alcantarillado </t>
  </si>
  <si>
    <t xml:space="preserve">Adoptar e implementar la Política Pública de Producción Consumo Sostenible y Gestión Integral de Aseo  </t>
  </si>
  <si>
    <t>Documentos de planeación</t>
  </si>
  <si>
    <t>Política Pública de Producción Consumo Sostenible y Gestión Integral de Aseo  adoptada e implementada.</t>
  </si>
  <si>
    <t>Documentos de planeación elaborados</t>
  </si>
  <si>
    <t>202000363-0014</t>
  </si>
  <si>
    <t xml:space="preserve"> Implementación del plan departamental para el manejo empresarial de los servicios de agua y saneamiento básico en el Departamento del Quindío  </t>
  </si>
  <si>
    <t xml:space="preserve">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</si>
  <si>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Cobertura  de alcantarillado </t>
  </si>
  <si>
    <t>Alcantarillados construidos</t>
  </si>
  <si>
    <t>Plantas de tratamiento de aguas residuales  construidas</t>
  </si>
  <si>
    <t>Servicios de apoyo financiero para la ejecución de proyectos de acueductos y alcantarillado</t>
  </si>
  <si>
    <t>Proyectos de acueducto y alcantarillado en área urbana financiados</t>
  </si>
  <si>
    <t>Servicios de educación informal en agua potable y saneamiento básico</t>
  </si>
  <si>
    <t>Eventos de educación informal en agua y saneamiento básico realizados</t>
  </si>
  <si>
    <t>Estudios de pre inversión e inversión</t>
  </si>
  <si>
    <t xml:space="preserve">Estudios o diseños realizados </t>
  </si>
  <si>
    <t>4003026</t>
  </si>
  <si>
    <t>Servicios de apoyo financiero para la ejecución de proyectos de acueductos y de manejo de aguas residuales</t>
  </si>
  <si>
    <t>Proyectos de acueducto y de manejo de aguas residuales en área rural financiados</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</si>
  <si>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</si>
  <si>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</si>
  <si>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</si>
  <si>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202000363-0058</t>
  </si>
  <si>
    <t>Mantener  la  infraestructura institucional o de edificios públicos, con el propósito de propiciar un excelente servicio al ciudadano y bienestar al servidor público, con infraestructura moderna y amigable.</t>
  </si>
  <si>
    <t>Salones comunales adecuados</t>
  </si>
  <si>
    <t xml:space="preserve">Salón comunal adecuado </t>
  </si>
  <si>
    <t>202000363-0059</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</si>
  <si>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</si>
  <si>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</si>
  <si>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 xml:space="preserve">309  SECRETARÍA DEL INTERIOR </t>
  </si>
  <si>
    <t>Servicio de asistencia técnica para la articulación de los operadores de los servicio de justicia</t>
  </si>
  <si>
    <t>202000363-0060</t>
  </si>
  <si>
    <t>Disminuir los índice delitos  en el departamento del Quindío a través de procesos de asistencia Técnica y articulación  de acciones  con las Administraciones municipales .</t>
  </si>
  <si>
    <t>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</si>
  <si>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</si>
  <si>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</si>
  <si>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202000363-0061</t>
  </si>
  <si>
    <t xml:space="preserve">  Implementación de  métodos  para la resolución de conflictos y el  fortalecimiento de la seguridad de los ciudadanos den el Departamento del Quindío  </t>
  </si>
  <si>
    <t>Coordinar con los organismos de seguridad métodos  de intervenciones  transformadoras en zonas de miedo e impunidad</t>
  </si>
  <si>
    <t>Sistema penitenciario y carcelario en el marco de los derechos humanos. "Quindío respeta derechos penitenciarios"</t>
  </si>
  <si>
    <t>Servicio de resocialización de personas privadas de la libertad</t>
  </si>
  <si>
    <t>Personas privadas de la libertad (PPL) que reciben servicio de resocialización</t>
  </si>
  <si>
    <t>202000363-0062</t>
  </si>
  <si>
    <t xml:space="preserve">Implementación de  acciones de apoyo para  la  resocialización de las personas privadas de la libertad  en las Instituciones Penitenciarias  del Departamento  del Quindío. </t>
  </si>
  <si>
    <t xml:space="preserve"> Disminuir los índices de delitos en el departamento del Quindío, a través de la implementación de  acciones de apoyo para  la  resocialización de las personas privadas de la libertad en las Instituciones  Penitenciarios del departamento del Quindío.</t>
  </si>
  <si>
    <t>Calidad, cobertura y fortalecimiento de la educación inicial, prescolar, básica y media." Tú y yo con educación y de calidad"</t>
  </si>
  <si>
    <t>Cobertura de Instituciones Educativas con Planes Escolares de Gestión del Riesgo de Desastres-PEGERD</t>
  </si>
  <si>
    <t>Servicio de gestión de riesgos y desastres en establecimientos educativos</t>
  </si>
  <si>
    <t>Establecimientos educativos con acciones de gestión del riesgo implementadas</t>
  </si>
  <si>
    <t>202000363-0063</t>
  </si>
  <si>
    <t xml:space="preserve"> Implementación  y/o fortalecimiento  de  los planes para la gestión del riesgo y desastres en las Instituciones Educativas Oficiales  del Departamento </t>
  </si>
  <si>
    <t>Aumentar la cobertura de Instituciones Educativas con Planes Escolares de Gestión del Riesgo de Desastres-PEGERD, a través de procesos de acompañamiento  a la  comunidad educativa  en la implementación y fortalecimiento de los mismos.</t>
  </si>
  <si>
    <t xml:space="preserve">Inclusión social y Reconciliación </t>
  </si>
  <si>
    <t>Atención, asistencia y reparación integral a las víctimas. "Tú y yo con reparación integral"</t>
  </si>
  <si>
    <t>Cobertura de la población víctima atendida con procesos de atención, prevención y asistencia humanitaria</t>
  </si>
  <si>
    <t>Servicio de orientación y comunicación a las víctimas</t>
  </si>
  <si>
    <t>Solicitudes tramitadas</t>
  </si>
  <si>
    <t>202000363-0064</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</si>
  <si>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</si>
  <si>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</si>
  <si>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Servicio de ayuda y atención humanitaria</t>
  </si>
  <si>
    <t>Personas víctimas con ayuda humanitaria</t>
  </si>
  <si>
    <t>Servicio de asistencia técnica para la participación de las víctimas</t>
  </si>
  <si>
    <t>Eventos de participación realizados</t>
  </si>
  <si>
    <t>Cobertura de víctimas atendidas con la línea de emprendimiento y fortalecimiento.</t>
  </si>
  <si>
    <t>Servicio de apoyo para la generación de ingresos</t>
  </si>
  <si>
    <t>Hogares con asistencia técnica para la generación de ingresos</t>
  </si>
  <si>
    <t>Cobertura de Personas víctimas del conflicto beneficiadas con medidas de satisfacción (Construcción de memoria, Reparación simbólica y Construcción de lugares de memoria)</t>
  </si>
  <si>
    <t>Servicio de asistencia técnica para la realización de iniciativas de memoria histórica</t>
  </si>
  <si>
    <t>Iniciativas de memoria histórica asistidas técnicamente</t>
  </si>
  <si>
    <t>Inclusión social y productiva para la población en situación de vulnerabilidad. "Tú y yo, población vulnerable incluida"</t>
  </si>
  <si>
    <t>Cobertura de la población excombatiente atendida con procesos de atención y asistencia humanitaria</t>
  </si>
  <si>
    <t>Servicio de atención y asistencia para la población excombatiente del Departamento del Quindío</t>
  </si>
  <si>
    <t>Servicio de gestión de oferta social para la población vulnerable</t>
  </si>
  <si>
    <t>Población excombatiente beneficiada</t>
  </si>
  <si>
    <t>Beneficiarios de la oferta social atendidos</t>
  </si>
  <si>
    <t>202000363-0065</t>
  </si>
  <si>
    <t xml:space="preserve">Asistencia, atención y capacitación  a la población  excombatiente en el  Departamento del Quindío. </t>
  </si>
  <si>
    <t xml:space="preserve"> Aumentar la cobertura de la población excombatiente atendida con procesos de atención y asistencia en el departamento del Quindío. </t>
  </si>
  <si>
    <t>Fortalecimiento de la convivencia y la seguridad ciudadana. "Tú y yo seguros"</t>
  </si>
  <si>
    <t>Fortalecimiento institucional a organismos de seguridad</t>
  </si>
  <si>
    <t xml:space="preserve">Servicio de apoyo financiero para proyectos de convivencia y seguridad ciudadana </t>
  </si>
  <si>
    <t>Organismos de seguridad fortalecidos</t>
  </si>
  <si>
    <t>Proyectos de convivencia y seguridad ciudadana apoyados financieramente</t>
  </si>
  <si>
    <t>202000363-0066</t>
  </si>
  <si>
    <t xml:space="preserve"> Fortalecimiento de los organismos de seguridad del Departamento del Quindío,  para mejorar la convivencia, preservación del orden público y la seguridad ciudadana. </t>
  </si>
  <si>
    <t xml:space="preserve"> Disminuir los índices  de delitos en el departamento del Quindío, a través de fortalecimiento de los organismos de seguridad, para el mejoramiento de la   convivencia, preservación del orden público y la seguridad ciudadana. </t>
  </si>
  <si>
    <t>Instancias territoriales asistidas técnicamente</t>
  </si>
  <si>
    <t>202000363-0068</t>
  </si>
  <si>
    <t xml:space="preserve"> Disminuir los índices de violencia intrafamiliar   a través de la implementación de acciones y gestiones para impulsar y adoptar políticas y planes qué promuevan la paz, la reconciliación, la legalidad y la convivencia en el territorio.  </t>
  </si>
  <si>
    <t>Cobertura  de municipios del departamento del Quindío  atendidos con estudios y/o construcción de obras para mitigación y atención a desastres realizadas.</t>
  </si>
  <si>
    <t>Documentos de estudios técnicos para el ordenamiento ambiental territorial</t>
  </si>
  <si>
    <t>Documentos de estudios técnicos para el conocimiento y reducción del riesgo de desastres elaborados</t>
  </si>
  <si>
    <t>202000363-0069</t>
  </si>
  <si>
    <t>Fortalecimiento de los procesos de planificación del territorio para el conocimiento  y reducción del riesgo en el Departamento del Quindío.</t>
  </si>
  <si>
    <t>Aumentar la cobertura  de municipios del departamento del Quindío  atendidos con estudios   para mitigación y atención a desastres en la   planificación del  territorio  y priorización  de  acciones de intervención.</t>
  </si>
  <si>
    <t>Cobertura de   personas capacitadas en Gestión del Riesgo de Desastres  en el Departamento del Quindío, bajo en marco de Ciudades resilientes</t>
  </si>
  <si>
    <t>Servicio de educación informal</t>
  </si>
  <si>
    <t>Personas capacitadas</t>
  </si>
  <si>
    <t>202000363-0070</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</si>
  <si>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</si>
  <si>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</si>
  <si>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Cobertura de atención  del Sistema Departamental de Gestión del Riesgo de Desastres del Quindío.</t>
  </si>
  <si>
    <t>Instancias territoriales asistidas</t>
  </si>
  <si>
    <t>Servicio de atención a emergencias y desastres</t>
  </si>
  <si>
    <t>Servicio de fortalecimiento a las salas de crisis territorial</t>
  </si>
  <si>
    <t>Centro de reserva  para la atención a emergencias y desastres dotado</t>
  </si>
  <si>
    <t>Organismos de atención de emergencias fortalecidos</t>
  </si>
  <si>
    <t>Cobertura de asistencia a los municipios del departamento del Quindío en los procesos de la garantía y prevención de derechos humanos.</t>
  </si>
  <si>
    <t>Servicio de apoyo para la implementación de medidas en derechos humanos y derecho internacional humanitario</t>
  </si>
  <si>
    <t>Medidas implementadas en cumplimiento de las obligaciones internacionales en materia de Derechos Humanos y Derecho Internacional Humanitario</t>
  </si>
  <si>
    <t>202000363-0067</t>
  </si>
  <si>
    <t xml:space="preserve"> Implementación del Plan Integral de prevención de vulneraciones de los Derechos Humanos DDHH e infracciones  al Derecho Internacional Humanitario DIH en el Departamento del Quindío </t>
  </si>
  <si>
    <t>Aumentar la cobertura de asistencia a los municipios del departamento del Quindío en los procesos de la garantía y prevención de derechos humanos a través de la actualización, implementación y socialización en Plan Integral para la prevención a la vulneración de los DDHH.</t>
  </si>
  <si>
    <t>Iniciativas para la promoción de la participación ciudadana implementada.</t>
  </si>
  <si>
    <t>202000363-0071</t>
  </si>
  <si>
    <t xml:space="preserve"> Fortalecimiento de la participación ciudadana, veedurías y organizaciones comunales para el cumplimiento, protección y restablecimiento de los derechos contemplados en la Constitución Política.    </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</si>
  <si>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</si>
  <si>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Implementar la Política de Libertad Religiosa</t>
  </si>
  <si>
    <t>Política de Libertad Religiosa Implementado</t>
  </si>
  <si>
    <t>Estrategia de acompañamiento sobre capacidades democráticas y organizativas  implementada</t>
  </si>
  <si>
    <t>Fortalecimiento de los organismos  de acción comunal (OAC)  de los doce municipios del Departamento en lo relacionado a sus procesos formativos, participativos, de organización y  gestión.</t>
  </si>
  <si>
    <t xml:space="preserve">Iniciativas organizativas de participación ciudadana promovidas </t>
  </si>
  <si>
    <t xml:space="preserve">Formulación de la  Política Pública Departamental para la  Acción Comunal </t>
  </si>
  <si>
    <t xml:space="preserve">Documentos de planeación </t>
  </si>
  <si>
    <t>Una Política Pública formulada.</t>
  </si>
  <si>
    <t xml:space="preserve">Planes estratégicos elaborados </t>
  </si>
  <si>
    <t xml:space="preserve">310 SECRETARÍA DE CULTURA </t>
  </si>
  <si>
    <t>.Cobertura en formación artística y cultural
.Tasa de consumo de sustancias sicoactivas por 100.000 habitantes en el departamento del Quindío.</t>
  </si>
  <si>
    <t>Servicio de educación informal en áreas artísticas y culturales</t>
  </si>
  <si>
    <t>202000363-0021</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</si>
  <si>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</si>
  <si>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</si>
  <si>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Servicio de circulación artística y cultural</t>
  </si>
  <si>
    <t>Producciones artísticas en circulación</t>
  </si>
  <si>
    <t>.Tasa de cumplimiento al Plan de Biocultura en patrimonio y del PCC.
.Tasa de consumo de sustancias sicoactivas por 100.000 habitantes en el departamento del Quindío.</t>
  </si>
  <si>
    <t>Formulación e implementación del Plan de Cultura</t>
  </si>
  <si>
    <t xml:space="preserve">Documentos de lineamientos técnicos </t>
  </si>
  <si>
    <t>Plan Decenal de cultura formulado e implementado</t>
  </si>
  <si>
    <t>Servicio de educación formal al sector artístico y cultural</t>
  </si>
  <si>
    <t>Cupos de educación formal ofertados</t>
  </si>
  <si>
    <t>Tasa de lectura
Tasa de consumo de sustancias sicoactivas por 100.000 habitantes en el departamento del Quindío.</t>
  </si>
  <si>
    <t>Servicios bibliotecarios</t>
  </si>
  <si>
    <t>330108500</t>
  </si>
  <si>
    <t>Usuarios atendidos</t>
  </si>
  <si>
    <t>202000363-0020</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</si>
  <si>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</si>
  <si>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</si>
  <si>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Servicio de divulgación y publicaciones</t>
  </si>
  <si>
    <t>330110000</t>
  </si>
  <si>
    <t>Publicaciones realizadas</t>
  </si>
  <si>
    <t>Servicio de asistencia técnica en gestión artística y cultural</t>
  </si>
  <si>
    <t>330109500</t>
  </si>
  <si>
    <t>Personas asistidas técnicamente</t>
  </si>
  <si>
    <t>202000363-0072</t>
  </si>
  <si>
    <t xml:space="preserve"> Apoyo artistas y gestores culturales  del departamento del Quindío con el  beneficio de la Seguridad Social.  </t>
  </si>
  <si>
    <t xml:space="preserve">Aumentar la tasa de participación en procesos y actividades artísticas y culturales de los artistas y gestores del departamento del Quindío con la  implementación de los beneficios de la seguridad Social.  </t>
  </si>
  <si>
    <t>Gestión, protección y salvaguardia del patrimonio cultural colombiano. "Tú y yo protectores del patrimonio cultural"</t>
  </si>
  <si>
    <t>Tasa de cumplimiento al Plan de Biocultura en patrimonio y del PCC.
Tasa de consumo de sustancias sicoactivas por 100.000 habitantes en el departamento del Quindío.</t>
  </si>
  <si>
    <t>Servicio de asistencia técnica en el manejo y gestión del patrimonio arqueológico, antropológico e histórico.</t>
  </si>
  <si>
    <t>330204200</t>
  </si>
  <si>
    <t xml:space="preserve">Asistencias técnicas realizadas a entidades territoriales </t>
  </si>
  <si>
    <t>202000363-0073</t>
  </si>
  <si>
    <t xml:space="preserve"> Apoyo al Paisaje, Café y Tradición mediante procesos de manejo, gestión, asistencia técnica, divulgación y publicación del patrimonio, arqueológico, antropológico e histórico en el Departamento del Quindío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</si>
  <si>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</si>
  <si>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Servicio de divulgación y publicación del Patrimonio cultural</t>
  </si>
  <si>
    <t>330207000</t>
  </si>
  <si>
    <t xml:space="preserve">311 SECRETARÍA DE TURISMO INDUSTRIA Y COMERCIO </t>
  </si>
  <si>
    <t>PRODUCTIVIDAD Y COMPETITIVIDAD</t>
  </si>
  <si>
    <t>Comercio, Industria y Turismo</t>
  </si>
  <si>
    <t xml:space="preserve">Productividad y competitividad de las empresas colombianas. "Tú y yo con empresas competitivas" </t>
  </si>
  <si>
    <t>Índice Departamental de Competitividad
Tasa de desempleo</t>
  </si>
  <si>
    <t>Servicio de apoyo y consolidación de las Comisiones Regionales de Competitividad - CRC</t>
  </si>
  <si>
    <t>350200600</t>
  </si>
  <si>
    <t xml:space="preserve">Planes de trabajo concertados con las CRC para su consolidación </t>
  </si>
  <si>
    <t>202000363-0074</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</si>
  <si>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</si>
  <si>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</si>
  <si>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Servicio de asistencia técnica para el desarrollo de iniciativas Clústeres</t>
  </si>
  <si>
    <t>350200700</t>
  </si>
  <si>
    <t>Clústeres asistidos en la implementación de los planes de acción</t>
  </si>
  <si>
    <t>350202200</t>
  </si>
  <si>
    <t>Empresas asistidas técnicamente</t>
  </si>
  <si>
    <t>202000363-0075</t>
  </si>
  <si>
    <t xml:space="preserve"> Fortalecimiento del sector empresarial  para el acceso a nuevos mercados en el departamento del Quindío</t>
  </si>
  <si>
    <t>Incrementar en índice de competitividad en el Departamento del Quindío,  a través de fortalecimiento del sector empresarial,  con el propósito de incrementar la competitividad para  en  acceso a nuevos mercados locales e internacionales.</t>
  </si>
  <si>
    <t>350204700</t>
  </si>
  <si>
    <t>0.7</t>
  </si>
  <si>
    <t>Índice Departamental de Competitividad Turística
Tasa de desempleo</t>
  </si>
  <si>
    <t>Servicio de asistencia técnica a los entes territoriales para el desarrollo turístico</t>
  </si>
  <si>
    <t>350203900</t>
  </si>
  <si>
    <t>202000363-0076</t>
  </si>
  <si>
    <t xml:space="preserve"> Mejoramiento de la competitividad del  departamento como destino turístico  sostenible y de calidad .</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</si>
  <si>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</si>
  <si>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Proyectos de infraestructura turística apoyados</t>
  </si>
  <si>
    <t>Servicio de promoción turística</t>
  </si>
  <si>
    <t>350204600</t>
  </si>
  <si>
    <t>Campañas realizadas</t>
  </si>
  <si>
    <t>202000363-0077</t>
  </si>
  <si>
    <t xml:space="preserve"> Fortalecimiento de la promoción turística del destino Quindío a nivel  nacional e internacional </t>
  </si>
  <si>
    <t>Incrementar en índice de competitividad   turística,  a través de la promoción del departamento como destino turístico y en  fortalecimiento de las  Agencias de Inversión   con la articulación de  instituciones,  gremios y demás actores del sector.</t>
  </si>
  <si>
    <t>Trabajo</t>
  </si>
  <si>
    <t>Generación y formalización del empleo. "Tú y yo con empleo de calidad"</t>
  </si>
  <si>
    <t>Servicios de apoyo financiero para la creación de empresas</t>
  </si>
  <si>
    <t>360201800</t>
  </si>
  <si>
    <t>Planes de negocio financiados</t>
  </si>
  <si>
    <t>202000363-0078</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</si>
  <si>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</si>
  <si>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</si>
  <si>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Servicio de asesoría técnica para el emprendimiento.</t>
  </si>
  <si>
    <t>360203201</t>
  </si>
  <si>
    <t>Emprendimientos fortalecidos</t>
  </si>
  <si>
    <t>Servicio de asistencia técnica para la generación y formalización del empleo</t>
  </si>
  <si>
    <t>360202904</t>
  </si>
  <si>
    <t>Talleres de oferta institucional realizados</t>
  </si>
  <si>
    <t>Servicio de información y monitoreo del mercado de trabajo</t>
  </si>
  <si>
    <t>360203000</t>
  </si>
  <si>
    <t>Reportes realizados</t>
  </si>
  <si>
    <t xml:space="preserve">312 SECRETARÍA DE AGRICULTURA, DESARROLLO RURAL Y MEDIO AMBIENTE </t>
  </si>
  <si>
    <t>Agricultura y desarrollo rural</t>
  </si>
  <si>
    <t>Inclusión productiva de pequeños productores rurales. "Tú y yo con oportunidades para el pequeño campesino"</t>
  </si>
  <si>
    <t>Crecimiento económico del sector agropecuario (PIB)</t>
  </si>
  <si>
    <t>Servicio de asesoría para el fortalecimiento de la asociatividad</t>
  </si>
  <si>
    <t>170201100</t>
  </si>
  <si>
    <t>Asociaciones fortalecidas</t>
  </si>
  <si>
    <t>202000363-0079</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</si>
  <si>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</si>
  <si>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</si>
  <si>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Servicio de apoyo financiero para proyectos productivos</t>
  </si>
  <si>
    <t>170200700</t>
  </si>
  <si>
    <t>Proyectos productivos cofinanciados</t>
  </si>
  <si>
    <t>Servicio de apoyo financiero para el acceso a activos productivos y de comercialización</t>
  </si>
  <si>
    <t>170200900</t>
  </si>
  <si>
    <t>Productores apoyados con activos productivos y de comercialización</t>
  </si>
  <si>
    <t>Servicio de apoyo para el fomento organizativo de la agricultura campesina, familiar y comunitaria</t>
  </si>
  <si>
    <t>170201700</t>
  </si>
  <si>
    <t>Productores agropecuarios apoyados</t>
  </si>
  <si>
    <t>202000363-0023</t>
  </si>
  <si>
    <t xml:space="preserve"> Implementación de procesos productivos agropecuarios familiares campesinos en busca de la soberanía y seguridad alimentaria en el Departamento del Quindío </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</si>
  <si>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</si>
  <si>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Servicio de apoyo para el acceso a maquinaria y equipos</t>
  </si>
  <si>
    <t>170201400</t>
  </si>
  <si>
    <t>Productores beneficiados con acceso a maquinaria y equipo</t>
  </si>
  <si>
    <t>Servicio de acompañamiento productivo y empresarial</t>
  </si>
  <si>
    <t>170202100</t>
  </si>
  <si>
    <t>Unidades productivas beneficiadas</t>
  </si>
  <si>
    <t>Servicio de apoyo a la comercialización</t>
  </si>
  <si>
    <t>170203800</t>
  </si>
  <si>
    <t>Organizaciones de productores formales apoyadas</t>
  </si>
  <si>
    <t>202000363-0080</t>
  </si>
  <si>
    <t xml:space="preserve"> Fortalecimiento e implementación  de procesos de mercadeo y comercialización agropecuaria  en el Departamento del Quindío.                </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</si>
  <si>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</si>
  <si>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170203801</t>
  </si>
  <si>
    <t>Productores apoyados para la participación en mercados campesinos</t>
  </si>
  <si>
    <t>170202301</t>
  </si>
  <si>
    <t>Planes de Desarrollo Agropecuario y Rural elaborados</t>
  </si>
  <si>
    <t>202000363-0022</t>
  </si>
  <si>
    <t>Implementación de procesos de extensión agropecuaria e inocuidad (estatus sanitario, BPA, BPG) alimentaria; en el Departamento del Quindío</t>
  </si>
  <si>
    <t>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t>
  </si>
  <si>
    <t>Servicios de acompañamiento en la implementación de planes de desarrollo agropecuario y rural</t>
  </si>
  <si>
    <t>170202400</t>
  </si>
  <si>
    <t>Planes de Desarrollo Agropecuario y Rural acompañados</t>
  </si>
  <si>
    <t>Servicio de apoyo en la formulación y estructuración de proyectos</t>
  </si>
  <si>
    <t>170202500</t>
  </si>
  <si>
    <t>Proyectos estructurados</t>
  </si>
  <si>
    <t>202000363-0081</t>
  </si>
  <si>
    <t xml:space="preserve"> Servicio de apoyo en la formulación y estructuración de proyectos de Desarrollo Rural e inclusión productiva  campesina en el Departamento del Quindío  </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</si>
  <si>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</si>
  <si>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Servicios financieros y gestión del riesgo para las actividades agropecuarias y rurales. "Tú y yo con un campo protegido"</t>
  </si>
  <si>
    <t>Servicio de apoyo a la implementación de mecanismos y herramientas para el conocimiento, reducción y manejo de riesgos agropecuarios</t>
  </si>
  <si>
    <t>170301300</t>
  </si>
  <si>
    <t>Personas beneficiadas</t>
  </si>
  <si>
    <t>202000363-0082</t>
  </si>
  <si>
    <t xml:space="preserve"> Apoyo a la Implementación de procesos para la prevención y mitigación de riesgos naturales del sector agropecuario en el Departamento del Quindío.  </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</si>
  <si>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</si>
  <si>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Ordenamiento social y uso productivo del territorio rural. "Tú y yo con un campo planificado"</t>
  </si>
  <si>
    <t>170400203</t>
  </si>
  <si>
    <t>Documentos de lineamientos para el ordenamiento social y productivo elaborados</t>
  </si>
  <si>
    <t>202000363-0025</t>
  </si>
  <si>
    <t>Implementación de procesos de ordenamiento productivo y social territorial en el Departamento del Quindío</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</si>
  <si>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</si>
  <si>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Servicio de apoyo para el fomento de la formalidad</t>
  </si>
  <si>
    <t>170401700</t>
  </si>
  <si>
    <t xml:space="preserve">Personas sensibilizadas en la formalización </t>
  </si>
  <si>
    <t>Aprovechamiento de mercados externos. "Tú y yo a los mercados internacionales"</t>
  </si>
  <si>
    <t>Servicio de apoyo financiero para la participación en ferias nacionales e internacionales</t>
  </si>
  <si>
    <t>170600400</t>
  </si>
  <si>
    <t>Participaciones en ferias nacionales e internacionales</t>
  </si>
  <si>
    <t>202000363-0083</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</si>
  <si>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</si>
  <si>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</si>
  <si>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Sanidad agropecuaria e inocuidad agroalimentaria. "Tú y yo con un agro saludable"</t>
  </si>
  <si>
    <t>Servicio de divulgación y socialización</t>
  </si>
  <si>
    <t>170706900</t>
  </si>
  <si>
    <t>Eventos realizados</t>
  </si>
  <si>
    <t>202000363-0084</t>
  </si>
  <si>
    <t xml:space="preserve"> Implementación de procesos de  sanidad e inocuidad alimentaria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</si>
  <si>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</si>
  <si>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Ciencia, tecnología e innovación agropecuaria. "Tú y yo con un agro interconectado"</t>
  </si>
  <si>
    <t>170801600</t>
  </si>
  <si>
    <t>Documentos de lineamientos técnicos elaborados</t>
  </si>
  <si>
    <t>202000363-0026</t>
  </si>
  <si>
    <t xml:space="preserve"> Implementación de procesos de innovación, ciencia y tecnología agropecuario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</si>
  <si>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</si>
  <si>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Servicio de información actualizado</t>
  </si>
  <si>
    <t>170805100</t>
  </si>
  <si>
    <t>Sistemas de información actualizados</t>
  </si>
  <si>
    <t>Infraestructura productiva y comercialización. "Tú y yo con agro competitivo"</t>
  </si>
  <si>
    <t>Centros logísticos agropecuarios adecuados</t>
  </si>
  <si>
    <t>202000363-0024</t>
  </si>
  <si>
    <t xml:space="preserve"> Implementación de procesos de agro industrialización con calidad e inocuidad en el Departamento del Quindío </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</si>
  <si>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</si>
  <si>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Infraestructura de pos cosecha adecuada</t>
  </si>
  <si>
    <t>170903400</t>
  </si>
  <si>
    <t>Servicio de procesamiento de caña panelera</t>
  </si>
  <si>
    <t>170909300</t>
  </si>
  <si>
    <t>Trapiches paneleros con servicio de procesamiento de caña.</t>
  </si>
  <si>
    <t>Crecimiento económico del sector agropecuario (PIB)
Tasa desempleo</t>
  </si>
  <si>
    <t>Servicio de asistencia técnica para emprendedores y/o empresas en edad temprana</t>
  </si>
  <si>
    <t>350201701</t>
  </si>
  <si>
    <t xml:space="preserve">Necesidades empresariales atendidas a partir de emprendimientos </t>
  </si>
  <si>
    <t>202000363-0085</t>
  </si>
  <si>
    <t xml:space="preserve"> 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</si>
  <si>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</si>
  <si>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Servicio de asistencia técnica para el desarrollo de iniciativas clústeres</t>
  </si>
  <si>
    <t>3201</t>
  </si>
  <si>
    <t>Fortalecimiento del desempeño ambiental de los sectores productivos. "Tú y yo guardianes de la biodiversidad.</t>
  </si>
  <si>
    <t>Documentos de lineamientos técnicos para mejorar la calidad ambiental de las áreas urbanas</t>
  </si>
  <si>
    <t>320101300</t>
  </si>
  <si>
    <t>Documentos de lineamientos técnicos para  mejorar la calidad ambiental de las áreas urbanas elaborados</t>
  </si>
  <si>
    <t>202000363-0027</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</si>
  <si>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</si>
  <si>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</si>
  <si>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Servicio de vigilancia de la calidad del aire</t>
  </si>
  <si>
    <t>320100805</t>
  </si>
  <si>
    <t>Campaña de monitoreo de calidad del aire realizadas</t>
  </si>
  <si>
    <t>Conservación de la biodiversidad y sus servicios ecosistémicos. "Tú y yo en territorios biodiversos"</t>
  </si>
  <si>
    <t>3202005</t>
  </si>
  <si>
    <t>Servicio de restauración de ecosistemas</t>
  </si>
  <si>
    <t>320200500</t>
  </si>
  <si>
    <t>Áreas en proceso de restauración</t>
  </si>
  <si>
    <t>202000363-0086</t>
  </si>
  <si>
    <t xml:space="preserve"> Generación y desarrollo de acciones para la conservación de las áreas de importancia estratégica hídrica en el Departamento del Quindío </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</si>
  <si>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t>
  </si>
  <si>
    <t>Servicio de recuperación de cuerpos de agua lénticos y lóticos</t>
  </si>
  <si>
    <t>320203704</t>
  </si>
  <si>
    <t>Bosque ripario recuperado</t>
  </si>
  <si>
    <t>Adquisición, mantenimiento y administración de áreas de importancia estratégica para la conservación y regulación del recurso hídrico.</t>
  </si>
  <si>
    <t xml:space="preserve">Número de Hectáreas intervenidas </t>
  </si>
  <si>
    <t>Extensión de cuerpos de agua recuperados</t>
  </si>
  <si>
    <t>Servicio apoyo financiero para la implementación de esquemas de pago por servicios ambientales</t>
  </si>
  <si>
    <t>Servicio apoyo financiero para la implementación de esquemas de pago por Servicios ambientales</t>
  </si>
  <si>
    <t>320201700</t>
  </si>
  <si>
    <t xml:space="preserve">Esquemas de pago por Servicio ambientales implementados </t>
  </si>
  <si>
    <t xml:space="preserve">Áreas con esquemas de pago por Servicios Ambientales implementados </t>
  </si>
  <si>
    <t xml:space="preserve">Estrategia  departamental para la protección y bienestar de los animales domésticos y silvestres del Departamento </t>
  </si>
  <si>
    <t>Estrategia  para la protección y bienestar de los animales domésticos y silvestres adoptada</t>
  </si>
  <si>
    <t>Talleres realizados</t>
  </si>
  <si>
    <t>202000363-0028</t>
  </si>
  <si>
    <t xml:space="preserve">Apoyo a la generación de entornos  amigables para los animales  domésticos y silvestres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</si>
  <si>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</si>
  <si>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Realizar  campaña  de sensibilización y apropiación del patrimonio ambiental en el Departamento</t>
  </si>
  <si>
    <t>Campaña  de sensibilización y apropiación del patrimonio ambiental realizada</t>
  </si>
  <si>
    <t>202000363-0087</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</si>
  <si>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</si>
  <si>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</si>
  <si>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3204</t>
  </si>
  <si>
    <t>Gestión de la información y en conocimiento ambiental. "Tú y yo conscientes con la naturaleza"</t>
  </si>
  <si>
    <t>Servicio de apoyo financiero a emprendimientos</t>
  </si>
  <si>
    <t>320401200</t>
  </si>
  <si>
    <t xml:space="preserve">Emprendimientos apoyados </t>
  </si>
  <si>
    <t>202000363-0029</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</si>
  <si>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</si>
  <si>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</si>
  <si>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3205009</t>
  </si>
  <si>
    <t>Barreras rompe vientos recuperadas</t>
  </si>
  <si>
    <t>320500900</t>
  </si>
  <si>
    <t>Barreras rompe vientos</t>
  </si>
  <si>
    <t>202000363-0030</t>
  </si>
  <si>
    <t xml:space="preserve"> Implementación de acciones de Gestión del Cambio Climático en el marco del PIGCC, en el Departamento del Quindío</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</si>
  <si>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</si>
  <si>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3205014</t>
  </si>
  <si>
    <t>Obras para el control de erosión</t>
  </si>
  <si>
    <t>320501400</t>
  </si>
  <si>
    <t xml:space="preserve">Área reforestada </t>
  </si>
  <si>
    <t>3206</t>
  </si>
  <si>
    <t>Gestión del cambio climático para un desarrollo bajo en carbono y resiliente al clima. "Tú y yo preparados para el cambio climático"</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</si>
  <si>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</si>
  <si>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</si>
  <si>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</si>
  <si>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</si>
  <si>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202000363-0088</t>
  </si>
  <si>
    <t xml:space="preserve">Implementación de un programa  de protección del  patrimonio ambiental , en paisaje, la biodiversidad y sus servicios ecosistémicos en el Departamento del Quindío  </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</si>
  <si>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</si>
  <si>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Servicio de producción de plántulas en viveros</t>
  </si>
  <si>
    <t>320601400</t>
  </si>
  <si>
    <t>Plántulas producidas</t>
  </si>
  <si>
    <t>3206015</t>
  </si>
  <si>
    <t>Estufas ecoeficientes</t>
  </si>
  <si>
    <t>320601500</t>
  </si>
  <si>
    <t>Estufas ecoeficientes instaladas y en operación</t>
  </si>
  <si>
    <t xml:space="preserve">313 DIRECCIÓN OFICINA PRIVADA </t>
  </si>
  <si>
    <t>Fortalecimiento a la gestión y dirección de la administración pública territorial "Quindío con una administración al servicio de la ciudadanía"</t>
  </si>
  <si>
    <t>Desarrollo de  la Política  de Transparencia, Acceso a la Información Pública y Lucha Contra la Corrupción del Modelo Integrado de Planificación y Gestión MIPG, articulada con el "Pacto por la Integridad , Transparencia y Legalidad" del Gobierno Nacional</t>
  </si>
  <si>
    <t xml:space="preserve">Política de Transparencia, Acceso a la Información Pública y Lucha Contra la Corrupción  articulada   con el "Pacto por la Integridad , Transparencia y Legalidad" del Gobierno Nacional desarrollada.                                                                                   </t>
  </si>
  <si>
    <t>Herramientas implementada</t>
  </si>
  <si>
    <t>202000363-0089</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</si>
  <si>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</si>
  <si>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</si>
  <si>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Desarrollo e implementación de la estrategia de comunicaciones para la Administración Departamental</t>
  </si>
  <si>
    <t>Estrategia de comunicaciones desarrollada e implementada</t>
  </si>
  <si>
    <t>202000363-0090</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</si>
  <si>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</si>
  <si>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</si>
  <si>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 xml:space="preserve">Encuentros ciudadanos en el Departamento del Quindío en aplicación de la Política de Transparencia, Acceso a la Información Pública y Lucha contra la Corrupción.  </t>
  </si>
  <si>
    <t>Encuentros  ciudadanos realizados.</t>
  </si>
  <si>
    <t>202000363-0031</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</si>
  <si>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</si>
  <si>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</si>
  <si>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 xml:space="preserve">314 SECRETARÍA DE EDUCACIÓN </t>
  </si>
  <si>
    <t>Tasa de cobertura bruta en educación básica
Tasa de cobertura en educación media
Tasa de Analfabetismo
Tasa de deserción escolar intra-anual
Tasa de repitencia</t>
  </si>
  <si>
    <t>Servicio educación formal por modelos educativos flexibles</t>
  </si>
  <si>
    <t>Beneficiarios atendidos con modelos educativos flexibles</t>
  </si>
  <si>
    <t>202000363-0091</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</si>
  <si>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</si>
  <si>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</si>
  <si>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Tasa de deserción escolar intra -anual</t>
  </si>
  <si>
    <t>Servicio de fomento para la permanencia en programas de educación formal</t>
  </si>
  <si>
    <t>Personas beneficiarias de estrategias de permanencia</t>
  </si>
  <si>
    <t xml:space="preserve">Tasa de Analfabetismo </t>
  </si>
  <si>
    <t>Servicio de alfabetización</t>
  </si>
  <si>
    <t xml:space="preserve">Personas beneficiarias con modelos de alfabetización </t>
  </si>
  <si>
    <t xml:space="preserve">Tasa de cobertura bruta en educación básica
Tasa de cobertura en educación media
</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</si>
  <si>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</si>
  <si>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</si>
  <si>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Tasa de cobertura bruta en transición
Tasa de cobertura bruta en educación básica
Tasa de cobertura en educación media
Tasa de deserción escolar intra-anual
Tasa de repitencia</t>
  </si>
  <si>
    <t>Servicio de apoyo para el fortalecimiento de escuelas de padres</t>
  </si>
  <si>
    <t>Escuelas de padres apoyadas</t>
  </si>
  <si>
    <t>Servicio de apoyo a la permanencia con alimentación escolar</t>
  </si>
  <si>
    <t>Beneficiarios de la alimentación escolar</t>
  </si>
  <si>
    <t>Servicio de apoyo a la permanencia con transporte escolar</t>
  </si>
  <si>
    <t>Beneficiarios de transporte escolar</t>
  </si>
  <si>
    <t>Infraestructura de Instituciones Educativas con procesos constructivos, mejorados, ampliados, mantenidos, y/o reforzados.</t>
  </si>
  <si>
    <t xml:space="preserve">Sedes mantenidas </t>
  </si>
  <si>
    <t xml:space="preserve">Tasa de cobertura bruta en transición
Tasa de cobertura bruta en educación básica
Tasa de cobertura en educación media 
Tasa de deserción escolar intra-anual </t>
  </si>
  <si>
    <t>Estudios de preinversión</t>
  </si>
  <si>
    <t>Estudios o diseños realizados</t>
  </si>
  <si>
    <t>Infraestructura educativa dotada</t>
  </si>
  <si>
    <t>Sedes dotadas</t>
  </si>
  <si>
    <t>Cobertura en asistencia técnica a la educación inicial (0 a 4 años)</t>
  </si>
  <si>
    <t>Servicio de información para la gestión de la educación inicial y preescolar en condiciones de calidad</t>
  </si>
  <si>
    <t xml:space="preserve">Entidades territoriales que hacen seguimiento a las condiciones de calidad de los prestadores de educación inicial o preescolar a través del Sistema de Información de Primera Infancia -SIPI- </t>
  </si>
  <si>
    <t>202000363-0092</t>
  </si>
  <si>
    <t>Fortalecimiento para la gestión de la educación inicial y preescolar en el marco de la atención integral a la primera infancia en el Departamento del Quindío.</t>
  </si>
  <si>
    <t>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t>
  </si>
  <si>
    <t>Tasa de cobertura bruta en transición</t>
  </si>
  <si>
    <t>Servicio de atención integral para la primera infancia</t>
  </si>
  <si>
    <t>Instituciones educativas oficiales que implementan en nivel preescolar en el marco de la atención integral</t>
  </si>
  <si>
    <t>Porcentaje de pruebas SABER 5 Lenguaje (nivel Insuficiente) 
Porcentaje de pruebas SABER 5 Matemáticas (nivel Insuficiente) 
Porcentaje de pruebas SABER 9 Lenguaje (nivel Insuficiente)  
Porcentaje de pruebas SABER 9 Matemáticas (nivel Insuficiente) 
Porcentaje de Colegios pruebas SABER 11 con resultado A+ - A</t>
  </si>
  <si>
    <t>Servicio de evaluación de la calidad de la educación preescolar, básica o media.</t>
  </si>
  <si>
    <t>Estudiantes evaluados con pruebas de calidad educativa</t>
  </si>
  <si>
    <t>202000363-0093</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</si>
  <si>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</si>
  <si>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</si>
  <si>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Tasa de cobertura bruta en transición
Tasa de cobertura bruta en educación básica
Tasa de cobertura en educación media 
Tasa de deserción escolar intra-anual 
Cobertura de Instituciones Educativas con Planes Escolares de Gestión del Riesgo de Desastres-PEGERD</t>
  </si>
  <si>
    <t>Servicio de acondicionamiento de ambientes de aprendizaje</t>
  </si>
  <si>
    <t>Ambientes de aprendizaje en funcionamiento</t>
  </si>
  <si>
    <t>Servicio de fortalecimiento a las capacidades de los docentes de educación inicial, preescolar, básica y media</t>
  </si>
  <si>
    <t>Docentes de educación inicial, preescolar, básica y media beneficiados con estrategias de mejoramiento de sus capacidades</t>
  </si>
  <si>
    <t xml:space="preserve">Docentes y agentes educativos  de educación inicial, preescolar, básica y media beneficiados con estrategias de mejoramiento de sus capacidades </t>
  </si>
  <si>
    <t>Servicio de fortalecimiento a las capacidades de los docentes y agentes educativos en educación inicial o preescolar de acuerdo a los referentes nacionales</t>
  </si>
  <si>
    <t>Servicio de fortalecimiento a las capacidades de los docentes de educación Inicial, preescolar, básica y media</t>
  </si>
  <si>
    <t>Docentes y agentes educativos beneficiarios de Servicio de fortalecimiento a sus capacidades de acuerdo a los referentes nacionales</t>
  </si>
  <si>
    <t xml:space="preserve">Tasa de cobertura bruta en educación media 
Años promedio de estudio (población de 15 a 24 años) </t>
  </si>
  <si>
    <t>Servicio de articulación entre la educación media y el sector productivo.</t>
  </si>
  <si>
    <t xml:space="preserve">Programas y proyectos de educación pertinente articulados con el sector productivo </t>
  </si>
  <si>
    <t>Servicios de asistencia técnica en innovación educativa en la educación inicial, preescolar, básica y media</t>
  </si>
  <si>
    <t>Instituciones educativas asistidas técnicamente en innovación educativa</t>
  </si>
  <si>
    <t>Servicio de fomento para la prevención de riesgos sociales en entornos escolares</t>
  </si>
  <si>
    <t>Entidades territoriales con estrategias para la prevención de riesgos sociales en los entornos escolares implementadas</t>
  </si>
  <si>
    <t>Servicio de apoyo a proyectos pedagógicos productivos</t>
  </si>
  <si>
    <t>Proyectos apoyados</t>
  </si>
  <si>
    <t>Servicio de orientación vocacional</t>
  </si>
  <si>
    <t>Estudiantes vinculados a procesos de orientación vocacional</t>
  </si>
  <si>
    <t>Tasa de cobertura bruta en transición
Tasa de cobertura bruta en educación básica
Tasa de cobertura en educación media
Tasa de Analfabetismo
Tasa de deserción escolar intra-anual
Tasa de repitencia</t>
  </si>
  <si>
    <t>Servicio de asistencia técnica en educación inicial, preescolar, básica y media</t>
  </si>
  <si>
    <t>Entidades y organizaciones asistidas técnicamente</t>
  </si>
  <si>
    <t>202000363-0016</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</si>
  <si>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</si>
  <si>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</si>
  <si>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Servicio de monitoreo y seguimiento a la gestión del sector educativo</t>
  </si>
  <si>
    <t>Entidades territoriales con seguimiento y evaluación a la gestión.</t>
  </si>
  <si>
    <t>Servicios de atención psicosocial a estudiantes y docentes</t>
  </si>
  <si>
    <t xml:space="preserve">Personas atendidas </t>
  </si>
  <si>
    <t xml:space="preserve">Tasa de cobertura bruta en transición
Tasa de cobertura bruta en educación básica
Tasa de cobertura en educación media
</t>
  </si>
  <si>
    <t>Servicio educativo</t>
  </si>
  <si>
    <t>Establecimientos educativos en operación</t>
  </si>
  <si>
    <t>Servicio de accesibilidad a contenidos web para fines pedagógicos</t>
  </si>
  <si>
    <t>Estudiantes con acceso a contenidos web en el establecimiento educativo</t>
  </si>
  <si>
    <t>202000363-0094</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</si>
  <si>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</si>
  <si>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</si>
  <si>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Establecimientos educativos conectados a internet</t>
  </si>
  <si>
    <t>Documento para la planeación estratégica en TI</t>
  </si>
  <si>
    <t>Planes de mejoramiento de los sistemas de información de las secretarías de educación implementados</t>
  </si>
  <si>
    <t>Documentos de planeación para la educación inicial, preescolar, básica y media emitidos</t>
  </si>
  <si>
    <t>Porcentaje de estudiantes de grado 11 con dominio de inglés a nivel B1 (preintermedio)</t>
  </si>
  <si>
    <t>Servicio educativos de promoción del bilingüismo</t>
  </si>
  <si>
    <t>Estudiantes beneficiados con estrategias de promoción del bilingüismo</t>
  </si>
  <si>
    <t>202000363-0015</t>
  </si>
  <si>
    <t>Fortalecimiento de las competencias comunicativas en lengua extranjera en estudiantes y docentes de las instituciones educativas oficiales del Departamento del Quindío.</t>
  </si>
  <si>
    <t>Aumentar en porcentaje de estudiantes de grado 11 con dominio de inglés a nivel B1 (preintermedio) a través del fortalecimiento del nivel de inglés de los niños, niñas y jóvenes qué asisten a las Instituciones Educativas Oficiales del Departamento del Quindío.</t>
  </si>
  <si>
    <t>Servicios educativos de promoción del bilingüismo</t>
  </si>
  <si>
    <t>Instituciones educativas fortalecidas en competencias comunicativas en un segundo idioma</t>
  </si>
  <si>
    <t>Servicio educativo de promoción del bilingüismo para docentes</t>
  </si>
  <si>
    <t>Docentes beneficiados con estrategias de promoción del bilingüismo</t>
  </si>
  <si>
    <t>202000363-0095</t>
  </si>
  <si>
    <t>Implementación del observatorio de educación, con el fin de recopilar y producir información del sector educativo con enfoque territorial.</t>
  </si>
  <si>
    <t>Servicios de información en materia educativa</t>
  </si>
  <si>
    <t>Observatorio implementado</t>
  </si>
  <si>
    <t>Tasa de cobertura en educación superior</t>
  </si>
  <si>
    <t>Servicio de apoyo para el acceso y la permanencia a la educación superior o terciaria</t>
  </si>
  <si>
    <t>Estrategias o programas de  fomento para  acceso y  permanencia a la educación superior o terciaria implementados</t>
  </si>
  <si>
    <t>Estrategias y programas de  fomento para acceso y  permanencia a la educación superior o postsecundaria implementados</t>
  </si>
  <si>
    <t>202000363-0096</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</si>
  <si>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</si>
  <si>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</si>
  <si>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Generación de una cultura qué valora y gestiona en conocimiento y la innovación.</t>
  </si>
  <si>
    <t xml:space="preserve">
Tasa de cobertura bruta en educación básica
Tasa de cobertura en educación media
</t>
  </si>
  <si>
    <t>Servicio para el fortalecimiento de capacidades institucionales para el fomento de vocación científica</t>
  </si>
  <si>
    <t>Instituciones educativas qué participan en programas que fomentan la cultura de la Ciencia, la Tecnología y la Innovación fortalecidas</t>
  </si>
  <si>
    <t>Instituciones educativas que participan en programas qué fomentan la cultura de la Ciencia, la Tecnología y la Innovación fortalecidas</t>
  </si>
  <si>
    <t>202000363-0097</t>
  </si>
  <si>
    <t>Implementación  y fortalecimiento de  las estrategias qué fomenten la ciencia, la tecnología y la innovación en las Instituciones Educativas Oficiales del Departamento.</t>
  </si>
  <si>
    <t xml:space="preserve">Aumentar las tasas de cobertura bruta en educación  básica y media, a través de la  Promoción  de  la investigación en los estudiantes  matriculados en las Instituciones Educativas Oficiales del Departamento del Quindío, a través de la Ciencia, Tecnología y la Innovación. </t>
  </si>
  <si>
    <t>316 SECRETARÍA DE FAMILIA</t>
  </si>
  <si>
    <t>Salud Pública, "Tú y yo con salud de calidad"</t>
  </si>
  <si>
    <t>Razón de mortalidad materna (por 100.000 nacidos vivos)
Porcentaje de atención institucional del parto.
Tasa  de mujeres de 10 a 14 años qué han sido madres o están en embarazo.
Tasa de mujeres de 15 a 19 años qué han sido madres o están en embarazo.
Prevalencia de VIH/SIDA en población de 15 a 49 años de edad.
Tasa de mortalidad asociada a VIH/SIDA.
Porcentaje transmisión materno -infantil del VIH.
Cobertura de tratamiento antirretroviral</t>
  </si>
  <si>
    <t xml:space="preserve">Servicio de gestión del riesgo en temas de salud sexual y reproductiva </t>
  </si>
  <si>
    <t>Campañas de gestión del riesgo en temas de salud sexual y reproductiva implementadas.</t>
  </si>
  <si>
    <t xml:space="preserve"> 202000363-0011</t>
  </si>
  <si>
    <t xml:space="preserve">  Diseño e implementación de campañas para la promoción de la vida y prevención del consumo de sustancias psicoactivas en el Departamento del Quindío. "TU Y YO UNIDOS POR LA VIDA".  </t>
  </si>
  <si>
    <t xml:space="preserve"> Disminuir las tasas  de mortalidad materna, embarazos, violencia y suicidios en el Departamento del Quindío, a través del fomento de  hábitos de vida saludables y derechos sexuales y reproductivos. </t>
  </si>
  <si>
    <t>Tasa de violencia de género.
Tasa de Suicidio  x 100.000 Habitantes en el Departamento del Quindío.
Tasa de suicidios en niños y niñas ( 6 a 11 años)
Tasa de suicidios en adolescentes (12 a 17 años)
Tasa de suicidios (18 - 28 años)Tasa de Consumo de Sustancias Psicoactivas  x 100.000 Habitantes en el Departamento del Quindío.</t>
  </si>
  <si>
    <t xml:space="preserve">Servicio de gestión del riesgo en temas de trastornos mentales </t>
  </si>
  <si>
    <t>Campañas de gestión del riesgo en temas de trastornos mentales implementadas</t>
  </si>
  <si>
    <t>Cobertura  de municipios   con  jóvenes en riesgo psicosocial impactados en los  Barrios vulnerables del Departamento del Quindío</t>
  </si>
  <si>
    <t>Servicio de educación informal al sector artístico y cultural</t>
  </si>
  <si>
    <t>Capacitaciones de educación informal realizadas</t>
  </si>
  <si>
    <t>202000363-0098</t>
  </si>
  <si>
    <t xml:space="preserve"> Implementación acciones de fortalecimiento  de los entornos protectores de los jóvenes en barrios vulnerables de los municipios, del Departamento del Quindío. </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</si>
  <si>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</si>
  <si>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Inclusión social y Reconciliación</t>
  </si>
  <si>
    <t>Desarrollo Integral de Niños, Niñas, Adolescentes y sus Familias. "Tú y yo niños, niñas y adolescentes con desarrollo integral"</t>
  </si>
  <si>
    <t xml:space="preserve">Cobertura en la  implementación del  Modelo de entornos protectores y atención integral de   la primera infancia </t>
  </si>
  <si>
    <t xml:space="preserve">Diseñar e implementar un modelo de atención integral en entornos protectores para la primera infancia </t>
  </si>
  <si>
    <t>Modelo de atención integral de entornos protectores implementado</t>
  </si>
  <si>
    <t>202000363-0099</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</si>
  <si>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</si>
  <si>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 xml:space="preserve">Cobertura  en la  implementación y seguimiento de las   Rutas integrales de atención  a la primera infancia </t>
  </si>
  <si>
    <t xml:space="preserve">Implementar y realizar seguimiento a las rutas integrales de atención </t>
  </si>
  <si>
    <t xml:space="preserve">Servicio de atención integral a la primera infancia </t>
  </si>
  <si>
    <t xml:space="preserve">Número de rutas integrales de atención  a la  primera infancia implementadas y con seguimiento </t>
  </si>
  <si>
    <t>Niños y niñas atendidos en servicio integrales</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</si>
  <si>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qué participan en una actividad remunerada  o no  x cada 100.000 habitantes  en el departamento del Quindío
Tasa  de mujeres de 12 a 14 años qué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</si>
  <si>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 xml:space="preserve">Implementar la  política pública para la protección, en fortalecimiento y en desarrollo integral de la familia Quindiana </t>
  </si>
  <si>
    <t>4102043</t>
  </si>
  <si>
    <t xml:space="preserve">Servicio de promoción de temas de dinámica relacional y desarrollo autónomo </t>
  </si>
  <si>
    <t>Política Pública de Familia  implementada</t>
  </si>
  <si>
    <t>410204300</t>
  </si>
  <si>
    <t>Familias atendidas</t>
  </si>
  <si>
    <t>202000363-0100</t>
  </si>
  <si>
    <t xml:space="preserve"> Implementación de la  política pública  de Familia para la  promoción  del desarrollo integral de la población del Departamento del Quindío. </t>
  </si>
  <si>
    <t xml:space="preserve">Disminuir las tasas de violencia intrafamiliar, suicidio y embarazos en el departamento del Quindío a través del Desarrollo de  estrategias,  programas y proyectos en el marco de la implementación y seguimiento de la Política Pública de Familia para promover en desarrollo integral de la población. </t>
  </si>
  <si>
    <t>.- Tasa de violencia contra niños y niñas o a 5 años       
.- Tasa de violencia contra niños y niñas de 6 a 11 años
.- Tasa de violencia contra niños y niñas de 12 a 17 años
-Tasa de niños, niñas y adolescentes víctimas de violencia sexual  x 100 mil habitantes   en el Departamento del Quindío
-Tasa de suicidios en adolescentes (12 a 17 años)
-Tasa  de Niños, Niñas y Adolescentes qué participan en una actividad remunerada  o no  x cada 100.000 habitantes  en el departamento del Quindío
-Tasa  de mujeres de 12 a 14 años qué han sido madres o están en embarazo X 100.000 habitantes en el Departamento del Quindío
-Tasa de Consumo de Sustancias Psicoactivas  x 100.000 Habitantes en el Departamento del Quindío.</t>
  </si>
  <si>
    <t>Revisar y ajustar   la política pública de primera infancia, infancia y adolescencia</t>
  </si>
  <si>
    <t xml:space="preserve">4102035
 </t>
  </si>
  <si>
    <t xml:space="preserve">Documento  de Política Pública de Primera Infancia, Infancia y Adolescencia, revisado, ajustado </t>
  </si>
  <si>
    <t xml:space="preserve">410203501
</t>
  </si>
  <si>
    <t>Documentos de lineamientos técnicos en Política y Atención Integral de niños, niñas y adolescentes realizados</t>
  </si>
  <si>
    <t>202000363-0101</t>
  </si>
  <si>
    <t xml:space="preserve">Revisión,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</si>
  <si>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</si>
  <si>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Implementar  la política pública de primera infancia, infancia y adolescencia</t>
  </si>
  <si>
    <t>Servicio de promoción de temas de dinámica relacional y desarrollo autónomo</t>
  </si>
  <si>
    <t xml:space="preserve">Política Pública de Primera Infancia, Infancia y Adolescencia implementada. </t>
  </si>
  <si>
    <t>Niños, niñas y adolescentes atendidos</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</si>
  <si>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</si>
  <si>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</si>
  <si>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</si>
  <si>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</si>
  <si>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202000363-0102</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</si>
  <si>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</si>
  <si>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</si>
  <si>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Tasa de Violencia Intrafamiliar x 100.000 Habitantes en el Departamento del Quindío.
Tasa de violencia de Género</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</si>
  <si>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</si>
  <si>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</si>
  <si>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</si>
  <si>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</si>
  <si>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202000363-0032</t>
  </si>
  <si>
    <t xml:space="preserve"> Diseño e implementación del programa de acompañamiento familiar y comunitario con enfoque preventivo en los tipos de violencias en el Departamento del Quindío "TU Y YO COMPROMETIDOS CON LA FAMILIA" </t>
  </si>
  <si>
    <t xml:space="preserve"> 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t>
  </si>
  <si>
    <t>Cobertura de atención de niños y niñas en Hogar Infantil Nocturno, hijos de trabajadoras sexuales en el Departamento del Quindío</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</si>
  <si>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</si>
  <si>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</si>
  <si>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</si>
  <si>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Niños y niñas atendidos en servicios integrales</t>
  </si>
  <si>
    <t>202000363-0033</t>
  </si>
  <si>
    <t xml:space="preserve"> Diseño e implementación del programa comunitario para la prevención de los derechos de niños, niñas y adolescentes y su desarrollo integral. "TU Y YO COMPROMETIDOS CON LOS SUEÑOS". </t>
  </si>
  <si>
    <t xml:space="preserve"> 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 </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</si>
  <si>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</si>
  <si>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Servicio de divulgación para la promoción y prevención de los derechos de los niños, niñas y adolescentes</t>
  </si>
  <si>
    <t xml:space="preserve">Servicios de promoción de los derechos de los niños, niñas, adolescentes y jóvenes </t>
  </si>
  <si>
    <t>410202200</t>
  </si>
  <si>
    <t xml:space="preserve">Eventos de divulgación realizados </t>
  </si>
  <si>
    <t xml:space="preserve">Campañas de promoción realizadas </t>
  </si>
  <si>
    <t>Cobertura de adolescentes y jóvenes atendidos en Post egreso, en los servicios de restablecimiento en la administración de justicia.</t>
  </si>
  <si>
    <t>Servicios dirigidos a la atención de niños, niñas, adolescentes y jóvenes, con enfoque pedagógico y restaurativo encaminados a la inclusión social</t>
  </si>
  <si>
    <t>Niños, niñas, adolescentes y jóvenes atendidos en los servicios de restablecimiento en la administración de justicia</t>
  </si>
  <si>
    <t>202000363-0034</t>
  </si>
  <si>
    <t xml:space="preserve"> Servicio de atención Post egreso de adolescentes y jóvenes, en los servicios de restablecimiento en la administración de justicia, con enfoque pedagógico y restaurativo encaminados a la inclusión social en el  Departamento del   Quindío.</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</si>
  <si>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</si>
  <si>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Cobertura de municipios del departamento apoyados con  emprendimientos juveniles </t>
  </si>
  <si>
    <t>Servicio de asistencia técnica para fortalecimiento de unidades productivas colectivas para la generación de ingresos</t>
  </si>
  <si>
    <t>Unidades productivas colectivas con asistencia técnica</t>
  </si>
  <si>
    <t>202000363-0103</t>
  </si>
  <si>
    <t xml:space="preserve">  Fortalecimiento  de unidades productivas colectivas  juveniles para la generación de ingresos  en el departamento del Quindío  </t>
  </si>
  <si>
    <t>Aumentar la cobertura de municipios del departamento apoyados con  emprendimientos juveniles,   a través del fortalecimiento de los procesos de asistencia técnica en temas de formalización y comercialización.</t>
  </si>
  <si>
    <t>Cobertura para la atención al ciudadano migrante a través del plan de atención y de repatriación.</t>
  </si>
  <si>
    <t xml:space="preserve">Mecanismos de articulación implementados para la gestión de oferta social </t>
  </si>
  <si>
    <t>202000363-0104</t>
  </si>
  <si>
    <t xml:space="preserve">  Formulación  e Implementación del  programa departamental para atención al ciudadano migrante y de repatriación.  </t>
  </si>
  <si>
    <t xml:space="preserve">Aumentar la cobertura para la atención al ciudadano migrante a través del plan de atención y de repatriación </t>
  </si>
  <si>
    <t>Servicio de acompañamiento familiar y comunitario para la superación de la pobreza</t>
  </si>
  <si>
    <t>Comunidades con acompañamiento familiar.</t>
  </si>
  <si>
    <t>202000363-0105</t>
  </si>
  <si>
    <t xml:space="preserve">   Desarrollo de un  programa  de acompañamiento  familiar y comunitario  en procesos de Inclusión social y productivos para el emprendimiento de  alternativas de generación de ingresos  en el departamento del Quindío  </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</si>
  <si>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</si>
  <si>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Cobertura de municipios del departamento con procesos de implementación de proyectos  productivos  para las personas con discapacidad </t>
  </si>
  <si>
    <t>Servicio de apoyo para el fortalecimiento de unidades productivas colectivas para la generación de ingresos</t>
  </si>
  <si>
    <t>Unidades productivas colectivas fortalecidas</t>
  </si>
  <si>
    <t>202000363-0106</t>
  </si>
  <si>
    <t xml:space="preserve">  Formulación e implementación   de proyectos productivos  dirigidos a  la población en condición  de  discapacidad y sus familias para la generación de  ingresos  y fortalecimiento del entorno familiar.  </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</si>
  <si>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</si>
  <si>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 xml:space="preserve">Tasa planes de vida de los cabildos  indígenas construidos e implementados </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</si>
  <si>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</si>
  <si>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</si>
  <si>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</si>
  <si>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</si>
  <si>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202000363-0036</t>
  </si>
  <si>
    <t xml:space="preserve">  Apoyo en la construcción e Implementación de los Planes de Vida de los Cabildos y Resguardos indígenas  asentados en el Departamento del Quindío "TU Y YO UNIDOS CON DIGNIDAD".  </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</si>
  <si>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</si>
  <si>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Tasa de  planes de vida de los resguardos  indígenas construidos e implementados</t>
  </si>
  <si>
    <t xml:space="preserve">Apoyar la construcción e Implementación de los  Planes de vida de los resguardos indígenas  asentados en el Departamento del Quindío </t>
  </si>
  <si>
    <t xml:space="preserve">Planes de vida de los resguardos indígenas  construidos  e implementados </t>
  </si>
  <si>
    <t>Cobertura  de población diferencial,  comunidades negras, afros raizales y Palenqueras asentadas en el departamento del Quindío con una  política pública .</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</si>
  <si>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</si>
  <si>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</si>
  <si>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202000363-0037</t>
  </si>
  <si>
    <t xml:space="preserve">  Formulación e implementación de la política pública para la comunidad negra, afrocolombiana, raizal y palenquera residente en el Departamento del Quindío   </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</si>
  <si>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</si>
  <si>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Atención integral de población en situación permanente de desprotección social y/o familiar "Tú y yo con atención integral"</t>
  </si>
  <si>
    <t>Cobertura  de municipios del Departamento del Quindío con el Programa de Rehabilitación Basada en la Comunidad  RBC
Cobertura de municipios atendidos  con el Banco de ayudas técnicas NO POS tipo Estándar, para las personas con discapacidad .</t>
  </si>
  <si>
    <t>Servicios de atención integral a población en condición de discapacidad</t>
  </si>
  <si>
    <t>Servicio de atención integral a población en condición de discapacidad</t>
  </si>
  <si>
    <t xml:space="preserve">Personas atendidas con servicios integrales de atención </t>
  </si>
  <si>
    <t>Personas con discapacidad atendidas con servicios integrales</t>
  </si>
  <si>
    <t>202000363-0035</t>
  </si>
  <si>
    <t xml:space="preserve"> Servicio de atención integral a población en condición de discapacidad en los municipios del Departamento del Quindío "TU Y YO JUNTOS EN LA INCLUSIÓN". </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</si>
  <si>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</si>
  <si>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Cobertura  de municipios del Departamento del Quindío  con en   Programas  de Rehabilitación Basada en la Comunidad  RBC
Cobertura de municipios atendidos  con el Banco de ayudas técnicas NO POS tipo Estándar, para las personas con discapacidad .</t>
  </si>
  <si>
    <t xml:space="preserve">Estrategia de rehabilitación basada en la comunidad implementada en los municipios  </t>
  </si>
  <si>
    <t>Cobertura de municipios del departamento del Quindío, con programas de atención a la población habitante de calle.</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</si>
  <si>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</si>
  <si>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</si>
  <si>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</si>
  <si>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</si>
  <si>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 xml:space="preserve"> 202000363-0012</t>
  </si>
  <si>
    <t xml:space="preserve">   Apoyo en  la articulación de la  oferta social para la población habitante de calle del departamento del Quindío  </t>
  </si>
  <si>
    <t xml:space="preserve">Aumentar la cobertura de municipios del departamento del Quindío, con programas de atención a la población habitante de calle a través de la coordinación y articulación  de la oferta social para la población en condición de calle en el departamento del Quindío. </t>
  </si>
  <si>
    <t xml:space="preserve">Cobertura a los grupos de adulto mayor del departamento del Quindío en articulación con los Municipios, en el marco de garantizar estimulación física, cognitiva, emocional y social en bienestar de una vejez activa y saludable </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</si>
  <si>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</si>
  <si>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</si>
  <si>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</si>
  <si>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</si>
  <si>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202000363-0109</t>
  </si>
  <si>
    <t xml:space="preserve"> Servicio  de atención integral e inclusión para el bienestar de los adultos mayores del departamento del Quindío </t>
  </si>
  <si>
    <t>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</si>
  <si>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Cobertura  de  centros vida y centros de bienestar del adulto mayor (Legalmente constituidos)  apoyados con los recursos de la  Estampilla Pro adulto Mayor .</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</si>
  <si>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</si>
  <si>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</si>
  <si>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</si>
  <si>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</si>
  <si>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 xml:space="preserve">Cobertura de Asociaciones de mujeres fortalecidas  </t>
  </si>
  <si>
    <t>Servicio de asesoría para el fortalecimiento de la Asociatividad</t>
  </si>
  <si>
    <t>170201102</t>
  </si>
  <si>
    <t>Asociaciones de mujeres fortalecidas</t>
  </si>
  <si>
    <t>202000363-0113</t>
  </si>
  <si>
    <t xml:space="preserve"> Implementación de  estrategias de acompañamiento y asesoría a las asociaciones de mujeres del departamento del Quindío</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</si>
  <si>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</si>
  <si>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Derechos fundamentales del trabajo y fortalecimiento del diálogo social. "Tú y yo con una niñez protegida"</t>
  </si>
  <si>
    <t>Tasa  de Niños, Niñas y Adolescentes qué participan en una actividad remunerada  o no  x cada 100.000 habitantes  en el departamento del Quindío</t>
  </si>
  <si>
    <t>Servicio de educación informal para la prevención integral del trabajo infantil</t>
  </si>
  <si>
    <t>202000363-0114</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</si>
  <si>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</si>
  <si>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</si>
  <si>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Gobierno Territorial</t>
  </si>
  <si>
    <t>Tasa de participación femenina en cargos de elección popular en el departamento del Quindío</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</si>
  <si>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</si>
  <si>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</si>
  <si>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202000363-0115</t>
  </si>
  <si>
    <t xml:space="preserve"> Implementación del  programa de liderazgo  para la participación femenina en escenarios sociales y políticos del departamento del Quindío</t>
  </si>
  <si>
    <t xml:space="preserve">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t>
  </si>
  <si>
    <t xml:space="preserve">Tasa de Violencia Intrafamiliar x 100.000 Habitantes en el Departamento del Quindío.
Tasa de violencia de Género
Tasa  de mujeres de 12 a 14 años qué han sido madres o están en embarazo X 100.000 habitantes en el Departamento del Quindío
Tasa de participación femenina en cargos de elección popular en el  departamento del Quindío
Cobertura de Asociaciones de mujeres fortalecidas  </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</si>
  <si>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</si>
  <si>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</si>
  <si>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</si>
  <si>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</si>
  <si>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202000363-0108</t>
  </si>
  <si>
    <t xml:space="preserve">  Implementación de la política pública de equidad de género para la mujer en el Departamento del Quindío  </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</si>
  <si>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</si>
  <si>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</si>
  <si>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Implementar  la política  pública de diversidad sexual e identidad de género</t>
  </si>
  <si>
    <t>Política pública de diversidad sexual e identidad de género implementada.</t>
  </si>
  <si>
    <t>202000363-0107</t>
  </si>
  <si>
    <t xml:space="preserve">    Implementación de la política pública  de diversidad sexual en el Departamento del Quindío 2019-2029  </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</si>
  <si>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</si>
  <si>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 xml:space="preserve">Mejorar las condiciones de calidad de vida de la población, en acceso incluyente y equitativo a la oferta de servicios del Estado y la ampliación de oportunidades para los Quindianos. </t>
  </si>
  <si>
    <t>Casa de la Mujer Empoderada implementada</t>
  </si>
  <si>
    <t>Espacios generados para el fortalecimiento de capacidades institucionales del Estado</t>
  </si>
  <si>
    <t>202000363-0111</t>
  </si>
  <si>
    <t xml:space="preserve">Implementación de la Casa  de la Mujer Empoderada para la promoción a la participación ciudadana  de Mujeres en escenarios sociales, políticos y el fortalecimiento de la asociatividad  en el departamento del Quindío " TU Y YO CON LAS MUJERES EMPODERADAS." </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</si>
  <si>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</si>
  <si>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Casa Refugio de la Mujer implementada</t>
  </si>
  <si>
    <t>202000363-0112</t>
  </si>
  <si>
    <t>Implementación de la Casa Refugio de la Mujer del Departamento del Quindío</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</si>
  <si>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</si>
  <si>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Tasa de Suicidio  x 100.000 Habitantes en el Departamento del Quindío.
Tasa de Violencia Intrafamiliar x 100.000 Habitantes en el Departamento del Quindío.
Cobertura a los grupos de adulto mayor del departamento del Quindío en articulación con los Municipios, en el marco de garantizar estimulación física, cognitiva, emocional y social en bienestar de una vejez activa y saludable 
Cobertura  de  centros vida y centros de bienestar del adulto mayor (Legalmente constituidos)  apoyados con los recursos  de la  Estampilla Pro adulto Mayor .</t>
  </si>
  <si>
    <t xml:space="preserve">Formular e implementar la Política Pública de Adulto Mayor </t>
  </si>
  <si>
    <t>4599019</t>
  </si>
  <si>
    <t xml:space="preserve">Política Pública de Adulto Mayor  formulada e implementada </t>
  </si>
  <si>
    <t>459901900</t>
  </si>
  <si>
    <t>Documentos de planeación realizados</t>
  </si>
  <si>
    <t>202000363-0150</t>
  </si>
  <si>
    <t xml:space="preserve">Revisar y ajustar  la política pública de equidad de género para la mujer </t>
  </si>
  <si>
    <t xml:space="preserve">Documento de Política Pública de la mujer y equidad de género revisada y ajustada </t>
  </si>
  <si>
    <t>202000363-0151</t>
  </si>
  <si>
    <t xml:space="preserve">Revisar y ajustar la política pública de equidad de género para la mujer en el Departamento del Quindío  </t>
  </si>
  <si>
    <t>Tasa de Suicidio  x 100.000 Habitantes en el Departamento del Quindío.
Tasa de Violencia Intrafamiliar x 100.000 Habitantes en el Departamento del Quindío.
Cobertura de municipios del departamento con procesos de implementación de proyectos  productivos  para las personas con discapacidad</t>
  </si>
  <si>
    <t>Revisar y ajustar    la Política Pública de  Discapacidad</t>
  </si>
  <si>
    <t xml:space="preserve">Documento de Política Pública de  Discapacidad revisado y ajustado.  </t>
  </si>
  <si>
    <t>202000363-0110</t>
  </si>
  <si>
    <t xml:space="preserve">  Revisar y ajustar  la política pública de  discapacidad del departamento del Quindío  </t>
  </si>
  <si>
    <t>Disminuir  la tasa de suicidio, violencia intrafamiliar, además de aumentar la Cobertura de los  municipios del departamento con procesos de implementación de proyectos  productivos  para las personas con discapacidad,  a través de la participación de los diferentes actores qué contribuyen de manera integral a garantizar una mejor calidad de vida de las personas objeto de intervención.</t>
  </si>
  <si>
    <t xml:space="preserve">318 SECRETARIA DE SALUD </t>
  </si>
  <si>
    <t xml:space="preserve">Inspección, vigilancia y control. "Tú y yo con salud certificada" </t>
  </si>
  <si>
    <t>Mortalidad por diarreica aguda (EDA) menores 5 años (número de muertes anual)</t>
  </si>
  <si>
    <t>Servicio de concepto sanitario</t>
  </si>
  <si>
    <t>Servicio de registro sanitario</t>
  </si>
  <si>
    <t>Conceptos sanitarios expedidos</t>
  </si>
  <si>
    <t>202000363-0116</t>
  </si>
  <si>
    <t xml:space="preserve">Fortalecimiento de la autoridad sanitaria en el Departamento del Quindío                                                                                           </t>
  </si>
  <si>
    <t>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t>
  </si>
  <si>
    <t>Tasa de mortalidad en menores de 1 año (por 1000 nacidos vivos).</t>
  </si>
  <si>
    <t>Servicio de información de vigilancia epidemiológica</t>
  </si>
  <si>
    <t>Informes de evento generados en la vigencia</t>
  </si>
  <si>
    <t>Prevalencia de niños menores de 5 años con desnutrición aguda</t>
  </si>
  <si>
    <t>Servicio de asistencia técnica en inspección, vigilancia y control</t>
  </si>
  <si>
    <t>Asistencias técnica en Inspección, Vigilancia y Control realizadas</t>
  </si>
  <si>
    <t>Mortalidad por infección respiratoria aguda (IRA) menores 5 años (número de muertes anual)</t>
  </si>
  <si>
    <t>Servicio de vigilancia y control de las políticas y normas técnicas, científicas y administrativas expedidas por el Ministerio de Salud y Protección Social</t>
  </si>
  <si>
    <t>Municipios con procesos de vigilancia epidemiológica de plaguicidas organofosforados y carbamatos realizados.</t>
  </si>
  <si>
    <t>Entidades territoriales con vigilancia y control realizados</t>
  </si>
  <si>
    <t>Servicio de promoción, prevención, vigilancia y control de vectores y zoonosis</t>
  </si>
  <si>
    <t xml:space="preserve">Modelo de IVC sanitario operando </t>
  </si>
  <si>
    <t xml:space="preserve">Municipios categorías 4,5 y 6 que formulen y ejecuten real y efectivamente acciones de promoción, prevención, vigilancia  y control de vectores y zoonosis  realizados </t>
  </si>
  <si>
    <t>Mortalidad por dengue (casos)</t>
  </si>
  <si>
    <t>Municipios categorías 4, 5 y 6 qué formulen y ejecuten real y efectivamente acciones de promoción, prevención, vigilancia y control de vectores y zoonosis realizados</t>
  </si>
  <si>
    <t>Servicio de evaluación, aprobación y seguimiento de planes de gestión integral del riesgo</t>
  </si>
  <si>
    <t>Informes de evaluación, aprobación y seguimiento de Planes de Gestión Integral de Riesgo realizados</t>
  </si>
  <si>
    <t>Tasa mortalidad en menores de 5 años (por 1.000 nacidos vivos).</t>
  </si>
  <si>
    <t>Servicio de inspección, vigilancia y control</t>
  </si>
  <si>
    <t>visitas realizadas</t>
  </si>
  <si>
    <t>Visitas realizadas</t>
  </si>
  <si>
    <t>Porcentaje de población asegurada al SGSSS
Oportunidad en la presunción diagnóstica y tratamiento oncológico en menores de 18 años (alta y media)</t>
  </si>
  <si>
    <t>Documentos técnicos publicados y/o socializados</t>
  </si>
  <si>
    <t>202000363-0117</t>
  </si>
  <si>
    <t xml:space="preserve"> Implementación de programas de promoción social en poblaciones  especiales en el Departamento del Quindío </t>
  </si>
  <si>
    <t>Fortalecer la gestión intersectorial en salud de los grupos con alta vulnerabilidad</t>
  </si>
  <si>
    <t>Tasa de violencia de género</t>
  </si>
  <si>
    <t>Servicio de adopción y seguimiento de acciones y medidas especiales</t>
  </si>
  <si>
    <t>Acciones y medidas especiales ejecutadas</t>
  </si>
  <si>
    <t>Mortalidad por diarreica aguda (EDA) menores 5 años (número de muertes anual)
Prevalencia de niños menores de 5 años con desnutrición aguda
Índice de riesgo de la calidad de agua para consumo humano IRCA</t>
  </si>
  <si>
    <t>Servicio de análisis de laboratorio</t>
  </si>
  <si>
    <t>Análisis realizados</t>
  </si>
  <si>
    <t>202000363-0118</t>
  </si>
  <si>
    <t xml:space="preserve"> Fortalecimiento de las actividades de vigilancia y control del laboratorio de salud pública en el Departamento del Quindío  
</t>
  </si>
  <si>
    <t>Mejorar la capacidad analítica del LSP Departamental  para dar respuesta  a las necesidades del Sistema de Vigilancia en Salud Pública</t>
  </si>
  <si>
    <t>Tasa ajustada por edad de mortalidad asociada a cáncer de cuello uterino (por 100.000 mujeres).</t>
  </si>
  <si>
    <t>Servicio de auditoría y visitas inspectivas</t>
  </si>
  <si>
    <t>Auditorías y visitas inspectivas realizadas</t>
  </si>
  <si>
    <t xml:space="preserve">Informes de los resultados obtenidos en la vigilancia sanitaria </t>
  </si>
  <si>
    <t>Asistencias técnicas realizadas</t>
  </si>
  <si>
    <t>202000363-0119</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</si>
  <si>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</si>
  <si>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</si>
  <si>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Oportunidad en la presunción diagnóstica y tratamiento oncológico en menores de 18 años (alta y media)</t>
  </si>
  <si>
    <t>Servicio de información para la gestión de la inspección, vigilancia y control sanitario</t>
  </si>
  <si>
    <t>Usuarios del sistema</t>
  </si>
  <si>
    <t>202000363-0120</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</si>
  <si>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</si>
  <si>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</si>
  <si>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Razón de mortalidad materna (por 100.000 nacidos vivos)</t>
  </si>
  <si>
    <t>Servicio de certificaciones en buenas prácticas</t>
  </si>
  <si>
    <t>Certificaciones expedidas</t>
  </si>
  <si>
    <t>Porcentaje de atención institucional del parto por personal calificado.</t>
  </si>
  <si>
    <t>Porcentaje de población asegurada al SGSSS</t>
  </si>
  <si>
    <t>Servicios de comunicación y divulgación en inspección, vigilancia y control</t>
  </si>
  <si>
    <t>Eventos de rendición de cuentas realizados</t>
  </si>
  <si>
    <t>202000363-0121</t>
  </si>
  <si>
    <t xml:space="preserve"> Apoyo operativo a la inversión social en salud en el Departamento del Quindío </t>
  </si>
  <si>
    <t xml:space="preserve">Fortalecer los procesos estratégicos, administrativos y misionales del sector salud en el departamento del Quindío  </t>
  </si>
  <si>
    <t>Porcentaje de nacidos vivos con 4 o más controles prenatales</t>
  </si>
  <si>
    <t>Servicio del ejercicio del procedimiento administrativo sancionatorio</t>
  </si>
  <si>
    <t xml:space="preserve">Procesos con aplicación del procedimiento administrativo sancionatorio tramitados </t>
  </si>
  <si>
    <t>Porcentaje transmisión materno -infantil del VIH.</t>
  </si>
  <si>
    <t>Servicio de Gestión de Peticiones, Quejas, Reclamos y Denuncias</t>
  </si>
  <si>
    <t>Preguntas Quejas Reclamos y Denuncias Gestionadas</t>
  </si>
  <si>
    <t>Servicio de implementación de estrategias para el fortalecimiento del control social en salud</t>
  </si>
  <si>
    <t>Estrategias para el fortalecimiento del control social en salud implementadas</t>
  </si>
  <si>
    <t>Servicio de gestión del riesgo para temas de consumo, aprovechamiento biológico, calidad e inocuidad de los alimentos.</t>
  </si>
  <si>
    <t>Campañas de gestión del riesgo para temas de consumo, aprovechamiento biológico, calidad e inocuidad de los alimentos implementadas</t>
  </si>
  <si>
    <t>202000363-0122</t>
  </si>
  <si>
    <t xml:space="preserve"> Aprovechamiento biológico y consumo de  alimentos inocuos  en el Departamento del Quindío </t>
  </si>
  <si>
    <t>Disminuir o mantener la proporción de niños menores de 5 años en riesgo de desnutrición moderada o severa aguda</t>
  </si>
  <si>
    <t>Servicios de promoción de la salud y prevención de riesgos asociados a condiciones no transmisibles</t>
  </si>
  <si>
    <t>Campañas de promoción de la salud y prevención de riesgos asociados a condiciones no transmisibles implementadas</t>
  </si>
  <si>
    <t>Tasa de mortalidad por malaria.</t>
  </si>
  <si>
    <t xml:space="preserve">Servicio de educación informal en temas de salud pública </t>
  </si>
  <si>
    <t>202000363-0123</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</si>
  <si>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</si>
  <si>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</si>
  <si>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Tasa  de mujeres de 10 a 14 años qué han sido madres o están en embarazo.
Tasa de mujeres de 15 a 19 años qué han sido madres o están en embarazo.</t>
  </si>
  <si>
    <t>DNP</t>
  </si>
  <si>
    <t xml:space="preserve">Realizar seguimiento y monitoreo a las Entidades Administradoras de Planes Básicos EAPB en la implementación de la Ruta Integral de Atención para la Promoción y Mantenimiento de la Salud y Materno Perinatal en el Departamento  </t>
  </si>
  <si>
    <t>Servicio de promoción de la salud y prevención de riesgos asociados a condiciones no transmisibles (1905031)</t>
  </si>
  <si>
    <t>Entidades Administradoras de Planes Básicos EAPB con Rutas de obligatorio cumplimiento Implementadas</t>
  </si>
  <si>
    <t>Letalidad por dengue.</t>
  </si>
  <si>
    <t xml:space="preserve"> Plan de Fortalecimiento de Capacidades en Salud Ambiental Formulado </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</si>
  <si>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</si>
  <si>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</si>
  <si>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</si>
  <si>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</si>
  <si>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Mortalidad por dengue (casos)
Letalidad por dengue.</t>
  </si>
  <si>
    <t>Formulación e implementación del Plan Departamental en Salud Ambiental de adaptación al cambio climático.</t>
  </si>
  <si>
    <t>Plan Departamental en Salud Ambiental de adaptación al cambio climático implementado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</si>
  <si>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</si>
  <si>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</si>
  <si>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Implementación de la estrategia de movilidad saludable, segura y sostenible </t>
  </si>
  <si>
    <t xml:space="preserve">Estrategia de movilidad saludable, segura y sostenible   implementada </t>
  </si>
  <si>
    <t>Personas atendidas con campañas de gestión del riesgo para abordar situaciones de salud relacionadas con condiciones ambientales</t>
  </si>
  <si>
    <t>202000363-0124</t>
  </si>
  <si>
    <t xml:space="preserve">Fortalecimiento de acciones propias a los derechos sexuales y reproductivos en el Departamento del Quindío. </t>
  </si>
  <si>
    <t xml:space="preserve">Disminuir de los eventos de interés en salud pública relacionados con la salud sexual y reproductiva en especial de la mortalidad materna  </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</si>
  <si>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</si>
  <si>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salud sexual y reproductiva (1905021)</t>
  </si>
  <si>
    <t>Campañas de gestión del riesgo en temas de salud sexual y reproductiva implementadas (190502100)</t>
  </si>
  <si>
    <t>Servicio de gestión del riesgo en temas de consumo de sustancias psicoactivas</t>
  </si>
  <si>
    <t>Campañas de gestión del riesgo en temas de consumo de sustancias psicoactivas implementadas</t>
  </si>
  <si>
    <t>202000363-0125</t>
  </si>
  <si>
    <t>Consolidación de acciones de promoción de la salud y prevención primaria en salud mental en el Departamento del Quindío.</t>
  </si>
  <si>
    <t>Disminuir la morbimortalidad asociada a la salud mental principalmente de la violencia intrafamiliar</t>
  </si>
  <si>
    <t>Adaptar e implementar la política pública de salud mental para el Departamento del Quindío</t>
  </si>
  <si>
    <t xml:space="preserve">Política pública en Salud Mental adaptada e Implementada  </t>
  </si>
  <si>
    <t xml:space="preserve">
190501501</t>
  </si>
  <si>
    <t>Planes de salud pública elaborados</t>
  </si>
  <si>
    <t>Tasa ajustada por edad de mortalidad asociada a cáncer de cuello uterino (por 100.000 mujeres).
Oportunidad en la presunción diagnóstica y tratamiento oncológico en menores de 18 años (alta y media)</t>
  </si>
  <si>
    <t>Servicio de gestión del riesgo para abordar condiciones crónicas prevalentes</t>
  </si>
  <si>
    <t>Campañas de gestión del riesgo para abordar condiciones crónicas prevalentes implementadas</t>
  </si>
  <si>
    <t>202000363-0126</t>
  </si>
  <si>
    <t>Proyecto de promoción de estilos de vida saludable, control y vigilancia en la gestión del riesgo de condiciones no transmisibles en el Departamento del Quindío.</t>
  </si>
  <si>
    <t>Disminuir la carga de la enfermedad asociada a las enfermedades crónicas no trasmisibles</t>
  </si>
  <si>
    <t>Cobertura de vacunación con DPT en menores de 1 año
Cobertura de vacunación con Triple Viral en niños de 1 año
Cobertura útil con esquema completo de vacunación para la edad (triple viral a los 5 años)</t>
  </si>
  <si>
    <t>Cuartos fríos adecuados</t>
  </si>
  <si>
    <t>202000363-0127</t>
  </si>
  <si>
    <t xml:space="preserve">Fortalecimiento de acciones de promoción, prevención y protección específica para la población infantil en el Departamento del Quindío.  </t>
  </si>
  <si>
    <t>Reducir la exposición a condiciones y factores de riesgo ambientales, sanitarios y biológicos, de las contingencias y daños producidos por las enfermedades transmisibles</t>
  </si>
  <si>
    <t>Cobertura útil con esquema completo de vacunación para la edad (triple viral a los 5 años)
Mortalidad por infección respiratoria aguda (IRA) menores 5 años (número de muertes anual)
Mortalidad por diarreica aguda (EDA) menores 5 años (número de muertes anual)
Tasa de mortalidad por malaria.</t>
  </si>
  <si>
    <t>Servicio de gestión del riesgo para enfermedades emergentes, reemergentes y desatendidas</t>
  </si>
  <si>
    <t>Campañas de gestión del riesgo para enfermedades emergentes, reemergentes y desatendidas implementadas.</t>
  </si>
  <si>
    <t>Servicio de gestión del riesgo para enfermedades inmunoprevenibles</t>
  </si>
  <si>
    <t>Campañas de gestión del riesgo para enfermedades inmunoprevenibles  implementadas</t>
  </si>
  <si>
    <t>Mortalidad por dengue (casos) 
Letalidad por dengue.</t>
  </si>
  <si>
    <t xml:space="preserve">
1905015</t>
  </si>
  <si>
    <t>202000363-0128</t>
  </si>
  <si>
    <t xml:space="preserve">Difusión de la estrategia de gestión integral y de control en vectores, zoonosis y cambio climático del Departamento del Quindío.   </t>
  </si>
  <si>
    <t xml:space="preserve"> Disminuir en índice de enfermedades trasmisión vectorial y zoonosis en la población   </t>
  </si>
  <si>
    <t>202000363-0129</t>
  </si>
  <si>
    <t xml:space="preserve"> Fortalecimiento de la inclusión social para la disminución del riesgo de contraer enfermedades transmisibles en el Departamento del Quindío.  </t>
  </si>
  <si>
    <t xml:space="preserve"> Aumentar la adherencia al tratamiento de los pacientes con diagnóstico de tuberculosis  </t>
  </si>
  <si>
    <t>Servicio de gestión del riesgo para enfermedades emergentes, reemergentes y desatendidas.</t>
  </si>
  <si>
    <t>202000363-0130</t>
  </si>
  <si>
    <t xml:space="preserve">Implementación de acciones para la contención de la pandemia Tú y Yo contra COVID </t>
  </si>
  <si>
    <t>Eficiente gestión integral del riesgo en eventos de interés en salud pública, ante la pandemia por COVID-19</t>
  </si>
  <si>
    <t>Servicios de atención en salud pública en situaciones de emergencias y desastres</t>
  </si>
  <si>
    <t xml:space="preserve">Servicio de atención en salud pública en situaciones de emergencias y desastres </t>
  </si>
  <si>
    <t>Personas en capacidad de ser atendidas</t>
  </si>
  <si>
    <t>202000363-0131</t>
  </si>
  <si>
    <t xml:space="preserve"> Prevención, preparación, contingencia, mitigación y superación de emergencias y contingencias por eventos relacionados con la salud pública en el Departamento del Quindío.  </t>
  </si>
  <si>
    <t>Coordinar acciones  para la gestión integral  del riesgo en  situaciones de emergencias y desastres  en las IPS y autoridad sanitaria del departamento</t>
  </si>
  <si>
    <t>Servicio de gestión del riesgo para abordar situaciones prevalentes de origen laboral</t>
  </si>
  <si>
    <t>Campañas de gestión del riesgo para abordar situaciones prevalentes de origen laboral implementadas</t>
  </si>
  <si>
    <t>202000363-0132</t>
  </si>
  <si>
    <t xml:space="preserve"> Prevención vigilancia y control de eventos en el ámbito laboral en el Departamento del Quindío.  </t>
  </si>
  <si>
    <t xml:space="preserve">Disminuir los eventos de origen laboral en los trabajadores del sector formal del Departamento del Quindío </t>
  </si>
  <si>
    <t xml:space="preserve">Documentos de planeación en epidemiología y demografía elaborados </t>
  </si>
  <si>
    <t>202000363-0133</t>
  </si>
  <si>
    <t xml:space="preserve"> Fortalecimiento del sistema de vigilancia en salud pública en el Departamento del Quindío. </t>
  </si>
  <si>
    <t xml:space="preserve"> Aumentar los índices de cumplimiento en los indicadores de calidad, cobertura y  oportunidad del sistema de vigilancia en salud pública departamental </t>
  </si>
  <si>
    <t>Porcentaje de atención institucional del parto.</t>
  </si>
  <si>
    <t>Centros reguladores de urgencias, emergencias y desastres funcionando y dotados</t>
  </si>
  <si>
    <t xml:space="preserve">1905009
</t>
  </si>
  <si>
    <t xml:space="preserve">Centros reguladores de urgencias, emergencias y desastres dotados </t>
  </si>
  <si>
    <t>Centros reguladores de urgencias, emergencias y desastres dotados y funcionando.</t>
  </si>
  <si>
    <t xml:space="preserve">190500900
</t>
  </si>
  <si>
    <t>Centros reguladores de urgencias, emergencias y desastres dotados</t>
  </si>
  <si>
    <t>202000363-0134</t>
  </si>
  <si>
    <t xml:space="preserve">Fortalecimiento de la red de urgencias y emergencias en el Departamento del Quindío. </t>
  </si>
  <si>
    <t>Fortalecer en la integración de la red hospitalaria del departamento del Quindío.</t>
  </si>
  <si>
    <t>202000363-0135</t>
  </si>
  <si>
    <t>Fortalecimiento de las intervenciones colectivas y prioridades en salud pública del Departamento del Quindío- PIC</t>
  </si>
  <si>
    <t>Disminuir la morbimortalidad asociada  a la carga de la enfermedad por los determinantes sociales fortaleciendo  las acciones de complementariedad  a los municipios</t>
  </si>
  <si>
    <t>Servicio de promoción de afiliaciones al régimen contributivo del Sistema General de Seguridad Social de las personas con capacidad de pago</t>
  </si>
  <si>
    <t>Personas con capacidad de pago afiliadas</t>
  </si>
  <si>
    <t>202000363-0136</t>
  </si>
  <si>
    <t xml:space="preserve">Subsidio y cofinanciación al régimen subsidiado del Sistema General de Seguridad Social en Salud en el Departamento del Quindío.  </t>
  </si>
  <si>
    <t>Aumentar la cobertura universal en aseguramiento al sistema de atención integral y para la población del Departamento del Quindío</t>
  </si>
  <si>
    <t>Cobertura de tratamiento antirretroviral</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</si>
  <si>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</si>
  <si>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</si>
  <si>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</si>
  <si>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</si>
  <si>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Servicio de apoyo con tecnologías para prestación de servicios en salud</t>
  </si>
  <si>
    <t>Población inimputable atendida</t>
  </si>
  <si>
    <t>Pacientes atendidos con medicamentos en salud financiados con cargo a los recursos de la UPC del Régimen Subsidiado</t>
  </si>
  <si>
    <t>202000363-0137</t>
  </si>
  <si>
    <t xml:space="preserve">Mejoramiento en la prestación de los servicios de salud para la atención de la población no afiliada </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</si>
  <si>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</si>
  <si>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</si>
  <si>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</si>
  <si>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</si>
  <si>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Servicios de reconocimientos de deuda</t>
  </si>
  <si>
    <t>Porcentaje de recursos pagados</t>
  </si>
  <si>
    <t>Tasa de mujeres de 15 a 19 años qué han sido madres o están en embarazo.</t>
  </si>
  <si>
    <t>Servicio de asistencia técnica a Instituciones prestadoras de servicios de salud</t>
  </si>
  <si>
    <t>Instituciones Prestadoras de Servicios de salud asistidas técnicamente</t>
  </si>
  <si>
    <t>202000363-0138</t>
  </si>
  <si>
    <t xml:space="preserve">Fortalecimiento de la red de prestación de servicios pública del Departamento del Quindío.   </t>
  </si>
  <si>
    <t>Aumento en la calidad del proceso de reporte, vigilancia y control del manejo de los recursos de salud en el Departamento del Quindío</t>
  </si>
  <si>
    <t>Cobertura útil con esquema completo de vacunación para la edad (triple viral a los 5 años)
Porcentaje de nacidos vivos con 4 o más controles prenatales</t>
  </si>
  <si>
    <t>Hospitales de primer nivel de atención dotados</t>
  </si>
  <si>
    <t>Servicio de apoyo a la prestación del servicio de transporte de pacientes</t>
  </si>
  <si>
    <t>Entidades de la red pública en salud apoyadas en la adquisición de ambulancias</t>
  </si>
  <si>
    <t>Servicio de tecnologías en salud financiadas con la unidad de pago por capitación - UPC (1906023)</t>
  </si>
  <si>
    <t>Pacientes atendidos</t>
  </si>
  <si>
    <t>324  SECRETARÍA TECNOLÓGIAS DE LA INFORMACIÓN Y COMUNICACIÓN</t>
  </si>
  <si>
    <t>Tecnologías de la información y las comunicaciones</t>
  </si>
  <si>
    <t>Facilitar en acceso y uso de las Tecnologías de la Información y las Comunicaciones (TIC)  en todo el territorio nacional.  "Tú y yo somos ciudadanos TIC"</t>
  </si>
  <si>
    <t>Tasa de crecimiento de puntos de acceso a internet gratis 
Índice Departamental de Competitividad
Tasa de Desempleo</t>
  </si>
  <si>
    <t>Servicio de acceso y uso de tecnologías de la información y las comunicaciones</t>
  </si>
  <si>
    <t>Centros de acceso comunitario en zonas urbanas funcionando</t>
  </si>
  <si>
    <t>202000363-0038</t>
  </si>
  <si>
    <t xml:space="preserve"> Fortalecimiento  y apoyo a las tecnologías de la información y las comunicaciones en el departamento del Quindío.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</si>
  <si>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</si>
  <si>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Soluciones de conectividad en instituciones públicas instaladas</t>
  </si>
  <si>
    <t>Servicio de acceso Zonas Wifi</t>
  </si>
  <si>
    <t>Servicio de acceso zonas digitales</t>
  </si>
  <si>
    <t>Zonas Wifi en áreas rurales instaladas</t>
  </si>
  <si>
    <t>Zonas digitales en áreas rurales con redes terrestres instaladas</t>
  </si>
  <si>
    <t>Servicio de apoyo en tecnologías de la información y las comunicaciones para la educación básica, primaria y secundaria</t>
  </si>
  <si>
    <t>Relación de estudiantes por terminal de cómputo en sedes educativas oficiales</t>
  </si>
  <si>
    <t>Nivel de avance alto en el Índice de Gobierno digital
Índice Departamental de Competitividad
Tasa de Desempleo</t>
  </si>
  <si>
    <t>Servicio de educación informal en tecnologías de la información y las comunicaciones.</t>
  </si>
  <si>
    <t>Personas capacitadas en tecnologías de la información y las comunicaciones</t>
  </si>
  <si>
    <t>202000363-0139</t>
  </si>
  <si>
    <t>Apoyo a la apropiación tecnológica y generacional en el Departamento del Quindío</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</si>
  <si>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</si>
  <si>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Servicio de asistencia técnica para proyectos en Tecnologías de la Información y las Comunicaciones</t>
  </si>
  <si>
    <t>Municipios asistidos en diseño, implementación, ejecución y/ o liquidación  de proyectos</t>
  </si>
  <si>
    <t>Servicio de educación para el trabajo en temas de uso pedagógico de tecnologías de la información y las comunicaciones.</t>
  </si>
  <si>
    <t>Docentes formados en uso pedagógico de tecnologías de la información y las comunicaciones.</t>
  </si>
  <si>
    <t>Servicio de telecomunicaciones para el envío de alertas tempranas a la población.</t>
  </si>
  <si>
    <t xml:space="preserve">Disponibilidad del servicio  de telecomunicaciones para el envío de alertas tempranas a la población. </t>
  </si>
  <si>
    <t>Servicio de promoción de la industria de tecnologías de la información</t>
  </si>
  <si>
    <t xml:space="preserve">Eventos para  promoción  de productos y servicio de la industria TI realizados </t>
  </si>
  <si>
    <t>202000363-0039</t>
  </si>
  <si>
    <t xml:space="preserve"> Fortalecimiento del sector empresarial del departamento del Quindío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</si>
  <si>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</si>
  <si>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Servicio de asistencia técnica a empresas de la industria de Tecnologías de la Información para mejorar sus capacidades de comercialización e innovación</t>
  </si>
  <si>
    <t>Empresas beneficiadas con actividades de fortalecimiento  de la industria TI</t>
  </si>
  <si>
    <t>Servicio de asistencia técnica a emprendedores y empresas</t>
  </si>
  <si>
    <t>Emprendedores y empresas asistidas técnicamente</t>
  </si>
  <si>
    <t xml:space="preserve">Tasa de crecimiento de puntos de acceso a internet gratis </t>
  </si>
  <si>
    <t>Servicio de educación informal en Teletrabajo</t>
  </si>
  <si>
    <t xml:space="preserve">Personas y/o entidades (públicas y privadas) de la comunidad capacitadas en teletrabajo </t>
  </si>
  <si>
    <t>Servicio de educación informal para aumentar la calidad y cantidad de talento humano para la industria TI</t>
  </si>
  <si>
    <t>Personas capacitadas en programas informales de Tecnologías de la Información</t>
  </si>
  <si>
    <t>3903</t>
  </si>
  <si>
    <t xml:space="preserve">Desarrollo tecnológico e innovación para el crecimiento empresarial </t>
  </si>
  <si>
    <t>Tasa de crecimiento de empresas en el sector productivo transformadas digitalmente</t>
  </si>
  <si>
    <t>Servicio de apoyo para la transferencia de conocimiento y tecnología</t>
  </si>
  <si>
    <t>390300501</t>
  </si>
  <si>
    <t>Nuevas tecnologías adoptadas</t>
  </si>
  <si>
    <t>202000363-0140</t>
  </si>
  <si>
    <t xml:space="preserve">   Implementación de la transformación digital del sector empresarial en el Departamento del Quindío  </t>
  </si>
  <si>
    <t xml:space="preserve">Incrementar la tasa de crecimiento de empresas en el sector productivo transformadas digitalmente,  a través de  la apropiación de herramientas digitales, qué les  permitan ser competitivos en los diferentes sectores </t>
  </si>
  <si>
    <t>390300507</t>
  </si>
  <si>
    <t>Start up generadas</t>
  </si>
  <si>
    <t>390300511</t>
  </si>
  <si>
    <t>Conocimiento tecnológico adquirido</t>
  </si>
  <si>
    <t>Incremento de emprendimientos y/o empresas de base tecnológica</t>
  </si>
  <si>
    <t>Servicios de comunicación con enfoque en ciencia tecnología y sociedad</t>
  </si>
  <si>
    <t>Juguetes, juegos o videojuegos para la comunicación de la ciencia, tecnología e innovación producidos</t>
  </si>
  <si>
    <t>202000363-0040</t>
  </si>
  <si>
    <t xml:space="preserve">  Implementación  y  divulgación de la estrategia    "Quindío innovador y competitivo"   </t>
  </si>
  <si>
    <t xml:space="preserve"> Incrementar  los  emprendimientos y/o empresas de base tecnológica a través de la implementación de una estrategia de  promoción de la  cultura  de la innovación  y gestión del  conocimiento. </t>
  </si>
  <si>
    <t>Nivel de avance alto en el Índice de Gobierno digital</t>
  </si>
  <si>
    <t>Desarrollos digitales</t>
  </si>
  <si>
    <t>Productos digitales desarrollados</t>
  </si>
  <si>
    <t>202000363-0141</t>
  </si>
  <si>
    <t xml:space="preserve"> Fortalecimiento de la estrategia de gobierno digital  en la Administración Departamental y  Entes Territoriales del departamento del  Quindío  </t>
  </si>
  <si>
    <t xml:space="preserve">Incrementar  Índice de Gobierno digital de la Administración departamental  y los Entes territoriales del Quindío generando condiciones de gobernanza, participación comunitaria y administraciones  eficientes </t>
  </si>
  <si>
    <t>Servicio de educación informal para la implementación de la estrategia de gobierno digital</t>
  </si>
  <si>
    <t>Personas capacitadas para la implementación de la Estrategia de Gobierno digital</t>
  </si>
  <si>
    <t>Servicio de educación informal en Gestión TI y en Seguridad y Privacidad de la Información</t>
  </si>
  <si>
    <t>Personas capacitadas en Gestión TI y en Seguridad y Privacidad de la Información</t>
  </si>
  <si>
    <t>Documentos de evaluación</t>
  </si>
  <si>
    <t>Documentos de evaluación de programas enfocados en generar competencias TIC</t>
  </si>
  <si>
    <t>Documentos metodológicos</t>
  </si>
  <si>
    <t>Documento metodológico del modelo de acompañamiento para la implementación de la Estrategia de Gobierno digital elaborado</t>
  </si>
  <si>
    <t>TOTAL ADMINISTRACIÓN CENTRAL:</t>
  </si>
  <si>
    <t xml:space="preserve">319 INDEPORTES QUINDÍO </t>
  </si>
  <si>
    <t>Cobertura de municipios qué participan en programas de recreación, actividad física y deporte social y comunitario en el Departamento del Quindío.
Tasa de consumo de sustancias psicoactivas X100.000 habitantes en el Departamento del Quindío</t>
  </si>
  <si>
    <t>Servicio de Escuelas Deportivas</t>
  </si>
  <si>
    <t>Municipios con Escuelas Deportivas</t>
  </si>
  <si>
    <t>Fortalecimiento, hábitos y estilos de vida saludable como instrumento SALVAVIDAS en el departamento del Quindío</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</si>
  <si>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</si>
  <si>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Servicio de promoción de la actividad física, la recreación y el deporte</t>
  </si>
  <si>
    <t>Municipios vinculados al programa Supérate-Intercolegiados</t>
  </si>
  <si>
    <t>430103704</t>
  </si>
  <si>
    <t>Municipios implementando  programas de recreación, actividad física y deporte social comunitario</t>
  </si>
  <si>
    <t>Formular e  implementar una  política pública para el desarrollo y acceso al deporte, la recreación, la actividad física, la educación física y en uso adecuado del tiempo libre, como ejes de transformación humana y social en el departamento del Quindío</t>
  </si>
  <si>
    <t>Documentos normativos</t>
  </si>
  <si>
    <t>Política pública formulada e implementada</t>
  </si>
  <si>
    <t>Documentos normativos realizados</t>
  </si>
  <si>
    <t>Formación y preparación de deportistas. "Tú y yo campeones"</t>
  </si>
  <si>
    <t xml:space="preserve">Cobertura de ligas apoyadas en el departamento del Quindío.
Tasa de consumo de sustancias psicoactivas X100.000 habitantes en el Departamento del Quindío
</t>
  </si>
  <si>
    <t>Servicio de asistencia técnica para la promoción del deporte</t>
  </si>
  <si>
    <t xml:space="preserve">Organismos deportivos asistidos </t>
  </si>
  <si>
    <t>Fortalecimiento al deporte competitivo y de altos logros "TU Y    YO SOMOS SALVAVIDAS POR UN QUINDIO GANADOR" en el Departamento del Quindío</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</si>
  <si>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</si>
  <si>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Porcentaje de medallería del departamento del Quindío en los Juegos Nacionales.
Tasa de consumo de sustancias psicoactivas X100.000 habitantes en el Departamento del Quindío</t>
  </si>
  <si>
    <t>Servicio de organización de eventos deportivos de alto rendimiento</t>
  </si>
  <si>
    <t>Juegos Deportivos Realizados</t>
  </si>
  <si>
    <t>Eventos deportivos de alto rendimiento con sede en Colombia realizados</t>
  </si>
  <si>
    <t>Desarrollo de los  XXII JUEGOS DEPORTIVOS NACIONALES Y VI JUEGOS PARANACIONALES   2023</t>
  </si>
  <si>
    <t xml:space="preserve">Incrementar la cobertura de municipios qué participan en programas de recreación, actividad física , deporte social y comunitario, además de la  disminución de las tasas de sustancias psicoactivas en el Departamento del Quindío, a través de la participación deportiva y organización de eventos multideportivos  </t>
  </si>
  <si>
    <t xml:space="preserve">320 PROMOTORA DE VIVIENDA </t>
  </si>
  <si>
    <t xml:space="preserve">Infraestructura  deportiva y/o recreativa con procesos   constructivos, mejorados,  ampliados, mantenidos y/o  reforzados </t>
  </si>
  <si>
    <t xml:space="preserve">Infraestructura   deportiva y/o recreativa construida, mejorada, ampliada, mantenida, y/o  reforzada </t>
  </si>
  <si>
    <t>202000363-0142</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</si>
  <si>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</si>
  <si>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</si>
  <si>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202000363-0143</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</si>
  <si>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</si>
  <si>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</si>
  <si>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 xml:space="preserve">índice de competitividad  en el sector de infraestructura vial </t>
  </si>
  <si>
    <t>202000363-0144</t>
  </si>
  <si>
    <t xml:space="preserve"> Mantenimiento de obras complementarias a la infraestructura vial en el Departamento del Quindío</t>
  </si>
  <si>
    <t>Incrementar en índice de competitividad  en el sector de infraestructura vial,    a través de obras físicas complementarias, garantizando condiciones de eficiencia, seguridad y confort a los a sus usuarios</t>
  </si>
  <si>
    <t xml:space="preserve">Servicio de asistencia técnica y jurídica en saneamiento y titulación de predios </t>
  </si>
  <si>
    <t>400100100</t>
  </si>
  <si>
    <t>Entidades territoriales asistidas técnica y jurídicamente</t>
  </si>
  <si>
    <t>202000363-0145</t>
  </si>
  <si>
    <t xml:space="preserve">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</si>
  <si>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</si>
  <si>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Déficit cuantitativo de viviendas por hogares</t>
  </si>
  <si>
    <t xml:space="preserve">Viviendas de Interés Prioritario urbanas construidas </t>
  </si>
  <si>
    <t>400101700</t>
  </si>
  <si>
    <t>Viviendas de Interés Prioritario urbanas construidas</t>
  </si>
  <si>
    <t xml:space="preserve">Viviendas de Interés Prioritario urbanas mejoradas </t>
  </si>
  <si>
    <t>400101800</t>
  </si>
  <si>
    <t>Viviendas de Interés Prioritario urbanas mejoradas</t>
  </si>
  <si>
    <t>Estudios de preinversión e inversión</t>
  </si>
  <si>
    <t>400103000</t>
  </si>
  <si>
    <t>Servicio de apoyo financiero para adquisición de vivienda</t>
  </si>
  <si>
    <t>Equipamientos construidos</t>
  </si>
  <si>
    <t>4001014</t>
  </si>
  <si>
    <t>Viviendas de Interés Social urbanas construidas</t>
  </si>
  <si>
    <t>400101400</t>
  </si>
  <si>
    <t>4001015</t>
  </si>
  <si>
    <t>321 INSTITUTO DEPARTAMENTAL DE TRANSITO</t>
  </si>
  <si>
    <t>Seguridad de Transporte. "Tú y yo seguros en la vía"</t>
  </si>
  <si>
    <t>Tasa de lesionados por siniestros viales por cada 100 habitantes.
Tasa de fallecidos por siniestros viales por cada 100 habitantes.</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</si>
  <si>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</si>
  <si>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</si>
  <si>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</si>
  <si>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</si>
  <si>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202000363-0149</t>
  </si>
  <si>
    <t>Implementación del programa de seguridad vial en el Departamento del Quindío  "TU Y YO POR LA SEGURIDAD VIAL"</t>
  </si>
  <si>
    <t>Disminuir las tasa de lesionados por siniestros viales y fallecidos por siniestros viales  a través de acciones de fortalecimiento de la seguridad vial en el Departamento del Quindío.</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</si>
  <si>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</si>
  <si>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</si>
  <si>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</si>
  <si>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Programa de control y atención del tránsito y en transporte formulado e implementado</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</si>
  <si>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</si>
  <si>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</si>
  <si>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</si>
  <si>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</si>
  <si>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TOTAL ENTIDADES DESCENTRALIZADAS</t>
  </si>
  <si>
    <t>TOTAL POAI:</t>
  </si>
  <si>
    <t>LINEA ESTRATEGICA</t>
  </si>
  <si>
    <t>307 SECREATRÍA DE HACIENDA</t>
  </si>
  <si>
    <t>CODIGO</t>
  </si>
  <si>
    <t>RECURSO ORDINARIO</t>
  </si>
  <si>
    <t>COFINANCIACION NACION</t>
  </si>
  <si>
    <t>SGP APSB</t>
  </si>
  <si>
    <t>RECURSOS ORDINARIO</t>
  </si>
  <si>
    <t>FONDO DE SEGURIDAD</t>
  </si>
  <si>
    <t>IVA TELEFONIA</t>
  </si>
  <si>
    <t>IMPUESTO AL REGISTRO</t>
  </si>
  <si>
    <t>MONOPOLIO</t>
  </si>
  <si>
    <t>SGP EDUCACION PS</t>
  </si>
  <si>
    <t>SGP EDUCACION AP</t>
  </si>
  <si>
    <t>FONDO RECURSO PAE</t>
  </si>
  <si>
    <t>SGP SALUD</t>
  </si>
  <si>
    <t>OTROS RECURSOS</t>
  </si>
  <si>
    <t>RECURSOS NACION</t>
  </si>
  <si>
    <t>PROPIOS</t>
  </si>
  <si>
    <t>No.</t>
  </si>
  <si>
    <t>SUB TOTAL SECTOR CENTRAL</t>
  </si>
  <si>
    <t>SUB TOTAL DESCENTRALIZADOS</t>
  </si>
  <si>
    <t>TOTAL DEPARTAMENTO QUINDIO</t>
  </si>
  <si>
    <t>TOTAL</t>
  </si>
  <si>
    <t>VALOR DEL PROYECTO</t>
  </si>
  <si>
    <t>Implementación del Modelo Integrado de Planeación y de Gestión MIPG de la Administración Departamental del Quindío (Dimensiones de Talento humano, Información y Comunicación y Gestión del Conocimiento).</t>
  </si>
  <si>
    <t xml:space="preserve">Implementación de un programa de modernización de la gestión Administrativa de la Administración Departamental del Quindío. "TÚ y YO SOMOS QUINDÍO" </t>
  </si>
  <si>
    <t xml:space="preserve">Fortalecimiento del Consejo Territorial de Planeación del Departamento del Quindío. "TÚ y YO SOMOS QUINDIO" </t>
  </si>
  <si>
    <t xml:space="preserve"> Implementación de eventos de Rendición Pública de Cuentas de divulgación de gestión de la Administración Departamental “TU Y YO SOMOS QUINDIO" </t>
  </si>
  <si>
    <t xml:space="preserve"> Implementación   de instrumentos de planificación para el Ordenamiento y la Gestión Territorial Departamental del Quindío “TU Y YO SOMOS QUINDIO" </t>
  </si>
  <si>
    <t xml:space="preserve">  Implementación del Observatorio Económico de la Administración Departamental del Quindío "TU Y YO SOMOS QUINDIO"</t>
  </si>
  <si>
    <t>Fortalecimiento del Banco de Programas y Proyectos de la administración departamental “TÚ Y YO SOMOS QUINDIO"</t>
  </si>
  <si>
    <t>Asistencia Técnica en Instrumentos de Planificación y gestión territorial en los municipios del Departamento del Quindío.</t>
  </si>
  <si>
    <t xml:space="preserve"> Implementación del Modelo Integrado de Planeación y de Gestión MIPG en la Administración Departamental del   Quindío</t>
  </si>
  <si>
    <t xml:space="preserve">Implementación de un programa para en cumplimiento de las políticas y prácticas contables de la administración departamental    del Quindío.    </t>
  </si>
  <si>
    <t>Mantenimiento de las instituciones públicas y/o de seguridad y justicia del estado en el Departamento Quindío</t>
  </si>
  <si>
    <t>Mejoramiento de la infraestructura física de las instituciones de salud pública y bienestar social del departamento en el Departamento del Quindío</t>
  </si>
  <si>
    <t xml:space="preserve"> Mantenimiento de la infraestructura Educativa en el Departamento del Quindío. </t>
  </si>
  <si>
    <t xml:space="preserve">Mantenimiento, mejoramiento y/o rehabilitación de obras físicas de infraestructura deportiva y recreativa en el Departamento del Quindío  </t>
  </si>
  <si>
    <t>Mantenimiento, mejoramiento, rehabilitación y/o atención de las vías para garantizar la movilidad y competitividad del departamento del Quindío.</t>
  </si>
  <si>
    <t>Construcción, mantenimiento y/o mejoramiento de obras de estabilización de Taludes en el Departamento del Quindío</t>
  </si>
  <si>
    <t xml:space="preserve"> Construcción, mantenimiento y/o mejoramiento de obras de infraestructura para la mitigación y atención de desastres en los municipios del departamento del Quindío </t>
  </si>
  <si>
    <t>Mantenimiento de la infraestructura institucional o de edificios públicos en el Departamento del Quindío</t>
  </si>
  <si>
    <t xml:space="preserve">309 SECRETARÍA DEL INTERIOR </t>
  </si>
  <si>
    <t>Implementación de acciones con los entes municipales, para la reducción de los delitos en el Departamento del Quindío</t>
  </si>
  <si>
    <t xml:space="preserve">  Implementación de métodos para la resolución de conflictos y el fortalecimiento de la seguridad de los ciudadanos en el Departamento del Quindío  </t>
  </si>
  <si>
    <t xml:space="preserve">Implementación de acciones de apoyo para la resocialización de las personas privadas de la libertad en las Instituciones Penitenciarias del Departamento del Quindío. </t>
  </si>
  <si>
    <t xml:space="preserve"> Implementación y/o fortalecimiento de los planes para la gestión del riesgo y desastres en las Instituciones Educativas Oficiales del Departamento </t>
  </si>
  <si>
    <t>Asistencia, atención y capacitación a la población excombatiente en el Departamento del Quindío</t>
  </si>
  <si>
    <t xml:space="preserve"> Fortalecimiento de los organismos de seguridad del Departamento del Quindío, para mejorar la convivencia, preservación del orden público y la seguridad ciudadana. </t>
  </si>
  <si>
    <t xml:space="preserve"> Implementación del Plan Integral de prevención de vulneraciones de los Derechos Humanos DDHH e infracciones al Derecho Internacional Humanitario DIH en el Departamento del Quindío </t>
  </si>
  <si>
    <t>Fortalecimiento institucional de las entidades municipales para la consolidación de la convivencia, el orden público y la seguridad ciudadana en el departamento del Quindío</t>
  </si>
  <si>
    <t>Fortalecimiento de los procesos de planificación del territorio para en conocimiento y reducción del riesgo en el Departamento del Quindío.</t>
  </si>
  <si>
    <t xml:space="preserve"> Fortalecimiento de la participación ciudadana, veedurías y organizaciones comunales para el cumplimiento, protección y restablecimiento de los derechos contemplados en la Constitución Política.   </t>
  </si>
  <si>
    <t xml:space="preserve">Implementación de la "Ruta de la felicidad y la identidad quindiana", para el fortalecimiento y visibilizarían de los procesos artísticos y culturales en el Departamento del Quindío  </t>
  </si>
  <si>
    <t xml:space="preserve">Implementación del programa "Tú y Yo Somos Cultura", para el fortalecimiento a la lectura, escritura y bibliotecas en el Departamento del Quindío   </t>
  </si>
  <si>
    <t xml:space="preserve"> Apoyo artistas y gestores culturales del departamento del Quindío con el beneficio de la Seguridad Social.  </t>
  </si>
  <si>
    <t xml:space="preserve">Fortalecimiento de la competitividad y productividad en el departamento del Quindío </t>
  </si>
  <si>
    <t xml:space="preserve"> Fortalecimiento del sector empresarial para el acceso a nuevos mercados en el departamento del Quindío </t>
  </si>
  <si>
    <t xml:space="preserve"> Mejoramiento de la competitividad del departamento como destino turístico sostenible y de calidad.</t>
  </si>
  <si>
    <t xml:space="preserve"> Fortalecimiento de la promoción turística del destino Quindío a nivel nacional e internacional </t>
  </si>
  <si>
    <t xml:space="preserve"> Fortalecimiento e implementación de procesos de mercadeo y comercialización agropecuaria en el Departamento del Quindío.                </t>
  </si>
  <si>
    <t xml:space="preserve"> Servicio de apoyo en la formulación y estructuración de proyectos de Desarrollo Rural e inclusión productiva campesina en el Departamento del Quindío  </t>
  </si>
  <si>
    <t xml:space="preserve"> Fortalecimiento de eventos y ferias para la competitividad productiva y empresarial del sector rural en el Departamento del Quindío </t>
  </si>
  <si>
    <t xml:space="preserve"> Implementación de procesos de sanidad e inocuidad alimentaria en el departamento del Quindío. </t>
  </si>
  <si>
    <t xml:space="preserve"> Fortalecimiento de nuevos emprendimientos e iniciativas clúster de las cadenas promisorias agropecuarias en el Departamento del Quindío.                     </t>
  </si>
  <si>
    <t xml:space="preserve">Fortalecimiento de los procesos de Gestión Ambiental Urbana y Rural para la protección del Paisaje y la Biodiversidad en el departamento del   Quindío  </t>
  </si>
  <si>
    <t xml:space="preserve"> Apoyo a la generación de entornos amigables para los animales domésticos y silvestres, en el departamento del Quindío </t>
  </si>
  <si>
    <t xml:space="preserve">Realización de campañas de sensibilización y apropiación del patrimonio ambiental del paisaje, la biodiversidad y sus servicios ecosistémicos en el Departamento del Quindío </t>
  </si>
  <si>
    <t xml:space="preserve">Implementación de un programa de protección del patrimonio ambiental, en paisaje, la biodiversidad y sus servicios ecosistémicos en el Departamento del Quindío  </t>
  </si>
  <si>
    <t>Implementar la Política de Transparencia, Acceso a la Información Pública y Lucha Contra la Corrupción del Modelo Integrado de Planificación y Gestión MIPG, articulada con el "Pacto por la Integridad, Transparencia y Legalidad” en el departamento del Quindío</t>
  </si>
  <si>
    <t>Desarrollo e implementación de una estrategia de comunicaciones de la gestión institucional de la Administración Departamental del Quindío "Hacia un gobierno abierto".</t>
  </si>
  <si>
    <t>Fortalecimiento de las capacidades institucionales de la administración departamental del Quindío, para generar condiciones de gobernanza territorial, participación, administración eficiente y transparente.</t>
  </si>
  <si>
    <t>Fortalecimiento de las Tecnologías de Información y Comunicación TIC, para una innovación educativa de calidad en el departamento del Quindío.</t>
  </si>
  <si>
    <t>Fortalecimiento de estrategias para en acceso y la permanencia de los estudiantes egresados de los Establecimientos Educativos Oficiales a la educación superior o terciaria en el Departamento del Quindío.</t>
  </si>
  <si>
    <t>Implementación y fortalecimiento de las estrategias qué fomenten la ciencia, la tecnología y la innovación en las Instituciones Educativas Oficiales del Departamento.</t>
  </si>
  <si>
    <t xml:space="preserve">Diseño e implementación de campañas para la promoción de la vida y prevención del consumo de sustancias psicoactivas en el Departamento del Quindío, “TU Y YO UNIDOS POR LA VIDA".  </t>
  </si>
  <si>
    <t xml:space="preserve"> Implementación acciones de fortalecimiento de los entornos protectores de los jóvenes en barrios vulnerables de los municipios, del Departamento del Quindío. </t>
  </si>
  <si>
    <t>Diseño e implementación de un Modelo de Atención Integral a la Primera Infancia a través de las Rutas Integrales de Atención RIAS en el departamento del Quindío</t>
  </si>
  <si>
    <t xml:space="preserve"> Implementación de la política pública de Familia para la promoción del desarrollo integral de la población del Departamento del Quindío. </t>
  </si>
  <si>
    <t xml:space="preserve"> Revisión, ajuste e implementación de la política pública de primera infancia, infancia y adolescencia en el Departamento del Quindío  </t>
  </si>
  <si>
    <t xml:space="preserve"> Implementación de la política pública de juventud en el Departamento del Quindío  </t>
  </si>
  <si>
    <t xml:space="preserve"> Diseño e implementación de programa de acompañamiento familiar y comunitario con enfoque preventivo en los tipos de violencias en el Departamento del Quindío "TU Y YO COMPROMETIDOS CON LA FAMILIA" </t>
  </si>
  <si>
    <t xml:space="preserve"> Servicio de atención Post egreso de adolescentes y jóvenes, en los servicios de restablecimiento en la administración de justicia, con enfoque pedagógico y restaurativo encaminados a la inclusión social en el Departamento del   Quindío.</t>
  </si>
  <si>
    <t xml:space="preserve">  Fortalecimiento de unidades productivas colectivas juveniles para la generación de ingresos en el departamento del Quindío  </t>
  </si>
  <si>
    <t xml:space="preserve">  Formulación e Implementación del programa departamental para atención al ciudadano migrante y de repatriación.  </t>
  </si>
  <si>
    <t xml:space="preserve">   Desarrollo de un programa de acompañamiento familiar y comunitario en procesos de Inclusión social y productivos para el emprendimiento de alternativas de generación de ingresos en el departamento del Quindío  </t>
  </si>
  <si>
    <t xml:space="preserve">  Formulación e implementación   de proyectos productivos dirigidos a la población en condición de discapacidad y sus familias para la generación de ingresos y fortalecimiento del entorno familiar.  </t>
  </si>
  <si>
    <t xml:space="preserve">  Apoyo en la construcción e Implementación de los Planes de Vida de los Cabildos y Resguardos indígenas asentados en el Departamento del Quindío "TU Y YO UNIDOS CON DIGNIDAD".  </t>
  </si>
  <si>
    <t xml:space="preserve">   Apoyo en la articulación de la oferta social para la población habitante de calle del Departamento del Quindío  </t>
  </si>
  <si>
    <t xml:space="preserve">    Implementación de la política pública de diversidad sexual en el Departamento del Quindío 2019-2029  </t>
  </si>
  <si>
    <t xml:space="preserve"> Servicio de atención integral e inclusión para el bienestar de los adultos mayores del departamento del Quindío </t>
  </si>
  <si>
    <t xml:space="preserve">  Revisar y ajustar la política pública de discapacidad del departamento del Quindío  </t>
  </si>
  <si>
    <t xml:space="preserve">Implementación de la Casa de la Mujer Empoderada para la promoción a la participación ciudadana de Mujeres en escenarios sociales, políticos y en fortalecimiento de la asociatividad en el departamento del Quindío " TU Y YO CON LAS MUJERES EMPODERADAS." </t>
  </si>
  <si>
    <t xml:space="preserve"> Implementación de estrategias de acompañamiento y asesoría a las asociaciones de mujeres del departamento del Quindío</t>
  </si>
  <si>
    <t>Desarrollo de jornadas de capacitación, sensibilización y prevención del trabajo infantil y protección del adolescente en el departamento del Quindío.</t>
  </si>
  <si>
    <t xml:space="preserve"> Implementación del programa de liderazgo para la participación femenina en escenarios sociales y políticos del departamento del Quindío</t>
  </si>
  <si>
    <t>Formulación de la política pública de adulto mayor en el Departamento del Quindío.</t>
  </si>
  <si>
    <t xml:space="preserve"> Implementación de programas de promoción social en poblaciones especiales en el Departamento del Quindío </t>
  </si>
  <si>
    <t xml:space="preserve"> Fortalecimiento de las actividades de vigilancia y control del laboratorio de salud pública en el Departamento del Quindío  </t>
  </si>
  <si>
    <t xml:space="preserve"> Aprovechamiento biológico y consumo de alimentos inocuos en el Departamento del Quindío </t>
  </si>
  <si>
    <t>Control en Salud Ambiental para la consecución de un estado de vida saludable de la población del Departamento del Quindío.</t>
  </si>
  <si>
    <t>Prestación de Servicios a la Población no Afiliada al Sistema General de Seguridad Social en Salud y en los no POS a la Población del Régimen Subsidiado.</t>
  </si>
  <si>
    <t>324 SECRETARÍA TECNOLÓGIAS DE LA INFORMACIÓN Y COMUNICACIÓN</t>
  </si>
  <si>
    <t xml:space="preserve"> Fortalecimiento y apoyo a las tecnologías de la información y las comunicaciones en el departamento del Quindío.</t>
  </si>
  <si>
    <t xml:space="preserve">  Implementación y divulgación de la estrategia    "Quindío innovador y competitivo"   </t>
  </si>
  <si>
    <t xml:space="preserve"> Fortalecimiento de la estrategia de gobierno digital en la Administración Departamental y los Entes Territoriales del departamento del Quindío  </t>
  </si>
  <si>
    <t>TOTAL SECTOR CENTRAL</t>
  </si>
  <si>
    <t>202000363-0009</t>
  </si>
  <si>
    <t>202000363-0010</t>
  </si>
  <si>
    <t>202000363-0013</t>
  </si>
  <si>
    <t>Desarrollo de los XXII JUEGOS DEPORTIVOS NACIONALES Y VI JUEGOS PARANACIONALES   2023</t>
  </si>
  <si>
    <t>Mantenimiento de obras complementarias de la infraestructura deportiva y recreativa en el Departamento del Quindío.</t>
  </si>
  <si>
    <t xml:space="preserve">  Mantenimiento de obras complementarias a la infraestructura vial en el Departamento del Quindío </t>
  </si>
  <si>
    <t xml:space="preserve"> Apoyo en la formulación y ejecución de proyectos de vivienda en el Departamento del Quindío   </t>
  </si>
  <si>
    <t>Implementación del programa de seguridad vial en el Departamento del Quindío “TU Y YO POR LA SEGURIDAD VIAL"</t>
  </si>
  <si>
    <t>TOTAL DESCENTRALIZADOS</t>
  </si>
  <si>
    <t>TOTAL INVERSION DEPARTAMENTAL</t>
  </si>
  <si>
    <t xml:space="preserve">Programa de saneamiento fiscal y financiero ejecutado </t>
  </si>
  <si>
    <t>Rendición de cuentas realizadas</t>
  </si>
  <si>
    <t>Programa de saneamiento fiscal y financiero ejecutado</t>
  </si>
  <si>
    <t>Mantenimiento  de la infraestructura institucional o de edificios públicos en el Departamento del Quindío</t>
  </si>
  <si>
    <t xml:space="preserve"> Implementación  de acciones con los Entes Municipales, para la reducción de los delitos en el Departamento del Quindío</t>
  </si>
  <si>
    <t xml:space="preserve">Fortalecimiento institucional de la entidades municipales para la consolidación de la convivencia, el orden público  y la seguridad ciudadana  en el departamento del Quindío  </t>
  </si>
  <si>
    <t>Gestión del riesgo de desastres y emergencias. "Tú y yo preparados en gestión del riesgo"</t>
  </si>
  <si>
    <t>Municipios con organismos de Acción Comunal fortalecidos.</t>
  </si>
  <si>
    <t xml:space="preserve">Servicio de información para el sector artístico y cultural </t>
  </si>
  <si>
    <t>Sistema de información del sector artístico cultural en operación</t>
  </si>
  <si>
    <t>Servicio de asistencia técnica a las MiPymes para el acceso a nuevos mercados</t>
  </si>
  <si>
    <t>Servicio de educación informal en el marco de la conservación de la biodiversidad y los Servicio ecosistémicos</t>
  </si>
  <si>
    <t>Calidad y fomento de la Educación "Tú y yo preparados para la educación superior"</t>
  </si>
  <si>
    <t>Ciencia, Tecnología e Innovación</t>
  </si>
  <si>
    <t xml:space="preserve"> Diseño e implementación de un  Modelo de  atención integral a la primera infancia  a través de las Rutas Integrales de Atención  RIA en el Departamento del  Quindío </t>
  </si>
  <si>
    <t>Formulación de la política pública de adulto mayor en el Departamento del Quindío</t>
  </si>
  <si>
    <t>Disminuir Tasa de Suicidio  y Violencia Intrafamiliar, además del aumento de la Cobertura a los grupos de adulto mayor, a través de la formulación de la política pública de este grupo de población en el Departamento del Quindío.</t>
  </si>
  <si>
    <t>Fomento del desarrollo de aplicaciones, software y contenidos para impulsar la apropiación de las Tecnologías de la Información y las Comunicaciones (TIC) "Quindío paraíso empresarial TIC-Quindío TIC"</t>
  </si>
  <si>
    <t>Estrategias de promoción de la cultura ciudadana implementadas</t>
  </si>
  <si>
    <t>Formular e Implementar un programa de control, prevención y atención del tránsito y el transporte en los municipios y vías de jurisdicción del IDTQ.</t>
  </si>
  <si>
    <t>COMPROMISOS</t>
  </si>
  <si>
    <t>OBLIGACIONES</t>
  </si>
  <si>
    <t>PRESUPUESTADO</t>
  </si>
  <si>
    <t>F-PLA-43</t>
  </si>
  <si>
    <t xml:space="preserve"> 1 de 1</t>
  </si>
  <si>
    <t>COMPROMISO</t>
  </si>
  <si>
    <t>OBLIGACIÓN</t>
  </si>
  <si>
    <t xml:space="preserve"> Banco de Programas y Proyectos del Departamento  con procesos de fortalecimiento</t>
  </si>
  <si>
    <t>SOBRETASA ACPM</t>
  </si>
  <si>
    <t>ESTAMPILLA PRO CULTURA</t>
  </si>
  <si>
    <t>ESTAMILLA PRO DESARROLLO</t>
  </si>
  <si>
    <t xml:space="preserve">COFINANCIACIÓN NACIÓN </t>
  </si>
  <si>
    <t>ESTAMPILLA PRO ADULTO MAYOR</t>
  </si>
  <si>
    <t>COFINANCIACIÓN NACIÓN</t>
  </si>
  <si>
    <t>ESTAMPILLA PRODESARROLLO</t>
  </si>
  <si>
    <t>% OBLIG</t>
  </si>
  <si>
    <t>% COMPR</t>
  </si>
  <si>
    <t>% OBLIGACIONES</t>
  </si>
  <si>
    <t>% OBLI</t>
  </si>
  <si>
    <t>% COMPROMIOS</t>
  </si>
  <si>
    <t>Registros sanitarios expedidos</t>
  </si>
  <si>
    <t xml:space="preserve"> MONOPOLIO</t>
  </si>
  <si>
    <t>Actualizar los procesos y procedimientos implementados al interior de la entidad, que permitan desarrollar una modernización administrativa incluyente y participativa.</t>
  </si>
  <si>
    <t>APROPIACION DEFINITIVA</t>
  </si>
  <si>
    <t>% PD</t>
  </si>
  <si>
    <t>DISPONIBILIDADES</t>
  </si>
  <si>
    <t>% CD</t>
  </si>
  <si>
    <t>% RP</t>
  </si>
  <si>
    <t xml:space="preserve">OBLIGACIONES </t>
  </si>
  <si>
    <t>PAGOS</t>
  </si>
  <si>
    <t>% PAGOS</t>
  </si>
  <si>
    <t>SALDOS
DISPONIBLES</t>
  </si>
  <si>
    <t>% SALDO DISP.</t>
  </si>
  <si>
    <t>Administrativa</t>
  </si>
  <si>
    <t>Planeación</t>
  </si>
  <si>
    <t>Hacienda</t>
  </si>
  <si>
    <t>Aguas e Infraestructura</t>
  </si>
  <si>
    <t>Interior</t>
  </si>
  <si>
    <t>Turismo Industria y Comercio</t>
  </si>
  <si>
    <t>Agricultura, Desarrollo Rural y Medio Ambiente</t>
  </si>
  <si>
    <t>Oficina Privada</t>
  </si>
  <si>
    <t>Familia</t>
  </si>
  <si>
    <t>Salud</t>
  </si>
  <si>
    <t>Tecnología de la Información y las Comunicaciones</t>
  </si>
  <si>
    <t>Indeportes</t>
  </si>
  <si>
    <t>Promotora</t>
  </si>
  <si>
    <t>Presupuesto</t>
  </si>
  <si>
    <t>Valor</t>
  </si>
  <si>
    <t>%</t>
  </si>
  <si>
    <t xml:space="preserve">Disponibilidades </t>
  </si>
  <si>
    <t>Compromisos</t>
  </si>
  <si>
    <t>Obligaciones</t>
  </si>
  <si>
    <t xml:space="preserve">Pagos </t>
  </si>
  <si>
    <t>Disponible</t>
  </si>
  <si>
    <t xml:space="preserve">Sobresaliente  (Entre 80%-100%) </t>
  </si>
  <si>
    <t>Satisfactorio (Entre 70% -79%)</t>
  </si>
  <si>
    <t>Medio (Entre 60%-69%)</t>
  </si>
  <si>
    <t>Bajo (Entre 40% - 59%)</t>
  </si>
  <si>
    <t>Critico (Entre 0% - 39%)</t>
  </si>
  <si>
    <t>Sector Central</t>
  </si>
  <si>
    <t>Descentralizados</t>
  </si>
  <si>
    <t>Departamento Quindío</t>
  </si>
  <si>
    <t>TOTAL DEPARTAMENTO</t>
  </si>
  <si>
    <t>RECURSO DEL CRÉDITO</t>
  </si>
  <si>
    <t>RECURSO DEL CREDITO</t>
  </si>
  <si>
    <t>MATERIAL DE RIO</t>
  </si>
  <si>
    <t>TASA PRODEPORTE</t>
  </si>
  <si>
    <t>Prestación de servicios de salud. "Tú y yo con servicios de salud"</t>
  </si>
  <si>
    <t>Aseguramiento y prestación integral de servicios de salud</t>
  </si>
  <si>
    <t>Fortalecimiento de la educación media para la articulación con la educación superior o terciaria. "Tú y yo preparados para la educación superior"</t>
  </si>
  <si>
    <t xml:space="preserve">Calidad y fomento de la educación superior </t>
  </si>
  <si>
    <t>Facilitar el acceso y uso de las Tecnologías de la Información y las Comunicaciones en todo el departamento del Quindio. "Tú y yo somos ciudadanos TIC"</t>
  </si>
  <si>
    <t>Facilitar el acceso y uso de las Tecnologías de la Información y las Comunicaciones en todo el territorio nacional</t>
  </si>
  <si>
    <t>Desarrollo integral de la primera infancia a la juventud, y fortalecimiento de las capacidades de las familias de niñas, niños y adolescentes</t>
  </si>
  <si>
    <t>Fomento a la recreación, la actividad física y el deporte. "Tú y yo en la recreación y el deporte"</t>
  </si>
  <si>
    <t>Fomento a la recreación, la actividad física y el deporte para desarrollar entornos de convivencia y paz</t>
  </si>
  <si>
    <t>Participación ciudadana y política y respeto por los derechos humanos y diversidad de creencias. "Quindío integrado y participativo"</t>
  </si>
  <si>
    <t>Fortalecimiento del buen gobierno para el respeto y garantía de los derechos humanos</t>
  </si>
  <si>
    <t>Prevención y atención de desastres y emergencias. "Tú y yo preparados en gestión del riesgo"</t>
  </si>
  <si>
    <t>Gestión del riesgo de desastres y emergencias</t>
  </si>
  <si>
    <t>Fortalecimiento de la gestión y desempeño institucional. “Quindío con una administración al servicio de la ciudadanía"</t>
  </si>
  <si>
    <t>Fortalecimiento a la gestión y dirección de la administración pública territorial</t>
  </si>
  <si>
    <t>Promoción al acceso a la justicia</t>
  </si>
  <si>
    <t>Promoción al acceso a la justicia."Tú y yo con justicia"</t>
  </si>
  <si>
    <t>Sistema penitenciario y carcelario en el marco de los derechos humanos</t>
  </si>
  <si>
    <t xml:space="preserve">Inclusión productiva de pequeños productores rurales </t>
  </si>
  <si>
    <t>Servicios financieros y gestión del riesgo para las actividades agropecuarias y rurales</t>
  </si>
  <si>
    <t>Ordenamiento social y uso productivo del territorio rural</t>
  </si>
  <si>
    <t>Aprovechamiento de mercados externos</t>
  </si>
  <si>
    <t>Sanidad agropecuaria e inocuidad agroalimentaria</t>
  </si>
  <si>
    <t>Ciencia, tecnología e innovación agropecuaria</t>
  </si>
  <si>
    <t>Infraestructura productiva y comercialización</t>
  </si>
  <si>
    <t>Productividad y competitividad de las empresas colombianas</t>
  </si>
  <si>
    <t xml:space="preserve">Productividad y competitividad de las empresas. "Tú y yo con empresas competitivas" </t>
  </si>
  <si>
    <t>Inspección, vigilancia y control. “Tú y yo con salud certificada”</t>
  </si>
  <si>
    <t xml:space="preserve">Inspección, vigilancia y control </t>
  </si>
  <si>
    <t>Salud pública</t>
  </si>
  <si>
    <t>Calidad, cobertura y fortalecimiento de la educación inicial, prescolar, básica y media</t>
  </si>
  <si>
    <t>Fomento del desarrollo de aplicaciones, software y contenidos para impulsar la apropiación de las Tecnologías de la Información y las Comunicaciones (TIC) "Quindío paraiso empresarial TIC-Quindío TIC"</t>
  </si>
  <si>
    <t>Fomento del desarrollo de aplicaciones, software y contenidos para impulsar la apropiación de las Tecnologías de la Información y las Comunicaciones (TIC)</t>
  </si>
  <si>
    <t>Infraestructura red vial regional</t>
  </si>
  <si>
    <t>Seguridad de transporte</t>
  </si>
  <si>
    <t>Fortalecimiento del desempeño ambiental de los sectores productivos. "Tú y yo guardianes de la biodiversidad".</t>
  </si>
  <si>
    <t>Fortalecimiento del desempeño ambiental de los sectores productivos</t>
  </si>
  <si>
    <t>Conservación de la biodiversidad y sus servicios ecosistémicos</t>
  </si>
  <si>
    <t>Gestión de la información y el conocimiento ambiental.  “Tú y yo conscientes con la naturaleza”</t>
  </si>
  <si>
    <t>Ordenamiento ambiental territorial</t>
  </si>
  <si>
    <t>Gestión del cambio climático para un desarrollo bajo en carbono y resiliente al clima</t>
  </si>
  <si>
    <t>Promoción y acceso efectivo a procesos culturales y artísticos</t>
  </si>
  <si>
    <t>Gestión, protección y salvaguardia del patrimonio cultural colombiano</t>
  </si>
  <si>
    <t>Generación y formalización del empleo</t>
  </si>
  <si>
    <t>Derechos fundamentales del trabajo y fortalecimiento del diálogo social</t>
  </si>
  <si>
    <t>Generación de una cultura que valora y gestiona el conocimiento y la innovación</t>
  </si>
  <si>
    <t>Acceso a soluciones de vivienda</t>
  </si>
  <si>
    <t>Acceso de la población a los servicios de agua potable y saneamiento básico</t>
  </si>
  <si>
    <t>Atención, asistencia  y reparación integral a las víctimas</t>
  </si>
  <si>
    <t>Inclusión social y productiva para la población en situación de vulnerabilidad</t>
  </si>
  <si>
    <t>Atención integral de población en situación permanente de desprotección social y/o familiar</t>
  </si>
  <si>
    <t>Formación y preparación de deportistas</t>
  </si>
  <si>
    <t>Fortalecimiento de la convivencia y la seguridad ciudadana</t>
  </si>
  <si>
    <t xml:space="preserve">Promoción de los métodos de resolución de conflictos </t>
  </si>
  <si>
    <t>Secretaría Administrativa</t>
  </si>
  <si>
    <t>Liderazgo, gobernabilidad y transparencia</t>
  </si>
  <si>
    <t>Secretaría de Planeación</t>
  </si>
  <si>
    <t>Inclusión social y equidad</t>
  </si>
  <si>
    <t>Secretaría de Hacienda y Finanzas Públicas</t>
  </si>
  <si>
    <t>Territorio, ambiente y desarrollo sostenible</t>
  </si>
  <si>
    <t>Secretaría del Interior</t>
  </si>
  <si>
    <t>Secretaría de Aguas e Infraestructura</t>
  </si>
  <si>
    <t xml:space="preserve">Territorio, ambiente y desarrollo sostenible </t>
  </si>
  <si>
    <t>Secretaría de Cultura</t>
  </si>
  <si>
    <t>Productividad y competitividad</t>
  </si>
  <si>
    <t>Secretaría de Agricultura, Desarrollo Rural y Medio Ambiente</t>
  </si>
  <si>
    <t>Secretaría de Turismo Industria y Comercio</t>
  </si>
  <si>
    <t>Dirección Oficina Privada</t>
  </si>
  <si>
    <t>INCLUSION SOCIAL Y EQUIDAd</t>
  </si>
  <si>
    <t>Secretaría de Educación</t>
  </si>
  <si>
    <t>Secretaría de Familia</t>
  </si>
  <si>
    <t>Secretaria de Salud</t>
  </si>
  <si>
    <t>Instituto Departamental de Deporte y Recreación del Quindío</t>
  </si>
  <si>
    <t>PROYECTA Empresa para el Desarrollo Territorial</t>
  </si>
  <si>
    <t xml:space="preserve">Territorio, Ambiente y Desarrollo Sostenible </t>
  </si>
  <si>
    <t xml:space="preserve">Instituto Departamental de Tránsito del Quindío </t>
  </si>
  <si>
    <t>CÓDIGO
PDD</t>
  </si>
  <si>
    <t>NOMBRE PDD</t>
  </si>
  <si>
    <t>CÓDIGO CATÁLOGO MGA</t>
  </si>
  <si>
    <t xml:space="preserve">PROGRAMA CATÁLOGO MGA </t>
  </si>
  <si>
    <t>META PRODUCTO</t>
  </si>
  <si>
    <t>PROGRAMADA
VIGENCIA</t>
  </si>
  <si>
    <t>FUENTES DE FINANCIACIÓN</t>
  </si>
  <si>
    <t>TOTAL PRESUPUESTO</t>
  </si>
  <si>
    <t>PRESUPUESTO</t>
  </si>
  <si>
    <t xml:space="preserve"> FORMATO</t>
  </si>
  <si>
    <t>PLAN DE DESARROLLO 2020 -2023 "TÚ Y YO SOMOS QUINDIO"</t>
  </si>
  <si>
    <t xml:space="preserve">  John Harold Valencia Rodríguez, Secretario Administrativo</t>
  </si>
  <si>
    <t>Luis Alberto Rincón Quintero, Secretario de Planeación</t>
  </si>
  <si>
    <t>Maria Aleyda  Marin Betancourt, Secretaria de Hacienda</t>
  </si>
  <si>
    <t>Gilberto Gutiérrez Caro, Secretario de Aguas e Infraestructura</t>
  </si>
  <si>
    <t>Magda  Inés Montoya  Naranjo, Secretaria del Interior</t>
  </si>
  <si>
    <t>Juan Manuel Rodríguez Brito, Secretario de Cultura</t>
  </si>
  <si>
    <t>Carlos Andrés Arredondo Salazar, Secretario de Turismo, Industria y Comercio</t>
  </si>
  <si>
    <t>Julio César Cortés Pulido, Secretario de Agricultura, Desarrollo Rural y Medio Ambiente</t>
  </si>
  <si>
    <t>Jorge Hernan Zapata Botero, Director Oficina Privada</t>
  </si>
  <si>
    <t>Liliana María Sánchez Villada, Secretaria de Educación</t>
  </si>
  <si>
    <t>Alba Johana Quejada Torres, Secretaria de Familia</t>
  </si>
  <si>
    <t>Yenny Alexandra Trujillo Álzate, Secretaria de Salud</t>
  </si>
  <si>
    <t>John Mario Liévano Fernández, Secretario Tecnologías de la Información y las Comunicaciones</t>
  </si>
  <si>
    <t>Fernando  Augusto Paneso Zuluaga, Gerente INDEPORTES QUINDÍO</t>
  </si>
  <si>
    <t>Pablo César Herrera Correa, Gerente General PROYECTA para el Desarrollo Territorial</t>
  </si>
  <si>
    <t>Secretaría Tecnologías de la Información y las Comunicaciones</t>
  </si>
  <si>
    <t xml:space="preserve">Prestación de Servicios a la Población no Afiliada al Sistema General de Seguridad Social en Salud y en el NO POS a la Población del Régimen Subsidiado.  </t>
  </si>
  <si>
    <t>R - A</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</si>
  <si>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</si>
  <si>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</si>
  <si>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ESTAMPILLAS 
PRO - CULTURA
PRO - ADULTO MAYOR
PRO - DESARROLLO</t>
  </si>
  <si>
    <t>COFINANCIACIÓN NACION</t>
  </si>
  <si>
    <t xml:space="preserve">FONDO LOCAL - RENTAS CEDIDAS </t>
  </si>
  <si>
    <t>FONDO LOCAL DE SALUD  -  RENTAS CEDIDAS -LOTERIAS-RIFAS-PREMIO - IVA LICORES SALUD</t>
  </si>
  <si>
    <t>LINEA ESTRATÉGICA</t>
  </si>
  <si>
    <t xml:space="preserve">SGP PRESTACIÓN DE SERVICIOS - EDUCACIÓN  - Y CONECTIVIDAD
(25-21-09-188)
</t>
  </si>
  <si>
    <t>Formular el Plan de Fortalecimiento de Capacidades en Salud Ambiental en coordinación con el Consejo Territorial de Salud Ambiental COTSA</t>
  </si>
  <si>
    <t>Acumulada</t>
  </si>
  <si>
    <t>ACUMULADA (MANTENIMIENTO)
NO ACUAULADA (INCREMENTO)</t>
  </si>
  <si>
    <t>No Acumulada</t>
  </si>
  <si>
    <t>Instancias territoriales de coordinación institucional asistidas y apoyadas</t>
  </si>
  <si>
    <t>Fernando Baena Villareal Director IDTQ</t>
  </si>
  <si>
    <t xml:space="preserve">EJECUTADA
VIGENCIA </t>
  </si>
  <si>
    <t>TOTAL POAI</t>
  </si>
  <si>
    <t>Campañas de promoción de la salud  y prevención de riesgos asociados a condiciones no transmisibles implementadas</t>
  </si>
  <si>
    <t>Productividad y Competitividad</t>
  </si>
  <si>
    <t xml:space="preserve">Productividad y competitividad de las empresas "Tú y yo con empresas competitivas" </t>
  </si>
  <si>
    <t xml:space="preserve">Productividad y competitividad de las empresas colombianas </t>
  </si>
  <si>
    <t>Mejoramiento casa del artesano del municipio de filandia en el departamento del Quindío</t>
  </si>
  <si>
    <t xml:space="preserve">Índice Departamental de Competitividad Turística
Tasa de desempleo
</t>
  </si>
  <si>
    <t>202100363-0020</t>
  </si>
  <si>
    <t>Diseñar una propuesta turística que mejore la infraestructura de la casa del artesano  como oferta de diversificación que permita aprovechar las oportunidades económicas actuales del sector..</t>
  </si>
  <si>
    <t>SEGUIMIENTO PLAN OPERATIVO ANUAL DE INVERSIONES POAI 2021 
PLAN DE DESARROLLO 2020-2023 "TÚ Y YO SOMOS QUINDIO"</t>
  </si>
  <si>
    <t>DICIEMBRE 31  DE  2021</t>
  </si>
  <si>
    <t>PLAN DE DESARROLLO 2020-2023 "TÚ Y YO SOMOS QUINDIO"
PLAN OPERATIVO ANUAL DE INVERSIÓN POAI  2021 - 
DICIEMBRE 31 DE 2021</t>
  </si>
  <si>
    <t>PLAN OPERATIVO ANUAL DE INVERSIÓN POAI  2021  
PLAN DE DESARROLLO 2020-2023 "TÚ Y YO SOMOS QUINDIO" 
A DICIEMBRE 31 DE 2021</t>
  </si>
  <si>
    <t>PLAN OPERATIVO ANUAL DE INVERSIONES 2021
SECTOR CENTRAL ADMINISTRACION DEPARTAMENTAL
RECURSOS POR LINEA ESTRATÉGICA
A DICIEMBRE 31 DE 2021</t>
  </si>
  <si>
    <t>PLAN OPERATIVO ANUAL DE INVERSIONES 2021
ENTES DESCENTRALIZADOS
RECURSOS POR LINEA ESTRATÉGICA
A DICIEMBRE 31 DE 2021</t>
  </si>
  <si>
    <t>PLAN OPERATIVO ANUAL DE INVERSIONES 2021
DEPARTAMENTO DEL QUINDIO
RECURSOS POR LINEA ESTRATÉGICA
DICIEMBRE 31 DE 2021</t>
  </si>
  <si>
    <t>ESTADO DE EJECUCIÓN DE PROYECTOS DE INVERSION PUBLICA DEPARTAMENTAL VIABILIZADOS, PRIORIZADOS Y APROBADOS 
A DICIEMBRE 31 2021</t>
  </si>
  <si>
    <t>INVERSIÓN POR SECTORES
SECTOR CENTRAL ADMINISTRACION DEPARTAMENTAL
DICIEMBRE 31 DE 2021</t>
  </si>
  <si>
    <t>INVERSIÓN POR SECTORES
ENTES DESCENTRALIZADOS
DICIEMBRE 31 DE 2021</t>
  </si>
  <si>
    <t>LÍNEA ESTRATÉGICA/PROGRAMA</t>
  </si>
  <si>
    <t>LÍNEA ESTRATÉGICA/SECTOR</t>
  </si>
  <si>
    <t>INVERSIÓN POR PROGRAMAS
SECTOR CENTRAL ADMINISTRACION DEPARTAMENTAL
DICIEMBRE 31 DE 2021</t>
  </si>
  <si>
    <t>INVERSIÓN POR PROGRAMAS
ENTES DESCENTRALIZADOS
SEPTIEMBRE 30 DE 2021</t>
  </si>
  <si>
    <t>SEMAFORO CUMPLIMIENTO COMPROMISOS</t>
  </si>
  <si>
    <t>304 SECRETARÍA ADMINISTRATIVA</t>
  </si>
  <si>
    <t>SEMAFORO CUMPLIMIENTO RP</t>
  </si>
  <si>
    <t>Instituto Departamental de Transito</t>
  </si>
  <si>
    <t>PLAN DE DESARROLLO 2020 - 2023 "TÚ Y YO SOMOS QUINDIO"
CONSOLIDADO EJECUCIÓN GASTOS DE INVERSIÓN 
A DICIEMBRE 31 VIGENCIA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</si>
</sst>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240A]\ * #,##0.00_);_([$$-240A]\ * \(#,##0.00\);_([$$-240A]\ * &quot;-&quot;??_);_(@_)"/>
    <numFmt numFmtId="169" formatCode="00"/>
    <numFmt numFmtId="170" formatCode="_(* #,##0_);_(* \(#,##0\);_(* &quot;-&quot;??_);_(@_)"/>
    <numFmt numFmtId="171" formatCode="_-* #,##0_-;\-* #,##0_-;_-* &quot;-&quot;??_-;_-@_-"/>
    <numFmt numFmtId="172" formatCode="_-* #,##0.00_-;\-* #,##0.00_-;_-* &quot;-&quot;_-;_-@_-"/>
    <numFmt numFmtId="173" formatCode="_-&quot;$&quot;\ * #,##0.00_-;\-&quot;$&quot;\ * #,##0.00_-;_-&quot;$&quot;\ * &quot;-&quot;_-;_-@_-"/>
    <numFmt numFmtId="174" formatCode="_-* #,##0.00\ _€_-;\-* #,##0.00\ _€_-;_-* &quot;-&quot;??\ _€_-;_-@_-"/>
    <numFmt numFmtId="175" formatCode="_ [$€-2]\ * #,##0.00_ ;_ [$€-2]\ * \-#,##0.00_ ;_ [$€-2]\ * &quot;-&quot;??_ "/>
    <numFmt numFmtId="176" formatCode="#,##0."/>
    <numFmt numFmtId="177" formatCode="_ * #,##0.00_ ;_ * \-#,##0.00_ ;_ * &quot;-&quot;??_ ;_ @_ "/>
    <numFmt numFmtId="178" formatCode="#,##0.00_);\-#,##0.00"/>
    <numFmt numFmtId="179" formatCode="0.0%"/>
    <numFmt numFmtId="180" formatCode="_-* #,##0.000_-;\-* #,##0.000_-;_-* &quot;-&quot;??_-;_-@_-"/>
  </numFmts>
  <fonts count="65" x14ac:knownFonts="1">
    <font>
      <sz val="11"/>
      <color theme="1"/>
      <name val="Calibri"/>
      <family val="2"/>
      <scheme val="minor"/>
    </font>
    <font>
      <sz val="11"/>
      <color theme="1"/>
      <name val="Calibri"/>
      <family val="2"/>
      <scheme val="minor"/>
    </font>
    <font>
      <sz val="12"/>
      <name val="Arial"/>
      <family val="2"/>
    </font>
    <font>
      <b/>
      <sz val="12"/>
      <name val="Arial"/>
      <family val="2"/>
    </font>
    <font>
      <b/>
      <sz val="10"/>
      <name val="Arial"/>
      <family val="2"/>
    </font>
    <font>
      <sz val="11"/>
      <color indexed="8"/>
      <name val="Calibri"/>
      <family val="2"/>
    </font>
    <font>
      <sz val="12"/>
      <color theme="1"/>
      <name val="Arial"/>
      <family val="2"/>
    </font>
    <font>
      <b/>
      <sz val="11"/>
      <color rgb="FF6F6F6E"/>
      <name val="Calibri"/>
      <family val="2"/>
      <scheme val="minor"/>
    </font>
    <font>
      <sz val="10"/>
      <name val="Arial"/>
      <family val="2"/>
    </font>
    <font>
      <sz val="8"/>
      <name val="Calibri"/>
      <family val="2"/>
      <scheme val="minor"/>
    </font>
    <font>
      <b/>
      <sz val="11"/>
      <color theme="0"/>
      <name val="Calibri"/>
      <family val="2"/>
      <scheme val="minor"/>
    </font>
    <font>
      <sz val="11"/>
      <color rgb="FF000000"/>
      <name val="Calibri"/>
      <family val="2"/>
    </font>
    <font>
      <sz val="12"/>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8"/>
      <color theme="3"/>
      <name val="Calibri Light"/>
      <family val="2"/>
      <scheme val="major"/>
    </font>
    <font>
      <sz val="10"/>
      <color theme="1"/>
      <name val="Arial"/>
      <family val="2"/>
    </font>
    <font>
      <sz val="12"/>
      <color theme="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
      <color indexed="8"/>
      <name val="Courier"/>
      <family val="3"/>
    </font>
    <font>
      <b/>
      <sz val="1"/>
      <color indexed="8"/>
      <name val="Courier"/>
      <family val="3"/>
    </font>
    <font>
      <b/>
      <i/>
      <sz val="1"/>
      <color indexed="8"/>
      <name val="Courier"/>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Arial"/>
      <family val="2"/>
      <charset val="1"/>
    </font>
    <font>
      <sz val="11"/>
      <color rgb="FFFFFFFF"/>
      <name val="Arial"/>
      <family val="2"/>
      <charset val="1"/>
    </font>
    <font>
      <sz val="12"/>
      <color rgb="FF000000"/>
      <name val="Arial"/>
      <family val="2"/>
    </font>
    <font>
      <b/>
      <sz val="12"/>
      <color theme="1"/>
      <name val="Arial"/>
      <family val="2"/>
    </font>
    <font>
      <b/>
      <sz val="12"/>
      <color rgb="FF000000"/>
      <name val="Arial"/>
      <family val="2"/>
    </font>
    <font>
      <b/>
      <sz val="10"/>
      <color theme="1"/>
      <name val="Arial"/>
      <family val="2"/>
    </font>
    <font>
      <b/>
      <sz val="9"/>
      <name val="Arial"/>
      <family val="2"/>
    </font>
    <font>
      <sz val="11"/>
      <name val="Calibri"/>
      <family val="2"/>
      <scheme val="minor"/>
    </font>
    <font>
      <b/>
      <sz val="14"/>
      <name val="Arial"/>
      <family val="2"/>
    </font>
    <font>
      <sz val="11"/>
      <name val="Arial"/>
      <family val="2"/>
    </font>
    <font>
      <sz val="10"/>
      <color indexed="8"/>
      <name val="MS Sans Serif"/>
    </font>
    <font>
      <b/>
      <sz val="12"/>
      <color indexed="8"/>
      <name val="Times New Roman"/>
      <family val="1"/>
    </font>
    <font>
      <sz val="11"/>
      <color rgb="FF000000"/>
      <name val="Arial"/>
      <family val="2"/>
    </font>
    <font>
      <sz val="9"/>
      <color indexed="8"/>
      <name val="Calibri"/>
      <family val="2"/>
      <scheme val="minor"/>
    </font>
    <font>
      <sz val="10"/>
      <color theme="0"/>
      <name val="Arial"/>
      <family val="2"/>
    </font>
    <font>
      <sz val="11"/>
      <color theme="1"/>
      <name val="Arial"/>
      <family val="2"/>
    </font>
  </fonts>
  <fills count="7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rgb="FFFFC000"/>
        <bgColor indexed="64"/>
      </patternFill>
    </fill>
    <fill>
      <patternFill patternType="solid">
        <fgColor rgb="FFECECEC"/>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FF"/>
        <bgColor indexed="64"/>
      </patternFill>
    </fill>
    <fill>
      <patternFill patternType="solid">
        <fgColor rgb="FF522B57"/>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6600"/>
        <bgColor rgb="FFFF9900"/>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theme="3" tint="0.79998168889431442"/>
        <bgColor indexed="64"/>
      </patternFill>
    </fill>
    <fill>
      <patternFill patternType="solid">
        <fgColor theme="9" tint="0.79998168889431442"/>
        <bgColor indexed="64"/>
      </patternFill>
    </fill>
  </fills>
  <borders count="77">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ECECEC"/>
      </left>
      <right style="medium">
        <color rgb="FFECECEC"/>
      </right>
      <top style="medium">
        <color rgb="FFECECEC"/>
      </top>
      <bottom style="medium">
        <color rgb="FFECECEC"/>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indexed="64"/>
      </bottom>
      <diagonal/>
    </border>
    <border>
      <left style="thin">
        <color indexed="64"/>
      </left>
      <right/>
      <top style="thin">
        <color rgb="FF000000"/>
      </top>
      <bottom style="thin">
        <color indexed="64"/>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bottom/>
      <diagonal/>
    </border>
    <border>
      <left style="thin">
        <color rgb="FF000000"/>
      </left>
      <right style="thin">
        <color indexed="64"/>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rgb="FF000000"/>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style="medium">
        <color indexed="64"/>
      </left>
      <right style="medium">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rgb="FF000000"/>
      </bottom>
      <diagonal/>
    </border>
    <border>
      <left/>
      <right style="thin">
        <color indexed="64"/>
      </right>
      <top style="thin">
        <color rgb="FF000000"/>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rgb="FF000000"/>
      </top>
      <bottom style="thin">
        <color rgb="FF000000"/>
      </bottom>
      <diagonal/>
    </border>
  </borders>
  <cellStyleXfs count="1036">
    <xf numFmtId="168" fontId="0" fillId="0" borderId="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7" fontId="5" fillId="0" borderId="0" applyFont="0" applyFill="0" applyBorder="0" applyAlignment="0" applyProtection="0"/>
    <xf numFmtId="168" fontId="7" fillId="6" borderId="10">
      <alignment horizontal="center" vertical="center" wrapText="1"/>
    </xf>
    <xf numFmtId="0" fontId="1" fillId="0" borderId="0"/>
    <xf numFmtId="167" fontId="1" fillId="0" borderId="0" applyFont="0" applyFill="0" applyBorder="0" applyAlignment="0" applyProtection="0"/>
    <xf numFmtId="0" fontId="7" fillId="6" borderId="10">
      <alignment horizontal="center" vertical="center" wrapText="1"/>
    </xf>
    <xf numFmtId="168" fontId="8" fillId="0" borderId="0"/>
    <xf numFmtId="44"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0" fontId="10" fillId="10" borderId="14">
      <alignment horizontal="center" vertical="center" wrapText="1"/>
    </xf>
    <xf numFmtId="0" fontId="8" fillId="0" borderId="0"/>
    <xf numFmtId="0" fontId="11" fillId="0" borderId="0"/>
    <xf numFmtId="0" fontId="8" fillId="0" borderId="0"/>
    <xf numFmtId="0" fontId="1" fillId="0" borderId="0"/>
    <xf numFmtId="0" fontId="1" fillId="0" borderId="0"/>
    <xf numFmtId="0" fontId="13" fillId="0" borderId="37" applyNumberFormat="0" applyFill="0" applyAlignment="0" applyProtection="0"/>
    <xf numFmtId="0" fontId="14" fillId="0" borderId="38" applyNumberFormat="0" applyFill="0" applyAlignment="0" applyProtection="0"/>
    <xf numFmtId="0" fontId="15" fillId="0" borderId="39" applyNumberFormat="0" applyFill="0" applyAlignment="0" applyProtection="0"/>
    <xf numFmtId="0" fontId="15" fillId="0" borderId="0" applyNumberFormat="0" applyFill="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8" fillId="16" borderId="40" applyNumberFormat="0" applyAlignment="0" applyProtection="0"/>
    <xf numFmtId="0" fontId="19" fillId="17" borderId="41" applyNumberFormat="0" applyAlignment="0" applyProtection="0"/>
    <xf numFmtId="0" fontId="20" fillId="17" borderId="40" applyNumberFormat="0" applyAlignment="0" applyProtection="0"/>
    <xf numFmtId="0" fontId="21" fillId="0" borderId="42" applyNumberFormat="0" applyFill="0" applyAlignment="0" applyProtection="0"/>
    <xf numFmtId="0" fontId="10" fillId="18" borderId="43" applyNumberFormat="0" applyAlignment="0" applyProtection="0"/>
    <xf numFmtId="0" fontId="22" fillId="0" borderId="0" applyNumberFormat="0" applyFill="0" applyBorder="0" applyAlignment="0" applyProtection="0"/>
    <xf numFmtId="0" fontId="1" fillId="19" borderId="44" applyNumberFormat="0" applyFont="0" applyAlignment="0" applyProtection="0"/>
    <xf numFmtId="0" fontId="23" fillId="0" borderId="0" applyNumberFormat="0" applyFill="0" applyBorder="0" applyAlignment="0" applyProtection="0"/>
    <xf numFmtId="0" fontId="24" fillId="0" borderId="45" applyNumberFormat="0" applyFill="0" applyAlignment="0" applyProtection="0"/>
    <xf numFmtId="0" fontId="2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25" fillId="43" borderId="0" applyNumberFormat="0" applyBorder="0" applyAlignment="0" applyProtection="0"/>
    <xf numFmtId="0" fontId="1" fillId="0" borderId="0"/>
    <xf numFmtId="168" fontId="1" fillId="0" borderId="0"/>
    <xf numFmtId="175" fontId="1" fillId="29" borderId="0" applyNumberFormat="0" applyBorder="0" applyAlignment="0" applyProtection="0"/>
    <xf numFmtId="175" fontId="1" fillId="0" borderId="0"/>
    <xf numFmtId="168" fontId="1" fillId="0" borderId="0"/>
    <xf numFmtId="0" fontId="27" fillId="0" borderId="0" applyNumberFormat="0" applyFill="0" applyBorder="0" applyAlignment="0" applyProtection="0"/>
    <xf numFmtId="175" fontId="14" fillId="0" borderId="38" applyNumberFormat="0" applyFill="0" applyAlignment="0" applyProtection="0"/>
    <xf numFmtId="175" fontId="1" fillId="0" borderId="0"/>
    <xf numFmtId="175" fontId="1" fillId="42" borderId="0" applyNumberFormat="0" applyBorder="0" applyAlignment="0" applyProtection="0"/>
    <xf numFmtId="175" fontId="10" fillId="18" borderId="43" applyNumberFormat="0" applyAlignment="0" applyProtection="0"/>
    <xf numFmtId="175" fontId="20" fillId="17" borderId="40" applyNumberFormat="0" applyAlignment="0" applyProtection="0"/>
    <xf numFmtId="175" fontId="1" fillId="0" borderId="0"/>
    <xf numFmtId="168" fontId="1" fillId="0" borderId="0"/>
    <xf numFmtId="175" fontId="25" fillId="31" borderId="0" applyNumberFormat="0" applyBorder="0" applyAlignment="0" applyProtection="0"/>
    <xf numFmtId="175" fontId="1" fillId="0" borderId="0"/>
    <xf numFmtId="175" fontId="1" fillId="0" borderId="0"/>
    <xf numFmtId="175" fontId="1" fillId="0" borderId="0"/>
    <xf numFmtId="168" fontId="1" fillId="0" borderId="0"/>
    <xf numFmtId="175" fontId="17" fillId="15" borderId="0" applyNumberFormat="0" applyBorder="0" applyAlignment="0" applyProtection="0"/>
    <xf numFmtId="175" fontId="1" fillId="0" borderId="0"/>
    <xf numFmtId="168" fontId="1" fillId="0" borderId="0"/>
    <xf numFmtId="175" fontId="25" fillId="43" borderId="0" applyNumberFormat="0" applyBorder="0" applyAlignment="0" applyProtection="0"/>
    <xf numFmtId="168"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5"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28" fillId="0" borderId="0"/>
    <xf numFmtId="165" fontId="1" fillId="0" borderId="0" applyFont="0" applyFill="0" applyBorder="0" applyAlignment="0" applyProtection="0"/>
    <xf numFmtId="0" fontId="8" fillId="0" borderId="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174" fontId="1" fillId="0" borderId="0" applyFont="0" applyFill="0" applyBorder="0" applyAlignment="0" applyProtection="0"/>
    <xf numFmtId="164" fontId="8" fillId="0" borderId="0" applyFont="0" applyFill="0" applyBorder="0" applyAlignment="0" applyProtection="0"/>
    <xf numFmtId="175" fontId="1" fillId="0" borderId="0"/>
    <xf numFmtId="0" fontId="1" fillId="0" borderId="0"/>
    <xf numFmtId="0" fontId="1" fillId="0" borderId="0"/>
    <xf numFmtId="9"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8" fontId="8"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0" fontId="1" fillId="0" borderId="0"/>
    <xf numFmtId="43" fontId="5" fillId="0" borderId="0" applyFont="0" applyFill="0" applyBorder="0" applyAlignment="0" applyProtection="0"/>
    <xf numFmtId="0" fontId="28" fillId="0" borderId="0"/>
    <xf numFmtId="42" fontId="1" fillId="0" borderId="0" applyFont="0" applyFill="0" applyBorder="0" applyAlignment="0" applyProtection="0"/>
    <xf numFmtId="0" fontId="1" fillId="0" borderId="0"/>
    <xf numFmtId="168" fontId="1" fillId="0" borderId="0"/>
    <xf numFmtId="175" fontId="21" fillId="0" borderId="42" applyNumberFormat="0" applyFill="0" applyAlignment="0" applyProtection="0"/>
    <xf numFmtId="168" fontId="1" fillId="0" borderId="0"/>
    <xf numFmtId="175" fontId="25" fillId="28" borderId="0" applyNumberFormat="0" applyBorder="0" applyAlignment="0" applyProtection="0"/>
    <xf numFmtId="175" fontId="1" fillId="0" borderId="0"/>
    <xf numFmtId="168" fontId="1" fillId="0" borderId="0"/>
    <xf numFmtId="175" fontId="1" fillId="0" borderId="0"/>
    <xf numFmtId="175" fontId="1" fillId="0" borderId="0"/>
    <xf numFmtId="175" fontId="1" fillId="0" borderId="0"/>
    <xf numFmtId="175" fontId="1" fillId="0" borderId="0"/>
    <xf numFmtId="175" fontId="1" fillId="0" borderId="0"/>
    <xf numFmtId="175" fontId="18" fillId="16" borderId="40" applyNumberFormat="0" applyAlignment="0" applyProtection="0"/>
    <xf numFmtId="168" fontId="1" fillId="0" borderId="0"/>
    <xf numFmtId="175" fontId="1" fillId="0" borderId="0"/>
    <xf numFmtId="175" fontId="25" fillId="24" borderId="0" applyNumberFormat="0" applyBorder="0" applyAlignment="0" applyProtection="0"/>
    <xf numFmtId="175" fontId="1" fillId="0" borderId="0"/>
    <xf numFmtId="175" fontId="1" fillId="0" borderId="0"/>
    <xf numFmtId="175" fontId="1" fillId="0" borderId="0"/>
    <xf numFmtId="175" fontId="25" fillId="32" borderId="0" applyNumberFormat="0" applyBorder="0" applyAlignment="0" applyProtection="0"/>
    <xf numFmtId="175" fontId="1" fillId="0" borderId="0"/>
    <xf numFmtId="175" fontId="15" fillId="0" borderId="39" applyNumberFormat="0" applyFill="0" applyAlignment="0" applyProtection="0"/>
    <xf numFmtId="168" fontId="1" fillId="0" borderId="0"/>
    <xf numFmtId="175" fontId="26" fillId="0" borderId="0" applyNumberFormat="0" applyFill="0" applyBorder="0" applyAlignment="0" applyProtection="0"/>
    <xf numFmtId="175" fontId="1" fillId="0" borderId="0"/>
    <xf numFmtId="175" fontId="1" fillId="0" borderId="0"/>
    <xf numFmtId="168" fontId="1" fillId="0" borderId="0"/>
    <xf numFmtId="175" fontId="1" fillId="22" borderId="0" applyNumberFormat="0" applyBorder="0" applyAlignment="0" applyProtection="0"/>
    <xf numFmtId="175" fontId="28" fillId="0" borderId="0"/>
    <xf numFmtId="175" fontId="1" fillId="0" borderId="0"/>
    <xf numFmtId="168" fontId="1" fillId="0" borderId="0"/>
    <xf numFmtId="175" fontId="1" fillId="0" borderId="0"/>
    <xf numFmtId="175" fontId="15" fillId="0" borderId="0" applyNumberFormat="0" applyFill="0" applyBorder="0" applyAlignment="0" applyProtection="0"/>
    <xf numFmtId="175" fontId="1" fillId="0" borderId="0"/>
    <xf numFmtId="175" fontId="1" fillId="19" borderId="44" applyNumberFormat="0" applyFont="0" applyAlignment="0" applyProtection="0"/>
    <xf numFmtId="175" fontId="1" fillId="0" borderId="0"/>
    <xf numFmtId="175" fontId="19" fillId="17" borderId="41" applyNumberFormat="0" applyAlignment="0" applyProtection="0"/>
    <xf numFmtId="168" fontId="1" fillId="0" borderId="0"/>
    <xf numFmtId="168" fontId="1" fillId="0" borderId="0"/>
    <xf numFmtId="175" fontId="1" fillId="0" borderId="0"/>
    <xf numFmtId="175" fontId="1" fillId="0" borderId="0"/>
    <xf numFmtId="175" fontId="1" fillId="0" borderId="0"/>
    <xf numFmtId="168" fontId="1" fillId="0" borderId="0"/>
    <xf numFmtId="175" fontId="8" fillId="0" borderId="0"/>
    <xf numFmtId="175" fontId="25" fillId="23" borderId="0" applyNumberFormat="0" applyBorder="0" applyAlignment="0" applyProtection="0"/>
    <xf numFmtId="168" fontId="1" fillId="0" borderId="0"/>
    <xf numFmtId="175" fontId="1" fillId="41" borderId="0" applyNumberFormat="0" applyBorder="0" applyAlignment="0" applyProtection="0"/>
    <xf numFmtId="175" fontId="1" fillId="0" borderId="0"/>
    <xf numFmtId="175" fontId="1" fillId="0" borderId="0"/>
    <xf numFmtId="175" fontId="1" fillId="34" borderId="0" applyNumberFormat="0" applyBorder="0" applyAlignment="0" applyProtection="0"/>
    <xf numFmtId="168" fontId="1" fillId="0" borderId="0"/>
    <xf numFmtId="175" fontId="24" fillId="0" borderId="45" applyNumberFormat="0" applyFill="0" applyAlignment="0" applyProtection="0"/>
    <xf numFmtId="175" fontId="8" fillId="0" borderId="0"/>
    <xf numFmtId="175" fontId="1" fillId="0" borderId="0"/>
    <xf numFmtId="175" fontId="1" fillId="37" borderId="0" applyNumberFormat="0" applyBorder="0" applyAlignment="0" applyProtection="0"/>
    <xf numFmtId="175" fontId="25" fillId="20" borderId="0" applyNumberFormat="0" applyBorder="0" applyAlignment="0" applyProtection="0"/>
    <xf numFmtId="175" fontId="1" fillId="0" borderId="0"/>
    <xf numFmtId="168" fontId="1" fillId="0" borderId="0"/>
    <xf numFmtId="175" fontId="1" fillId="0" borderId="0"/>
    <xf numFmtId="168" fontId="1" fillId="0" borderId="0"/>
    <xf numFmtId="168" fontId="1" fillId="0" borderId="0"/>
    <xf numFmtId="175" fontId="8" fillId="0" borderId="0"/>
    <xf numFmtId="175" fontId="27" fillId="0" borderId="0" applyNumberFormat="0" applyFill="0" applyBorder="0" applyAlignment="0" applyProtection="0"/>
    <xf numFmtId="175" fontId="1" fillId="0" borderId="0"/>
    <xf numFmtId="175" fontId="1" fillId="21" borderId="0" applyNumberFormat="0" applyBorder="0" applyAlignment="0" applyProtection="0"/>
    <xf numFmtId="175" fontId="1" fillId="0" borderId="0"/>
    <xf numFmtId="175" fontId="25" fillId="39" borderId="0" applyNumberFormat="0" applyBorder="0" applyAlignment="0" applyProtection="0"/>
    <xf numFmtId="175" fontId="1" fillId="0" borderId="0"/>
    <xf numFmtId="175" fontId="25" fillId="35" borderId="0" applyNumberFormat="0" applyBorder="0" applyAlignment="0" applyProtection="0"/>
    <xf numFmtId="175" fontId="1" fillId="0" borderId="0"/>
    <xf numFmtId="175" fontId="1" fillId="0" borderId="0"/>
    <xf numFmtId="175" fontId="1" fillId="0" borderId="0"/>
    <xf numFmtId="175" fontId="1" fillId="0" borderId="0"/>
    <xf numFmtId="175" fontId="25" fillId="27" borderId="0" applyNumberFormat="0" applyBorder="0" applyAlignment="0" applyProtection="0"/>
    <xf numFmtId="175" fontId="1" fillId="0" borderId="0"/>
    <xf numFmtId="175" fontId="8" fillId="0" borderId="0"/>
    <xf numFmtId="175" fontId="1" fillId="0" borderId="0"/>
    <xf numFmtId="175" fontId="11" fillId="0" borderId="0"/>
    <xf numFmtId="175" fontId="1" fillId="0" borderId="0"/>
    <xf numFmtId="175" fontId="25" fillId="40" borderId="0" applyNumberFormat="0" applyBorder="0" applyAlignment="0" applyProtection="0"/>
    <xf numFmtId="175" fontId="22" fillId="0" borderId="0" applyNumberFormat="0" applyFill="0" applyBorder="0" applyAlignment="0" applyProtection="0"/>
    <xf numFmtId="175" fontId="1" fillId="38" borderId="0" applyNumberFormat="0" applyBorder="0" applyAlignment="0" applyProtection="0"/>
    <xf numFmtId="175" fontId="1" fillId="26" borderId="0" applyNumberFormat="0" applyBorder="0" applyAlignment="0" applyProtection="0"/>
    <xf numFmtId="175" fontId="23" fillId="0" borderId="0" applyNumberFormat="0" applyFill="0" applyBorder="0" applyAlignment="0" applyProtection="0"/>
    <xf numFmtId="175" fontId="1" fillId="25" borderId="0" applyNumberFormat="0" applyBorder="0" applyAlignment="0" applyProtection="0"/>
    <xf numFmtId="175" fontId="16" fillId="14" borderId="0" applyNumberFormat="0" applyBorder="0" applyAlignment="0" applyProtection="0"/>
    <xf numFmtId="168" fontId="1" fillId="0" borderId="0"/>
    <xf numFmtId="168" fontId="1" fillId="0" borderId="0"/>
    <xf numFmtId="175" fontId="1" fillId="33" borderId="0" applyNumberFormat="0" applyBorder="0" applyAlignment="0" applyProtection="0"/>
    <xf numFmtId="175" fontId="1" fillId="0" borderId="0"/>
    <xf numFmtId="175" fontId="1" fillId="0" borderId="0"/>
    <xf numFmtId="175" fontId="1" fillId="30" borderId="0" applyNumberFormat="0" applyBorder="0" applyAlignment="0" applyProtection="0"/>
    <xf numFmtId="175" fontId="7" fillId="6" borderId="10">
      <alignment horizontal="center" vertical="center" wrapText="1"/>
    </xf>
    <xf numFmtId="175" fontId="1" fillId="0" borderId="0"/>
    <xf numFmtId="175" fontId="7" fillId="6" borderId="10">
      <alignment horizontal="center" vertical="center" wrapText="1"/>
    </xf>
    <xf numFmtId="175" fontId="1" fillId="0" borderId="0"/>
    <xf numFmtId="175" fontId="25" fillId="36" borderId="0" applyNumberFormat="0" applyBorder="0" applyAlignment="0" applyProtection="0"/>
    <xf numFmtId="168" fontId="1" fillId="0" borderId="0"/>
    <xf numFmtId="175" fontId="1" fillId="0" borderId="0"/>
    <xf numFmtId="175" fontId="1" fillId="0" borderId="0"/>
    <xf numFmtId="175" fontId="13" fillId="0" borderId="37" applyNumberFormat="0" applyFill="0" applyAlignment="0" applyProtection="0"/>
    <xf numFmtId="175" fontId="28" fillId="0" borderId="0"/>
    <xf numFmtId="175" fontId="1" fillId="0" borderId="0"/>
    <xf numFmtId="175" fontId="1" fillId="0" borderId="0"/>
    <xf numFmtId="175" fontId="1" fillId="0" borderId="0"/>
    <xf numFmtId="168" fontId="1" fillId="0" borderId="0"/>
    <xf numFmtId="175" fontId="1" fillId="0" borderId="0"/>
    <xf numFmtId="175" fontId="1" fillId="0" borderId="0"/>
    <xf numFmtId="0" fontId="8" fillId="0" borderId="0"/>
    <xf numFmtId="175" fontId="1" fillId="0" borderId="0"/>
    <xf numFmtId="175" fontId="1" fillId="0" borderId="0"/>
    <xf numFmtId="175" fontId="1" fillId="0" borderId="0"/>
    <xf numFmtId="168" fontId="1" fillId="0" borderId="0"/>
    <xf numFmtId="9" fontId="1" fillId="0" borderId="0" applyFont="0" applyFill="0" applyBorder="0" applyAlignment="0" applyProtection="0"/>
    <xf numFmtId="0" fontId="1" fillId="0" borderId="0"/>
    <xf numFmtId="0" fontId="8" fillId="0" borderId="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30" fillId="55" borderId="0" applyNumberFormat="0" applyBorder="0" applyAlignment="0" applyProtection="0"/>
    <xf numFmtId="0" fontId="30" fillId="52" borderId="0" applyNumberFormat="0" applyBorder="0" applyAlignment="0" applyProtection="0"/>
    <xf numFmtId="0" fontId="30" fillId="53" borderId="0" applyNumberFormat="0" applyBorder="0" applyAlignment="0" applyProtection="0"/>
    <xf numFmtId="0" fontId="30"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47" borderId="0" applyNumberFormat="0" applyBorder="0" applyAlignment="0" applyProtection="0"/>
    <xf numFmtId="0" fontId="32" fillId="59" borderId="46" applyNumberFormat="0" applyAlignment="0" applyProtection="0"/>
    <xf numFmtId="0" fontId="33" fillId="60" borderId="47" applyNumberFormat="0" applyAlignment="0" applyProtection="0"/>
    <xf numFmtId="0" fontId="34" fillId="0" borderId="48" applyNumberFormat="0" applyFill="0" applyAlignment="0" applyProtection="0"/>
    <xf numFmtId="0" fontId="35" fillId="0" borderId="0" applyNumberFormat="0" applyFill="0" applyBorder="0" applyAlignment="0" applyProtection="0"/>
    <xf numFmtId="0" fontId="30" fillId="61"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0" fillId="56" borderId="0" applyNumberFormat="0" applyBorder="0" applyAlignment="0" applyProtection="0"/>
    <xf numFmtId="0" fontId="30" fillId="57" borderId="0" applyNumberFormat="0" applyBorder="0" applyAlignment="0" applyProtection="0"/>
    <xf numFmtId="0" fontId="30" fillId="64" borderId="0" applyNumberFormat="0" applyBorder="0" applyAlignment="0" applyProtection="0"/>
    <xf numFmtId="0" fontId="36" fillId="50" borderId="46" applyNumberFormat="0" applyAlignment="0" applyProtection="0"/>
    <xf numFmtId="175" fontId="8" fillId="0" borderId="0" applyFont="0" applyFill="0" applyBorder="0" applyAlignment="0" applyProtection="0"/>
    <xf numFmtId="175" fontId="8" fillId="0" borderId="0" applyFont="0" applyFill="0" applyBorder="0" applyAlignment="0" applyProtection="0"/>
    <xf numFmtId="176" fontId="37" fillId="0" borderId="0">
      <protection locked="0"/>
    </xf>
    <xf numFmtId="176" fontId="37" fillId="0" borderId="0">
      <protection locked="0"/>
    </xf>
    <xf numFmtId="176" fontId="37" fillId="0" borderId="0">
      <protection locked="0"/>
    </xf>
    <xf numFmtId="176" fontId="38" fillId="0" borderId="0">
      <protection locked="0"/>
    </xf>
    <xf numFmtId="176" fontId="39" fillId="0" borderId="0">
      <protection locked="0"/>
    </xf>
    <xf numFmtId="176" fontId="38" fillId="0" borderId="0">
      <protection locked="0"/>
    </xf>
    <xf numFmtId="176" fontId="39" fillId="0" borderId="0">
      <protection locked="0"/>
    </xf>
    <xf numFmtId="0" fontId="40" fillId="46" borderId="0" applyNumberFormat="0" applyBorder="0" applyAlignment="0" applyProtection="0"/>
    <xf numFmtId="177" fontId="8" fillId="0" borderId="0" applyFont="0" applyFill="0" applyBorder="0" applyAlignment="0" applyProtection="0"/>
    <xf numFmtId="0" fontId="41" fillId="65" borderId="0" applyNumberFormat="0" applyBorder="0" applyAlignment="0" applyProtection="0"/>
    <xf numFmtId="0" fontId="8" fillId="0" borderId="0"/>
    <xf numFmtId="175" fontId="5" fillId="0" borderId="0"/>
    <xf numFmtId="0" fontId="8" fillId="0" borderId="0"/>
    <xf numFmtId="175" fontId="5" fillId="0" borderId="0"/>
    <xf numFmtId="0" fontId="8" fillId="0" borderId="0"/>
    <xf numFmtId="175" fontId="5" fillId="0" borderId="0"/>
    <xf numFmtId="0" fontId="8" fillId="0" borderId="0"/>
    <xf numFmtId="0" fontId="8" fillId="0" borderId="0"/>
    <xf numFmtId="175" fontId="5" fillId="0" borderId="0"/>
    <xf numFmtId="175" fontId="5" fillId="0" borderId="0"/>
    <xf numFmtId="0" fontId="8" fillId="0" borderId="0"/>
    <xf numFmtId="0" fontId="8" fillId="0" borderId="0"/>
    <xf numFmtId="0" fontId="8" fillId="0" borderId="0"/>
    <xf numFmtId="175" fontId="5" fillId="0" borderId="0"/>
    <xf numFmtId="175" fontId="5" fillId="0" borderId="0"/>
    <xf numFmtId="175" fontId="5" fillId="0" borderId="0"/>
    <xf numFmtId="0" fontId="8" fillId="0" borderId="0"/>
    <xf numFmtId="0" fontId="1" fillId="0" borderId="0"/>
    <xf numFmtId="175" fontId="5" fillId="0" borderId="0"/>
    <xf numFmtId="175" fontId="5" fillId="0" borderId="0"/>
    <xf numFmtId="0" fontId="8" fillId="0" borderId="0"/>
    <xf numFmtId="0" fontId="8" fillId="0" borderId="0"/>
    <xf numFmtId="0" fontId="8" fillId="0" borderId="0"/>
    <xf numFmtId="0" fontId="49" fillId="0" borderId="0"/>
    <xf numFmtId="0" fontId="8" fillId="0" borderId="0"/>
    <xf numFmtId="0" fontId="8" fillId="0" borderId="0"/>
    <xf numFmtId="0" fontId="8" fillId="66" borderId="50" applyNumberFormat="0" applyFont="0" applyAlignment="0" applyProtection="0"/>
    <xf numFmtId="0" fontId="8" fillId="66" borderId="50" applyNumberFormat="0" applyFont="0" applyAlignment="0" applyProtection="0"/>
    <xf numFmtId="0" fontId="42" fillId="59" borderId="51" applyNumberFormat="0" applyAlignment="0" applyProtection="0"/>
    <xf numFmtId="0" fontId="50" fillId="67" borderId="0"/>
    <xf numFmtId="0" fontId="43" fillId="0" borderId="0" applyNumberFormat="0" applyFill="0" applyBorder="0" applyAlignment="0" applyProtection="0"/>
    <xf numFmtId="0" fontId="44" fillId="0" borderId="0" applyNumberFormat="0" applyFill="0" applyBorder="0" applyAlignment="0" applyProtection="0"/>
    <xf numFmtId="0" fontId="45" fillId="0" borderId="49" applyNumberFormat="0" applyFill="0" applyAlignment="0" applyProtection="0"/>
    <xf numFmtId="0" fontId="46" fillId="0" borderId="52" applyNumberFormat="0" applyFill="0" applyAlignment="0" applyProtection="0"/>
    <xf numFmtId="0" fontId="35" fillId="0" borderId="53" applyNumberFormat="0" applyFill="0" applyAlignment="0" applyProtection="0"/>
    <xf numFmtId="0" fontId="47" fillId="0" borderId="0" applyNumberFormat="0" applyFill="0" applyBorder="0" applyAlignment="0" applyProtection="0"/>
    <xf numFmtId="0" fontId="48" fillId="0" borderId="54" applyNumberFormat="0" applyFill="0" applyAlignment="0" applyProtection="0"/>
    <xf numFmtId="0" fontId="8" fillId="0" borderId="0"/>
    <xf numFmtId="0" fontId="1" fillId="0" borderId="0"/>
    <xf numFmtId="167" fontId="1" fillId="0" borderId="0" applyFont="0" applyFill="0" applyBorder="0" applyAlignment="0" applyProtection="0"/>
    <xf numFmtId="168" fontId="1" fillId="0" borderId="0"/>
    <xf numFmtId="166" fontId="1" fillId="0" borderId="0" applyFont="0" applyFill="0" applyBorder="0" applyAlignment="0" applyProtection="0"/>
    <xf numFmtId="175" fontId="1" fillId="0" borderId="0"/>
    <xf numFmtId="0" fontId="27" fillId="0" borderId="0" applyNumberFormat="0" applyFill="0" applyBorder="0" applyAlignment="0" applyProtection="0"/>
    <xf numFmtId="0" fontId="1" fillId="0" borderId="0"/>
    <xf numFmtId="175" fontId="8" fillId="0" borderId="0" applyFont="0" applyFill="0" applyBorder="0" applyAlignment="0" applyProtection="0"/>
    <xf numFmtId="175"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66" borderId="50" applyNumberFormat="0" applyFont="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68" fontId="8" fillId="0" borderId="0"/>
    <xf numFmtId="43" fontId="1" fillId="0" borderId="0" applyFont="0" applyFill="0" applyBorder="0" applyAlignment="0" applyProtection="0"/>
    <xf numFmtId="0" fontId="11" fillId="0" borderId="0"/>
    <xf numFmtId="168" fontId="1" fillId="0" borderId="0"/>
    <xf numFmtId="43" fontId="1" fillId="0" borderId="0" applyFont="0" applyFill="0" applyBorder="0" applyAlignment="0" applyProtection="0"/>
    <xf numFmtId="0" fontId="17" fillId="15" borderId="0" applyNumberFormat="0" applyBorder="0" applyAlignment="0" applyProtection="0"/>
    <xf numFmtId="43" fontId="1" fillId="0" borderId="0" applyFont="0" applyFill="0" applyBorder="0" applyAlignment="0" applyProtection="0"/>
    <xf numFmtId="0" fontId="25" fillId="23" borderId="0" applyNumberFormat="0" applyBorder="0" applyAlignment="0" applyProtection="0"/>
    <xf numFmtId="0" fontId="25" fillId="27" borderId="0" applyNumberFormat="0" applyBorder="0" applyAlignment="0" applyProtection="0"/>
    <xf numFmtId="0" fontId="25" fillId="31" borderId="0" applyNumberFormat="0" applyBorder="0" applyAlignment="0" applyProtection="0"/>
    <xf numFmtId="0" fontId="25" fillId="35" borderId="0" applyNumberFormat="0" applyBorder="0" applyAlignment="0" applyProtection="0"/>
    <xf numFmtId="0" fontId="25" fillId="39" borderId="0" applyNumberFormat="0" applyBorder="0" applyAlignment="0" applyProtection="0"/>
    <xf numFmtId="0" fontId="25" fillId="4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1"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0" fontId="28" fillId="0" borderId="0"/>
    <xf numFmtId="165"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164" fontId="8" fillId="0" borderId="0" applyFont="0" applyFill="0" applyBorder="0" applyAlignment="0" applyProtection="0"/>
    <xf numFmtId="175" fontId="1" fillId="0" borderId="0"/>
    <xf numFmtId="0" fontId="1" fillId="0" borderId="0"/>
    <xf numFmtId="168" fontId="8" fillId="0" borderId="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0" fontId="28" fillId="0" borderId="0"/>
    <xf numFmtId="168" fontId="1" fillId="0" borderId="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8" fontId="1" fillId="0" borderId="0"/>
    <xf numFmtId="43" fontId="1" fillId="0" borderId="0" applyFont="0" applyFill="0" applyBorder="0" applyAlignment="0" applyProtection="0"/>
    <xf numFmtId="165" fontId="1" fillId="0" borderId="0" applyFont="0" applyFill="0" applyBorder="0" applyAlignment="0" applyProtection="0"/>
    <xf numFmtId="168" fontId="1" fillId="0" borderId="0"/>
    <xf numFmtId="43" fontId="1" fillId="0" borderId="0" applyFont="0" applyFill="0" applyBorder="0" applyAlignment="0" applyProtection="0"/>
    <xf numFmtId="168" fontId="1" fillId="0" borderId="0"/>
    <xf numFmtId="43" fontId="1" fillId="0" borderId="0" applyFont="0" applyFill="0" applyBorder="0" applyAlignment="0" applyProtection="0"/>
    <xf numFmtId="165" fontId="1" fillId="0" borderId="0" applyFont="0" applyFill="0" applyBorder="0" applyAlignment="0" applyProtection="0"/>
    <xf numFmtId="168" fontId="1" fillId="0" borderId="0"/>
    <xf numFmtId="175" fontId="1" fillId="29" borderId="0" applyNumberFormat="0" applyBorder="0" applyAlignment="0" applyProtection="0"/>
    <xf numFmtId="175" fontId="1" fillId="0" borderId="0"/>
    <xf numFmtId="0" fontId="27" fillId="0" borderId="0" applyNumberFormat="0" applyFill="0" applyBorder="0" applyAlignment="0" applyProtection="0"/>
    <xf numFmtId="175" fontId="14" fillId="0" borderId="38" applyNumberFormat="0" applyFill="0" applyAlignment="0" applyProtection="0"/>
    <xf numFmtId="175" fontId="1" fillId="42" borderId="0" applyNumberFormat="0" applyBorder="0" applyAlignment="0" applyProtection="0"/>
    <xf numFmtId="175" fontId="10" fillId="18" borderId="43" applyNumberFormat="0" applyAlignment="0" applyProtection="0"/>
    <xf numFmtId="175" fontId="20" fillId="17" borderId="40" applyNumberFormat="0" applyAlignment="0" applyProtection="0"/>
    <xf numFmtId="165" fontId="1" fillId="0" borderId="0" applyFont="0" applyFill="0" applyBorder="0" applyAlignment="0" applyProtection="0"/>
    <xf numFmtId="175" fontId="25" fillId="31" borderId="0" applyNumberFormat="0" applyBorder="0" applyAlignment="0" applyProtection="0"/>
    <xf numFmtId="175" fontId="17" fillId="15" borderId="0" applyNumberFormat="0" applyBorder="0" applyAlignment="0" applyProtection="0"/>
    <xf numFmtId="175" fontId="25" fillId="43" borderId="0" applyNumberFormat="0" applyBorder="0" applyAlignment="0" applyProtection="0"/>
    <xf numFmtId="175" fontId="1"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8" fontId="1" fillId="0" borderId="0"/>
    <xf numFmtId="43" fontId="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1" fillId="0" borderId="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164" fontId="8" fillId="0" borderId="0" applyFont="0" applyFill="0" applyBorder="0" applyAlignment="0" applyProtection="0"/>
    <xf numFmtId="168" fontId="1" fillId="0" borderId="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175" fontId="21" fillId="0" borderId="42" applyNumberFormat="0" applyFill="0" applyAlignment="0" applyProtection="0"/>
    <xf numFmtId="175" fontId="25" fillId="28" borderId="0" applyNumberFormat="0" applyBorder="0" applyAlignment="0" applyProtection="0"/>
    <xf numFmtId="175" fontId="18" fillId="16" borderId="40" applyNumberFormat="0" applyAlignment="0" applyProtection="0"/>
    <xf numFmtId="175" fontId="25" fillId="24" borderId="0" applyNumberFormat="0" applyBorder="0" applyAlignment="0" applyProtection="0"/>
    <xf numFmtId="175" fontId="1" fillId="0" borderId="0"/>
    <xf numFmtId="175" fontId="25" fillId="32" borderId="0" applyNumberFormat="0" applyBorder="0" applyAlignment="0" applyProtection="0"/>
    <xf numFmtId="175" fontId="15" fillId="0" borderId="39" applyNumberFormat="0" applyFill="0" applyAlignment="0" applyProtection="0"/>
    <xf numFmtId="175" fontId="1" fillId="0" borderId="0"/>
    <xf numFmtId="175" fontId="1" fillId="22" borderId="0" applyNumberFormat="0" applyBorder="0" applyAlignment="0" applyProtection="0"/>
    <xf numFmtId="175" fontId="28" fillId="0" borderId="0"/>
    <xf numFmtId="175" fontId="15" fillId="0" borderId="0" applyNumberFormat="0" applyFill="0" applyBorder="0" applyAlignment="0" applyProtection="0"/>
    <xf numFmtId="175" fontId="1" fillId="19" borderId="44" applyNumberFormat="0" applyFont="0" applyAlignment="0" applyProtection="0"/>
    <xf numFmtId="175" fontId="19" fillId="17" borderId="41" applyNumberFormat="0" applyAlignment="0" applyProtection="0"/>
    <xf numFmtId="175" fontId="1" fillId="0" borderId="0"/>
    <xf numFmtId="175" fontId="8" fillId="0" borderId="0"/>
    <xf numFmtId="175" fontId="25" fillId="23" borderId="0" applyNumberFormat="0" applyBorder="0" applyAlignment="0" applyProtection="0"/>
    <xf numFmtId="175" fontId="1" fillId="41" borderId="0" applyNumberFormat="0" applyBorder="0" applyAlignment="0" applyProtection="0"/>
    <xf numFmtId="175" fontId="1" fillId="34" borderId="0" applyNumberFormat="0" applyBorder="0" applyAlignment="0" applyProtection="0"/>
    <xf numFmtId="175" fontId="24" fillId="0" borderId="45" applyNumberFormat="0" applyFill="0" applyAlignment="0" applyProtection="0"/>
    <xf numFmtId="175" fontId="8" fillId="0" borderId="0"/>
    <xf numFmtId="175" fontId="1" fillId="37" borderId="0" applyNumberFormat="0" applyBorder="0" applyAlignment="0" applyProtection="0"/>
    <xf numFmtId="175" fontId="25" fillId="20" borderId="0" applyNumberFormat="0" applyBorder="0" applyAlignment="0" applyProtection="0"/>
    <xf numFmtId="175" fontId="1" fillId="0" borderId="0"/>
    <xf numFmtId="175" fontId="8" fillId="0" borderId="0"/>
    <xf numFmtId="175" fontId="1" fillId="21" borderId="0" applyNumberFormat="0" applyBorder="0" applyAlignment="0" applyProtection="0"/>
    <xf numFmtId="175" fontId="25" fillId="39" borderId="0" applyNumberFormat="0" applyBorder="0" applyAlignment="0" applyProtection="0"/>
    <xf numFmtId="175" fontId="25" fillId="35" borderId="0" applyNumberFormat="0" applyBorder="0" applyAlignment="0" applyProtection="0"/>
    <xf numFmtId="175" fontId="1" fillId="0" borderId="0"/>
    <xf numFmtId="175" fontId="25" fillId="27" borderId="0" applyNumberFormat="0" applyBorder="0" applyAlignment="0" applyProtection="0"/>
    <xf numFmtId="175" fontId="11" fillId="0" borderId="0"/>
    <xf numFmtId="175" fontId="25" fillId="40" borderId="0" applyNumberFormat="0" applyBorder="0" applyAlignment="0" applyProtection="0"/>
    <xf numFmtId="175" fontId="22" fillId="0" borderId="0" applyNumberFormat="0" applyFill="0" applyBorder="0" applyAlignment="0" applyProtection="0"/>
    <xf numFmtId="175" fontId="1" fillId="38" borderId="0" applyNumberFormat="0" applyBorder="0" applyAlignment="0" applyProtection="0"/>
    <xf numFmtId="175" fontId="1" fillId="26" borderId="0" applyNumberFormat="0" applyBorder="0" applyAlignment="0" applyProtection="0"/>
    <xf numFmtId="175" fontId="23" fillId="0" borderId="0" applyNumberFormat="0" applyFill="0" applyBorder="0" applyAlignment="0" applyProtection="0"/>
    <xf numFmtId="175" fontId="1" fillId="25" borderId="0" applyNumberFormat="0" applyBorder="0" applyAlignment="0" applyProtection="0"/>
    <xf numFmtId="175" fontId="16" fillId="14" borderId="0" applyNumberFormat="0" applyBorder="0" applyAlignment="0" applyProtection="0"/>
    <xf numFmtId="175" fontId="1" fillId="33" borderId="0" applyNumberFormat="0" applyBorder="0" applyAlignment="0" applyProtection="0"/>
    <xf numFmtId="175" fontId="1" fillId="30" borderId="0" applyNumberFormat="0" applyBorder="0" applyAlignment="0" applyProtection="0"/>
    <xf numFmtId="175" fontId="1" fillId="0" borderId="0"/>
    <xf numFmtId="175" fontId="1" fillId="0" borderId="0"/>
    <xf numFmtId="175" fontId="25" fillId="36" borderId="0" applyNumberFormat="0" applyBorder="0" applyAlignment="0" applyProtection="0"/>
    <xf numFmtId="175" fontId="13" fillId="0" borderId="37" applyNumberFormat="0" applyFill="0" applyAlignment="0" applyProtection="0"/>
    <xf numFmtId="175" fontId="28" fillId="0" borderId="0"/>
    <xf numFmtId="0" fontId="8"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1" fillId="0" borderId="0"/>
    <xf numFmtId="43" fontId="1" fillId="0" borderId="0" applyFont="0" applyFill="0" applyBorder="0" applyAlignment="0" applyProtection="0"/>
    <xf numFmtId="168" fontId="1" fillId="0" borderId="0"/>
    <xf numFmtId="165" fontId="1" fillId="0" borderId="0" applyFont="0" applyFill="0" applyBorder="0" applyAlignment="0" applyProtection="0"/>
    <xf numFmtId="43" fontId="1" fillId="0" borderId="0" applyFont="0" applyFill="0" applyBorder="0" applyAlignment="0" applyProtection="0"/>
    <xf numFmtId="177" fontId="8" fillId="0" borderId="0" applyFont="0" applyFill="0" applyBorder="0" applyAlignment="0" applyProtection="0"/>
    <xf numFmtId="0" fontId="8" fillId="0" borderId="0"/>
    <xf numFmtId="165" fontId="1" fillId="0" borderId="0" applyFont="0" applyFill="0" applyBorder="0" applyAlignment="0" applyProtection="0"/>
    <xf numFmtId="43" fontId="1" fillId="0" borderId="0" applyFont="0" applyFill="0" applyBorder="0" applyAlignment="0" applyProtection="0"/>
    <xf numFmtId="175" fontId="5" fillId="0" borderId="0"/>
    <xf numFmtId="0" fontId="8" fillId="0" borderId="0"/>
    <xf numFmtId="168" fontId="1" fillId="0" borderId="0"/>
    <xf numFmtId="0" fontId="8" fillId="0" borderId="0"/>
    <xf numFmtId="0" fontId="8" fillId="0" borderId="0"/>
    <xf numFmtId="0" fontId="8" fillId="0" borderId="0"/>
    <xf numFmtId="168" fontId="1" fillId="0" borderId="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8" fontId="1" fillId="0" borderId="0"/>
    <xf numFmtId="43" fontId="1" fillId="0" borderId="0" applyFont="0" applyFill="0" applyBorder="0" applyAlignment="0" applyProtection="0"/>
    <xf numFmtId="168"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8" fontId="1" fillId="0" borderId="0"/>
    <xf numFmtId="43" fontId="1" fillId="0" borderId="0" applyFont="0" applyFill="0" applyBorder="0" applyAlignment="0" applyProtection="0"/>
    <xf numFmtId="168" fontId="1" fillId="0" borderId="0"/>
    <xf numFmtId="168" fontId="1" fillId="0" borderId="0"/>
    <xf numFmtId="168" fontId="1" fillId="0" borderId="0"/>
    <xf numFmtId="43" fontId="1" fillId="0" borderId="0" applyFont="0" applyFill="0" applyBorder="0" applyAlignment="0" applyProtection="0"/>
    <xf numFmtId="168" fontId="1" fillId="0" borderId="0"/>
    <xf numFmtId="165" fontId="1" fillId="0" borderId="0" applyFont="0" applyFill="0" applyBorder="0" applyAlignment="0" applyProtection="0"/>
    <xf numFmtId="168" fontId="1" fillId="0" borderId="0"/>
    <xf numFmtId="168" fontId="1" fillId="0" borderId="0"/>
    <xf numFmtId="43" fontId="1" fillId="0" borderId="0" applyFont="0" applyFill="0" applyBorder="0" applyAlignment="0" applyProtection="0"/>
    <xf numFmtId="43" fontId="1" fillId="0" borderId="0" applyFont="0" applyFill="0" applyBorder="0" applyAlignment="0" applyProtection="0"/>
    <xf numFmtId="168" fontId="1" fillId="0" borderId="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8" fontId="1" fillId="0" borderId="0"/>
    <xf numFmtId="168" fontId="1" fillId="0" borderId="0"/>
    <xf numFmtId="168" fontId="1" fillId="0" borderId="0"/>
    <xf numFmtId="43" fontId="1" fillId="0" borderId="0" applyFont="0" applyFill="0" applyBorder="0" applyAlignment="0" applyProtection="0"/>
    <xf numFmtId="168" fontId="1" fillId="0" borderId="0"/>
    <xf numFmtId="168" fontId="1" fillId="0" borderId="0"/>
    <xf numFmtId="168" fontId="1" fillId="0" borderId="0"/>
    <xf numFmtId="165" fontId="1" fillId="0" borderId="0" applyFont="0" applyFill="0" applyBorder="0" applyAlignment="0" applyProtection="0"/>
    <xf numFmtId="168" fontId="1" fillId="0" borderId="0"/>
    <xf numFmtId="168" fontId="1" fillId="0" borderId="0"/>
    <xf numFmtId="43" fontId="1" fillId="0" borderId="0" applyFont="0" applyFill="0" applyBorder="0" applyAlignment="0" applyProtection="0"/>
    <xf numFmtId="168" fontId="1" fillId="0" borderId="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8" fontId="1" fillId="0" borderId="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8" fontId="1" fillId="0" borderId="0"/>
    <xf numFmtId="43" fontId="1" fillId="0" borderId="0" applyFont="0" applyFill="0" applyBorder="0" applyAlignment="0" applyProtection="0"/>
    <xf numFmtId="43" fontId="1" fillId="0" borderId="0" applyFont="0" applyFill="0" applyBorder="0" applyAlignment="0" applyProtection="0"/>
    <xf numFmtId="168" fontId="1" fillId="0" borderId="0"/>
    <xf numFmtId="43" fontId="1" fillId="0" borderId="0" applyFont="0" applyFill="0" applyBorder="0" applyAlignment="0" applyProtection="0"/>
    <xf numFmtId="165" fontId="1" fillId="0" borderId="0" applyFont="0" applyFill="0" applyBorder="0" applyAlignment="0" applyProtection="0"/>
    <xf numFmtId="168" fontId="1" fillId="0" borderId="0"/>
    <xf numFmtId="165" fontId="1" fillId="0" borderId="0" applyFont="0" applyFill="0" applyBorder="0" applyAlignment="0" applyProtection="0"/>
    <xf numFmtId="168" fontId="1" fillId="0" borderId="0"/>
    <xf numFmtId="43" fontId="1" fillId="0" borderId="0" applyFont="0" applyFill="0" applyBorder="0" applyAlignment="0" applyProtection="0"/>
    <xf numFmtId="168" fontId="1" fillId="0" borderId="0"/>
    <xf numFmtId="43" fontId="1" fillId="0" borderId="0" applyFont="0" applyFill="0" applyBorder="0" applyAlignment="0" applyProtection="0"/>
    <xf numFmtId="165" fontId="1" fillId="0" borderId="0" applyFont="0" applyFill="0" applyBorder="0" applyAlignment="0" applyProtection="0"/>
    <xf numFmtId="168" fontId="1" fillId="0" borderId="0"/>
    <xf numFmtId="165" fontId="1" fillId="0" borderId="0" applyFont="0" applyFill="0" applyBorder="0" applyAlignment="0" applyProtection="0"/>
    <xf numFmtId="168" fontId="1" fillId="0" borderId="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1" fillId="0" borderId="0"/>
    <xf numFmtId="165" fontId="1" fillId="0" borderId="0" applyFont="0" applyFill="0" applyBorder="0" applyAlignment="0" applyProtection="0"/>
    <xf numFmtId="168" fontId="1" fillId="0" borderId="0"/>
    <xf numFmtId="168" fontId="1" fillId="0" borderId="0"/>
    <xf numFmtId="0" fontId="59" fillId="0" borderId="0"/>
    <xf numFmtId="41" fontId="60"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1" fontId="60" fillId="0" borderId="0" applyFont="0" applyFill="0" applyBorder="0" applyAlignment="0" applyProtection="0"/>
    <xf numFmtId="168" fontId="1" fillId="0" borderId="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17" fillId="15" borderId="0" applyNumberFormat="0" applyBorder="0" applyAlignment="0" applyProtection="0"/>
    <xf numFmtId="0" fontId="1" fillId="19" borderId="44" applyNumberFormat="0" applyFont="0" applyAlignment="0" applyProtection="0"/>
    <xf numFmtId="0" fontId="25" fillId="23" borderId="0" applyNumberFormat="0" applyBorder="0" applyAlignment="0" applyProtection="0"/>
    <xf numFmtId="0" fontId="25" fillId="27" borderId="0" applyNumberFormat="0" applyBorder="0" applyAlignment="0" applyProtection="0"/>
    <xf numFmtId="0" fontId="25" fillId="31" borderId="0" applyNumberFormat="0" applyBorder="0" applyAlignment="0" applyProtection="0"/>
    <xf numFmtId="0" fontId="25" fillId="35" borderId="0" applyNumberFormat="0" applyBorder="0" applyAlignment="0" applyProtection="0"/>
    <xf numFmtId="0" fontId="25" fillId="39" borderId="0" applyNumberFormat="0" applyBorder="0" applyAlignment="0" applyProtection="0"/>
    <xf numFmtId="0" fontId="25" fillId="43" borderId="0" applyNumberFormat="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60"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6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60"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6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663">
    <xf numFmtId="168" fontId="0" fillId="0" borderId="0" xfId="0"/>
    <xf numFmtId="168" fontId="2" fillId="0" borderId="0" xfId="0" applyFont="1"/>
    <xf numFmtId="168" fontId="2" fillId="2" borderId="0" xfId="0" applyFont="1" applyFill="1"/>
    <xf numFmtId="168" fontId="4" fillId="2" borderId="0" xfId="0" applyFont="1" applyFill="1" applyAlignment="1">
      <alignment horizontal="center" vertical="center"/>
    </xf>
    <xf numFmtId="168" fontId="4" fillId="0" borderId="0" xfId="0" applyFont="1" applyAlignment="1">
      <alignment horizontal="center" vertical="center"/>
    </xf>
    <xf numFmtId="168" fontId="3" fillId="2" borderId="0" xfId="0" applyFont="1" applyFill="1" applyAlignment="1">
      <alignment vertical="center"/>
    </xf>
    <xf numFmtId="168" fontId="3" fillId="0" borderId="0" xfId="0" applyFont="1" applyAlignment="1">
      <alignment vertical="center"/>
    </xf>
    <xf numFmtId="168" fontId="6" fillId="0" borderId="0" xfId="0" applyFont="1"/>
    <xf numFmtId="0" fontId="2" fillId="0" borderId="0" xfId="0" applyNumberFormat="1" applyFont="1" applyAlignment="1">
      <alignment horizontal="left" vertical="center"/>
    </xf>
    <xf numFmtId="0" fontId="2" fillId="0" borderId="0" xfId="0" applyNumberFormat="1" applyFont="1" applyAlignment="1">
      <alignment horizontal="center" vertical="center"/>
    </xf>
    <xf numFmtId="168" fontId="2" fillId="0" borderId="0" xfId="0" applyFont="1" applyAlignment="1">
      <alignment horizontal="center"/>
    </xf>
    <xf numFmtId="0" fontId="2" fillId="0" borderId="0" xfId="0" applyNumberFormat="1" applyFont="1" applyAlignment="1">
      <alignment horizontal="justify" vertical="center" wrapText="1"/>
    </xf>
    <xf numFmtId="0" fontId="2" fillId="0" borderId="0" xfId="0" applyNumberFormat="1" applyFont="1" applyAlignment="1">
      <alignment horizontal="center" vertical="center" wrapText="1"/>
    </xf>
    <xf numFmtId="168" fontId="2" fillId="0" borderId="0" xfId="0" applyFont="1" applyAlignment="1">
      <alignment horizontal="justify" vertical="center" wrapText="1"/>
    </xf>
    <xf numFmtId="168" fontId="6" fillId="2" borderId="0" xfId="0" applyFont="1" applyFill="1"/>
    <xf numFmtId="171" fontId="2" fillId="0" borderId="0" xfId="8" applyNumberFormat="1" applyFont="1" applyAlignment="1">
      <alignment horizontal="center"/>
    </xf>
    <xf numFmtId="168" fontId="2" fillId="2" borderId="0" xfId="0" applyFont="1" applyFill="1" applyAlignment="1">
      <alignment vertical="center"/>
    </xf>
    <xf numFmtId="173" fontId="2" fillId="2" borderId="0" xfId="4" applyNumberFormat="1" applyFont="1" applyFill="1" applyBorder="1"/>
    <xf numFmtId="173" fontId="2" fillId="0" borderId="0" xfId="4" applyNumberFormat="1" applyFont="1" applyFill="1" applyBorder="1"/>
    <xf numFmtId="168" fontId="3" fillId="2" borderId="0" xfId="0" applyFont="1" applyFill="1"/>
    <xf numFmtId="168" fontId="3" fillId="0" borderId="0" xfId="0" applyFont="1"/>
    <xf numFmtId="168" fontId="3" fillId="0" borderId="5" xfId="0" applyFont="1" applyBorder="1" applyAlignment="1">
      <alignment horizontal="center" vertical="center" wrapText="1"/>
    </xf>
    <xf numFmtId="168" fontId="3" fillId="0" borderId="6" xfId="0" applyFont="1" applyBorder="1" applyAlignment="1">
      <alignment horizontal="center" vertical="center" wrapText="1"/>
    </xf>
    <xf numFmtId="0" fontId="3" fillId="0" borderId="0" xfId="0" applyNumberFormat="1" applyFont="1" applyFill="1" applyAlignment="1">
      <alignment horizontal="left" vertical="center"/>
    </xf>
    <xf numFmtId="0" fontId="3" fillId="0" borderId="0" xfId="0" applyNumberFormat="1" applyFont="1" applyFill="1" applyAlignment="1">
      <alignment horizontal="center" vertical="center"/>
    </xf>
    <xf numFmtId="168" fontId="3" fillId="0" borderId="0" xfId="0" applyFont="1" applyFill="1" applyAlignment="1">
      <alignment horizontal="center"/>
    </xf>
    <xf numFmtId="168" fontId="3" fillId="0" borderId="0" xfId="0" applyFont="1" applyFill="1"/>
    <xf numFmtId="168" fontId="2" fillId="0" borderId="0" xfId="0" applyFont="1" applyFill="1"/>
    <xf numFmtId="168" fontId="6" fillId="0" borderId="0" xfId="0" applyFont="1" applyFill="1"/>
    <xf numFmtId="168" fontId="6" fillId="2" borderId="0" xfId="0" applyFont="1" applyFill="1" applyAlignment="1">
      <alignment vertical="center"/>
    </xf>
    <xf numFmtId="168" fontId="12" fillId="0" borderId="0" xfId="0" applyFont="1"/>
    <xf numFmtId="168" fontId="2" fillId="2" borderId="0" xfId="0" applyFont="1" applyFill="1" applyBorder="1"/>
    <xf numFmtId="168" fontId="4" fillId="2" borderId="0" xfId="0" applyFont="1" applyFill="1" applyBorder="1" applyAlignment="1">
      <alignment horizontal="center" vertical="center"/>
    </xf>
    <xf numFmtId="168" fontId="3" fillId="2" borderId="0" xfId="0" applyFont="1" applyFill="1" applyBorder="1" applyAlignment="1">
      <alignment vertical="center"/>
    </xf>
    <xf numFmtId="168" fontId="2" fillId="0" borderId="0" xfId="0" applyFont="1" applyFill="1" applyBorder="1"/>
    <xf numFmtId="168" fontId="6" fillId="2" borderId="0" xfId="0" applyFont="1" applyFill="1" applyBorder="1"/>
    <xf numFmtId="168" fontId="2" fillId="0" borderId="0" xfId="0" applyFont="1" applyBorder="1"/>
    <xf numFmtId="168" fontId="6" fillId="0" borderId="0" xfId="0" applyFont="1" applyFill="1" applyBorder="1"/>
    <xf numFmtId="168" fontId="3" fillId="2" borderId="0" xfId="0" applyFont="1" applyFill="1" applyBorder="1"/>
    <xf numFmtId="168" fontId="3" fillId="0" borderId="0" xfId="0" applyFont="1" applyFill="1" applyBorder="1"/>
    <xf numFmtId="168" fontId="2" fillId="2" borderId="0" xfId="0" applyFont="1" applyFill="1" applyAlignment="1">
      <alignment horizontal="center"/>
    </xf>
    <xf numFmtId="0" fontId="3" fillId="11" borderId="13" xfId="0" applyNumberFormat="1" applyFont="1" applyFill="1" applyBorder="1" applyAlignment="1">
      <alignment horizontal="left" vertical="center"/>
    </xf>
    <xf numFmtId="0" fontId="3" fillId="11" borderId="13" xfId="0" applyNumberFormat="1" applyFont="1" applyFill="1" applyBorder="1" applyAlignment="1">
      <alignment horizontal="center" vertical="center" wrapText="1"/>
    </xf>
    <xf numFmtId="168" fontId="2" fillId="2" borderId="0" xfId="0" applyFont="1" applyFill="1" applyAlignment="1">
      <alignment horizontal="justify" vertical="center"/>
    </xf>
    <xf numFmtId="0" fontId="2" fillId="0" borderId="13" xfId="0" applyNumberFormat="1" applyFont="1" applyFill="1" applyBorder="1" applyAlignment="1">
      <alignment horizontal="center" vertical="center" wrapText="1"/>
    </xf>
    <xf numFmtId="0" fontId="3" fillId="0" borderId="13" xfId="0" applyNumberFormat="1" applyFont="1" applyBorder="1" applyAlignment="1">
      <alignment horizontal="center" vertical="center" wrapText="1"/>
    </xf>
    <xf numFmtId="0" fontId="2" fillId="0" borderId="13" xfId="0" applyNumberFormat="1" applyFont="1" applyBorder="1" applyAlignment="1">
      <alignment horizontal="center" vertical="center"/>
    </xf>
    <xf numFmtId="0" fontId="2" fillId="0" borderId="13" xfId="7" applyFont="1" applyFill="1" applyBorder="1" applyAlignment="1">
      <alignment horizontal="justify" vertical="center" wrapText="1"/>
    </xf>
    <xf numFmtId="168" fontId="3" fillId="0" borderId="13" xfId="0" applyFont="1" applyBorder="1" applyAlignment="1">
      <alignment vertical="center"/>
    </xf>
    <xf numFmtId="168" fontId="2" fillId="0" borderId="13" xfId="0" applyFont="1" applyBorder="1"/>
    <xf numFmtId="43" fontId="2" fillId="0" borderId="13" xfId="1" applyFont="1" applyFill="1" applyBorder="1" applyAlignment="1">
      <alignment horizontal="justify" vertical="center"/>
    </xf>
    <xf numFmtId="0" fontId="3" fillId="0" borderId="13" xfId="0" applyNumberFormat="1" applyFont="1" applyBorder="1" applyAlignment="1">
      <alignment horizontal="center" vertical="center"/>
    </xf>
    <xf numFmtId="0" fontId="3" fillId="7" borderId="13" xfId="0" applyNumberFormat="1" applyFont="1" applyFill="1" applyBorder="1" applyAlignment="1">
      <alignment horizontal="left" vertical="center"/>
    </xf>
    <xf numFmtId="168" fontId="3" fillId="7" borderId="13" xfId="0" applyFont="1" applyFill="1" applyBorder="1" applyAlignment="1">
      <alignment horizontal="justify" vertical="center" wrapText="1"/>
    </xf>
    <xf numFmtId="168" fontId="2" fillId="0" borderId="13" xfId="0" applyFont="1" applyFill="1" applyBorder="1"/>
    <xf numFmtId="0" fontId="3" fillId="0" borderId="13"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xf>
    <xf numFmtId="168" fontId="2" fillId="0" borderId="0" xfId="0" applyFont="1" applyFill="1" applyAlignment="1">
      <alignment horizontal="left" vertical="center" wrapText="1"/>
    </xf>
    <xf numFmtId="168" fontId="2" fillId="8" borderId="3" xfId="0" applyFont="1" applyFill="1" applyBorder="1" applyAlignment="1">
      <alignment horizontal="justify" vertical="center" wrapText="1"/>
    </xf>
    <xf numFmtId="0" fontId="3" fillId="13" borderId="33" xfId="0" applyNumberFormat="1" applyFont="1" applyFill="1" applyBorder="1" applyAlignment="1">
      <alignment horizontal="left" vertical="center"/>
    </xf>
    <xf numFmtId="0" fontId="3" fillId="13" borderId="34" xfId="0" applyNumberFormat="1" applyFont="1" applyFill="1" applyBorder="1" applyAlignment="1">
      <alignment horizontal="center" vertical="center"/>
    </xf>
    <xf numFmtId="0" fontId="2" fillId="13" borderId="34" xfId="0" applyNumberFormat="1" applyFont="1" applyFill="1" applyBorder="1" applyAlignment="1">
      <alignment horizontal="center" vertical="center"/>
    </xf>
    <xf numFmtId="168" fontId="2" fillId="13" borderId="34" xfId="0" applyFont="1" applyFill="1" applyBorder="1" applyAlignment="1">
      <alignment horizontal="center"/>
    </xf>
    <xf numFmtId="168" fontId="2" fillId="0" borderId="0" xfId="0" applyFont="1" applyFill="1" applyAlignment="1">
      <alignment horizontal="center"/>
    </xf>
    <xf numFmtId="168" fontId="6" fillId="0" borderId="0" xfId="0" applyFont="1" applyAlignment="1">
      <alignment horizontal="center"/>
    </xf>
    <xf numFmtId="4" fontId="6" fillId="0" borderId="0" xfId="0" applyNumberFormat="1" applyFont="1" applyAlignment="1">
      <alignment horizontal="center"/>
    </xf>
    <xf numFmtId="168" fontId="6" fillId="0" borderId="0" xfId="0" applyFont="1" applyAlignment="1">
      <alignment wrapText="1"/>
    </xf>
    <xf numFmtId="168" fontId="6" fillId="0" borderId="0" xfId="0" applyFont="1" applyAlignment="1">
      <alignment horizontal="center" vertical="center"/>
    </xf>
    <xf numFmtId="0" fontId="3" fillId="11" borderId="16" xfId="0" applyNumberFormat="1" applyFont="1" applyFill="1" applyBorder="1" applyAlignment="1">
      <alignment horizontal="left" vertical="center"/>
    </xf>
    <xf numFmtId="0" fontId="2" fillId="44" borderId="13" xfId="0" applyNumberFormat="1" applyFont="1" applyFill="1" applyBorder="1" applyAlignment="1">
      <alignment horizontal="center" vertical="center" wrapText="1"/>
    </xf>
    <xf numFmtId="0" fontId="2" fillId="44" borderId="13" xfId="0" applyNumberFormat="1" applyFont="1" applyFill="1" applyBorder="1" applyAlignment="1">
      <alignment vertical="center"/>
    </xf>
    <xf numFmtId="0" fontId="2" fillId="44" borderId="13" xfId="0" applyNumberFormat="1" applyFont="1" applyFill="1" applyBorder="1" applyAlignment="1">
      <alignment horizontal="justify" vertical="center" wrapText="1"/>
    </xf>
    <xf numFmtId="0" fontId="2" fillId="44" borderId="13" xfId="0" applyNumberFormat="1" applyFont="1" applyFill="1" applyBorder="1" applyAlignment="1">
      <alignment horizontal="justify" vertical="center"/>
    </xf>
    <xf numFmtId="0" fontId="2" fillId="0" borderId="16" xfId="0" applyNumberFormat="1" applyFont="1" applyFill="1" applyBorder="1" applyAlignment="1">
      <alignment horizontal="center" vertical="center" wrapText="1"/>
    </xf>
    <xf numFmtId="0" fontId="2" fillId="0" borderId="3" xfId="9"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3" xfId="7" applyFont="1" applyFill="1" applyBorder="1" applyAlignment="1">
      <alignment horizontal="center" vertical="center" wrapText="1"/>
    </xf>
    <xf numFmtId="168" fontId="4" fillId="0" borderId="0" xfId="0" applyFont="1" applyFill="1" applyAlignment="1">
      <alignment horizontal="center" vertical="center"/>
    </xf>
    <xf numFmtId="168" fontId="51" fillId="9" borderId="59" xfId="0" applyFont="1" applyFill="1" applyBorder="1" applyAlignment="1">
      <alignment horizontal="center" vertical="center" wrapText="1"/>
    </xf>
    <xf numFmtId="168" fontId="51" fillId="0" borderId="59" xfId="0" applyFont="1" applyBorder="1" applyAlignment="1">
      <alignment horizontal="center" vertical="center" wrapText="1"/>
    </xf>
    <xf numFmtId="168" fontId="6" fillId="0" borderId="59" xfId="0" applyFont="1" applyBorder="1" applyAlignment="1">
      <alignment horizontal="center" vertical="center" wrapText="1"/>
    </xf>
    <xf numFmtId="168" fontId="51" fillId="9" borderId="59" xfId="0" applyFont="1" applyFill="1" applyBorder="1" applyAlignment="1">
      <alignment horizontal="center" vertical="center"/>
    </xf>
    <xf numFmtId="168" fontId="51" fillId="0" borderId="59" xfId="0" applyFont="1" applyBorder="1" applyAlignment="1">
      <alignment horizontal="center" vertical="center"/>
    </xf>
    <xf numFmtId="168" fontId="6" fillId="0" borderId="59" xfId="0" applyFont="1" applyBorder="1" applyAlignment="1">
      <alignment horizontal="center" vertical="center"/>
    </xf>
    <xf numFmtId="1" fontId="51" fillId="9" borderId="59" xfId="0" applyNumberFormat="1" applyFont="1" applyFill="1" applyBorder="1" applyAlignment="1">
      <alignment horizontal="center" vertical="center"/>
    </xf>
    <xf numFmtId="168" fontId="51" fillId="0" borderId="58" xfId="0" applyFont="1" applyBorder="1" applyAlignment="1">
      <alignment horizontal="justify" vertical="center" wrapText="1"/>
    </xf>
    <xf numFmtId="168" fontId="6" fillId="0" borderId="58" xfId="0" applyFont="1" applyBorder="1" applyAlignment="1">
      <alignment horizontal="justify" vertical="center" wrapText="1"/>
    </xf>
    <xf numFmtId="168" fontId="51" fillId="9" borderId="58" xfId="0" applyFont="1" applyFill="1" applyBorder="1" applyAlignment="1">
      <alignment horizontal="justify" vertical="center" wrapText="1"/>
    </xf>
    <xf numFmtId="0" fontId="6" fillId="0" borderId="58" xfId="0" applyNumberFormat="1" applyFont="1" applyBorder="1" applyAlignment="1">
      <alignment horizontal="justify" vertical="center" wrapText="1"/>
    </xf>
    <xf numFmtId="168" fontId="51" fillId="9" borderId="64" xfId="0" applyFont="1" applyFill="1" applyBorder="1" applyAlignment="1">
      <alignment horizontal="center" vertical="center"/>
    </xf>
    <xf numFmtId="168" fontId="51" fillId="0" borderId="0" xfId="0" applyFont="1" applyBorder="1" applyAlignment="1">
      <alignment horizontal="justify" vertical="center" wrapText="1"/>
    </xf>
    <xf numFmtId="168" fontId="6" fillId="0" borderId="0" xfId="0" applyFont="1" applyAlignment="1">
      <alignment vertical="center"/>
    </xf>
    <xf numFmtId="0" fontId="3" fillId="11" borderId="13" xfId="0" applyNumberFormat="1" applyFont="1" applyFill="1" applyBorder="1" applyAlignment="1">
      <alignment vertical="center"/>
    </xf>
    <xf numFmtId="0" fontId="2" fillId="0" borderId="0" xfId="0" applyNumberFormat="1" applyFont="1" applyBorder="1" applyAlignment="1">
      <alignment horizontal="center" vertical="center"/>
    </xf>
    <xf numFmtId="168" fontId="2" fillId="0" borderId="0" xfId="0" applyFont="1" applyBorder="1" applyAlignment="1">
      <alignment horizontal="center"/>
    </xf>
    <xf numFmtId="168" fontId="6" fillId="0" borderId="13" xfId="0" applyFont="1" applyBorder="1"/>
    <xf numFmtId="168" fontId="6" fillId="0" borderId="13" xfId="0" applyFont="1" applyFill="1" applyBorder="1"/>
    <xf numFmtId="168" fontId="2" fillId="0" borderId="0" xfId="0" applyFont="1" applyBorder="1" applyAlignment="1">
      <alignment horizontal="justify"/>
    </xf>
    <xf numFmtId="43" fontId="3" fillId="11" borderId="13" xfId="1" applyFont="1" applyFill="1" applyBorder="1" applyAlignment="1">
      <alignment vertical="center"/>
    </xf>
    <xf numFmtId="168" fontId="3" fillId="7" borderId="13" xfId="0" applyFont="1" applyFill="1" applyBorder="1" applyAlignment="1">
      <alignment horizontal="center" vertical="center"/>
    </xf>
    <xf numFmtId="43" fontId="3" fillId="7" borderId="13" xfId="0" applyNumberFormat="1" applyFont="1" applyFill="1" applyBorder="1" applyAlignment="1">
      <alignment vertical="center"/>
    </xf>
    <xf numFmtId="43" fontId="3" fillId="7" borderId="13" xfId="0" applyNumberFormat="1" applyFont="1" applyFill="1" applyBorder="1" applyAlignment="1">
      <alignment horizontal="center" vertical="center"/>
    </xf>
    <xf numFmtId="168" fontId="3" fillId="7" borderId="0" xfId="0" applyFont="1" applyFill="1" applyAlignment="1">
      <alignment vertical="center"/>
    </xf>
    <xf numFmtId="43" fontId="3" fillId="8" borderId="9" xfId="0" applyNumberFormat="1" applyFont="1" applyFill="1" applyBorder="1" applyAlignment="1">
      <alignment vertical="center"/>
    </xf>
    <xf numFmtId="43" fontId="3" fillId="8" borderId="3" xfId="0" applyNumberFormat="1" applyFont="1" applyFill="1" applyBorder="1" applyAlignment="1">
      <alignment horizontal="center" vertical="center"/>
    </xf>
    <xf numFmtId="168" fontId="2" fillId="8" borderId="0" xfId="0" applyFont="1" applyFill="1" applyAlignment="1">
      <alignment vertical="center"/>
    </xf>
    <xf numFmtId="168" fontId="51" fillId="0" borderId="59" xfId="0" applyFont="1" applyFill="1" applyBorder="1" applyAlignment="1">
      <alignment horizontal="center" vertical="center" wrapText="1"/>
    </xf>
    <xf numFmtId="168" fontId="6" fillId="0" borderId="59" xfId="0" applyFont="1" applyFill="1" applyBorder="1" applyAlignment="1">
      <alignment horizontal="center" vertical="center" wrapText="1"/>
    </xf>
    <xf numFmtId="10" fontId="6" fillId="0" borderId="57" xfId="282" applyNumberFormat="1" applyFont="1" applyBorder="1" applyAlignment="1">
      <alignment horizontal="center" vertical="center"/>
    </xf>
    <xf numFmtId="0" fontId="3" fillId="7" borderId="15" xfId="0" applyNumberFormat="1" applyFont="1" applyFill="1" applyBorder="1" applyAlignment="1">
      <alignment horizontal="left" vertical="center"/>
    </xf>
    <xf numFmtId="0" fontId="3" fillId="7" borderId="18" xfId="0" applyNumberFormat="1" applyFont="1" applyFill="1" applyBorder="1" applyAlignment="1">
      <alignment horizontal="center" vertical="center"/>
    </xf>
    <xf numFmtId="168" fontId="3" fillId="7" borderId="18" xfId="0" applyFont="1" applyFill="1" applyBorder="1" applyAlignment="1">
      <alignment horizontal="center" vertical="center"/>
    </xf>
    <xf numFmtId="0" fontId="3" fillId="7" borderId="18" xfId="0" applyNumberFormat="1" applyFont="1" applyFill="1" applyBorder="1" applyAlignment="1">
      <alignment horizontal="justify" vertical="center" wrapText="1"/>
    </xf>
    <xf numFmtId="168" fontId="3" fillId="7" borderId="18" xfId="0" applyFont="1" applyFill="1" applyBorder="1" applyAlignment="1">
      <alignment horizontal="justify" vertical="center" wrapText="1"/>
    </xf>
    <xf numFmtId="0" fontId="3" fillId="7" borderId="18" xfId="0" applyNumberFormat="1" applyFont="1" applyFill="1" applyBorder="1" applyAlignment="1">
      <alignment horizontal="center" vertical="center" wrapText="1"/>
    </xf>
    <xf numFmtId="0" fontId="3" fillId="7" borderId="16" xfId="0" applyNumberFormat="1" applyFont="1" applyFill="1" applyBorder="1" applyAlignment="1">
      <alignment horizontal="center" vertical="center" wrapText="1"/>
    </xf>
    <xf numFmtId="168" fontId="2" fillId="8" borderId="9" xfId="0" applyFont="1" applyFill="1" applyBorder="1" applyAlignment="1">
      <alignment horizontal="center" vertical="center"/>
    </xf>
    <xf numFmtId="0" fontId="2" fillId="8" borderId="18" xfId="0" applyNumberFormat="1" applyFont="1" applyFill="1" applyBorder="1" applyAlignment="1">
      <alignment horizontal="left" vertical="center"/>
    </xf>
    <xf numFmtId="0" fontId="2" fillId="8" borderId="18" xfId="0" applyNumberFormat="1" applyFont="1" applyFill="1" applyBorder="1" applyAlignment="1">
      <alignment horizontal="center" vertical="center"/>
    </xf>
    <xf numFmtId="168" fontId="2" fillId="8" borderId="18" xfId="0" applyFont="1" applyFill="1" applyBorder="1" applyAlignment="1">
      <alignment horizontal="center" vertical="center"/>
    </xf>
    <xf numFmtId="0" fontId="2" fillId="8" borderId="18" xfId="0" applyNumberFormat="1" applyFont="1" applyFill="1" applyBorder="1" applyAlignment="1">
      <alignment horizontal="justify" vertical="center" wrapText="1"/>
    </xf>
    <xf numFmtId="168" fontId="2" fillId="8" borderId="18" xfId="0" applyFont="1" applyFill="1" applyBorder="1" applyAlignment="1">
      <alignment horizontal="justify" vertical="center" wrapText="1"/>
    </xf>
    <xf numFmtId="0" fontId="2" fillId="8" borderId="18" xfId="0" applyNumberFormat="1" applyFont="1" applyFill="1" applyBorder="1" applyAlignment="1">
      <alignment horizontal="center" vertical="center" wrapText="1"/>
    </xf>
    <xf numFmtId="0" fontId="2" fillId="8" borderId="16" xfId="0" applyNumberFormat="1" applyFont="1" applyFill="1" applyBorder="1" applyAlignment="1">
      <alignment horizontal="center" vertical="center" wrapText="1"/>
    </xf>
    <xf numFmtId="43" fontId="2" fillId="0" borderId="13" xfId="1" applyFont="1" applyFill="1" applyBorder="1" applyAlignment="1">
      <alignment vertical="center"/>
    </xf>
    <xf numFmtId="167" fontId="2" fillId="0" borderId="3" xfId="5" applyFont="1" applyFill="1" applyBorder="1" applyAlignment="1" applyProtection="1">
      <alignment horizontal="right" vertical="center"/>
      <protection locked="0"/>
    </xf>
    <xf numFmtId="168" fontId="52" fillId="0" borderId="0" xfId="0" applyFont="1"/>
    <xf numFmtId="0" fontId="28" fillId="0" borderId="0" xfId="94" applyFont="1"/>
    <xf numFmtId="0" fontId="28" fillId="0" borderId="0" xfId="94" applyFont="1" applyFill="1"/>
    <xf numFmtId="0" fontId="6" fillId="0" borderId="3" xfId="94" applyFont="1" applyBorder="1" applyAlignment="1">
      <alignment horizontal="center" vertical="center"/>
    </xf>
    <xf numFmtId="0" fontId="6" fillId="0" borderId="3" xfId="94" applyFont="1" applyBorder="1" applyAlignment="1">
      <alignment horizontal="left" vertical="center"/>
    </xf>
    <xf numFmtId="167" fontId="2" fillId="0" borderId="3" xfId="103" applyNumberFormat="1" applyFont="1" applyBorder="1" applyAlignment="1">
      <alignment horizontal="right" vertical="center"/>
    </xf>
    <xf numFmtId="9" fontId="2" fillId="0" borderId="3" xfId="96" applyFont="1" applyBorder="1" applyAlignment="1">
      <alignment horizontal="center" vertical="center"/>
    </xf>
    <xf numFmtId="167" fontId="2" fillId="0" borderId="3" xfId="96" applyNumberFormat="1" applyFont="1" applyBorder="1" applyAlignment="1">
      <alignment horizontal="center" vertical="center"/>
    </xf>
    <xf numFmtId="167" fontId="2" fillId="0" borderId="3" xfId="103" applyNumberFormat="1" applyFont="1" applyFill="1" applyBorder="1" applyAlignment="1">
      <alignment horizontal="right" vertical="center"/>
    </xf>
    <xf numFmtId="167" fontId="2" fillId="0" borderId="3" xfId="282" applyNumberFormat="1" applyFont="1" applyFill="1" applyBorder="1" applyAlignment="1">
      <alignment horizontal="right" vertical="center"/>
    </xf>
    <xf numFmtId="167" fontId="2" fillId="0" borderId="3" xfId="282" applyNumberFormat="1" applyFont="1" applyBorder="1" applyAlignment="1">
      <alignment horizontal="center" vertical="center"/>
    </xf>
    <xf numFmtId="167" fontId="6" fillId="0" borderId="3" xfId="103" applyNumberFormat="1" applyFont="1" applyBorder="1" applyAlignment="1">
      <alignment vertical="center"/>
    </xf>
    <xf numFmtId="0" fontId="28" fillId="0" borderId="0" xfId="94" applyFont="1" applyAlignment="1">
      <alignment vertical="center"/>
    </xf>
    <xf numFmtId="167" fontId="6" fillId="0" borderId="3" xfId="103" applyNumberFormat="1" applyFont="1" applyFill="1" applyBorder="1" applyAlignment="1">
      <alignment vertical="center"/>
    </xf>
    <xf numFmtId="0" fontId="6" fillId="0" borderId="3" xfId="94" applyFont="1" applyBorder="1" applyAlignment="1">
      <alignment horizontal="left" vertical="center" wrapText="1"/>
    </xf>
    <xf numFmtId="0" fontId="2" fillId="0" borderId="3" xfId="94" applyFont="1" applyBorder="1" applyAlignment="1">
      <alignment horizontal="center" vertical="center"/>
    </xf>
    <xf numFmtId="167" fontId="2" fillId="0" borderId="3" xfId="94" applyNumberFormat="1" applyFont="1" applyBorder="1" applyAlignment="1">
      <alignment horizontal="right" vertical="center"/>
    </xf>
    <xf numFmtId="0" fontId="8" fillId="0" borderId="0" xfId="94" applyFont="1" applyAlignment="1">
      <alignment vertical="center"/>
    </xf>
    <xf numFmtId="167" fontId="2" fillId="0" borderId="3" xfId="103" applyNumberFormat="1" applyFont="1" applyBorder="1" applyAlignment="1">
      <alignment vertical="center"/>
    </xf>
    <xf numFmtId="0" fontId="54" fillId="0" borderId="0" xfId="94" applyFont="1" applyFill="1" applyAlignment="1">
      <alignment vertical="center"/>
    </xf>
    <xf numFmtId="170" fontId="28" fillId="0" borderId="0" xfId="103" applyNumberFormat="1" applyFont="1"/>
    <xf numFmtId="0" fontId="28" fillId="0" borderId="0" xfId="94" applyFont="1" applyAlignment="1">
      <alignment horizontal="left"/>
    </xf>
    <xf numFmtId="170" fontId="8" fillId="0" borderId="0" xfId="103" applyNumberFormat="1" applyFont="1" applyFill="1" applyBorder="1" applyAlignment="1">
      <alignment horizontal="center" vertical="center" wrapText="1"/>
    </xf>
    <xf numFmtId="170" fontId="8" fillId="0" borderId="0" xfId="103" applyNumberFormat="1" applyFont="1" applyFill="1" applyBorder="1"/>
    <xf numFmtId="0" fontId="10" fillId="2" borderId="0" xfId="94" applyFont="1" applyFill="1" applyBorder="1"/>
    <xf numFmtId="0" fontId="10" fillId="2" borderId="0" xfId="94" applyFont="1" applyFill="1" applyBorder="1" applyAlignment="1">
      <alignment horizontal="center"/>
    </xf>
    <xf numFmtId="9" fontId="25" fillId="2" borderId="0" xfId="282" applyFont="1" applyFill="1" applyBorder="1" applyAlignment="1">
      <alignment horizontal="center"/>
    </xf>
    <xf numFmtId="170" fontId="8" fillId="0" borderId="0" xfId="103" applyNumberFormat="1" applyFont="1"/>
    <xf numFmtId="9" fontId="29" fillId="0" borderId="0" xfId="282" applyFont="1" applyFill="1" applyBorder="1" applyAlignment="1">
      <alignment horizontal="center" vertical="center"/>
    </xf>
    <xf numFmtId="9" fontId="29" fillId="2" borderId="0" xfId="282" applyFont="1" applyFill="1" applyBorder="1" applyAlignment="1">
      <alignment horizontal="center" vertical="center"/>
    </xf>
    <xf numFmtId="0" fontId="25" fillId="2" borderId="0" xfId="94" applyFont="1" applyFill="1" applyBorder="1"/>
    <xf numFmtId="170" fontId="29" fillId="2" borderId="0" xfId="103" applyNumberFormat="1" applyFont="1" applyFill="1" applyBorder="1"/>
    <xf numFmtId="10" fontId="29" fillId="2" borderId="0" xfId="282" applyNumberFormat="1" applyFont="1" applyFill="1" applyBorder="1" applyAlignment="1">
      <alignment horizontal="center" vertical="center"/>
    </xf>
    <xf numFmtId="10" fontId="29" fillId="2" borderId="0" xfId="282" applyNumberFormat="1" applyFont="1" applyFill="1" applyBorder="1" applyAlignment="1">
      <alignment horizontal="center"/>
    </xf>
    <xf numFmtId="167" fontId="25" fillId="2" borderId="0" xfId="94" applyNumberFormat="1" applyFont="1" applyFill="1" applyBorder="1" applyAlignment="1">
      <alignment horizontal="left"/>
    </xf>
    <xf numFmtId="0" fontId="8" fillId="0" borderId="0" xfId="94" applyFont="1"/>
    <xf numFmtId="10" fontId="8" fillId="0" borderId="0" xfId="282" applyNumberFormat="1" applyFont="1" applyFill="1" applyBorder="1"/>
    <xf numFmtId="10" fontId="3" fillId="0" borderId="3" xfId="0" applyNumberFormat="1" applyFont="1" applyFill="1" applyBorder="1" applyAlignment="1" applyProtection="1">
      <alignment horizontal="center" vertical="center"/>
      <protection locked="0"/>
    </xf>
    <xf numFmtId="10" fontId="2" fillId="44" borderId="13" xfId="282" applyNumberFormat="1" applyFont="1" applyFill="1" applyBorder="1" applyAlignment="1">
      <alignment horizontal="center" vertical="center"/>
    </xf>
    <xf numFmtId="0" fontId="2" fillId="69" borderId="3" xfId="393" applyNumberFormat="1" applyFont="1" applyFill="1" applyBorder="1" applyAlignment="1">
      <alignment vertical="center" wrapText="1"/>
    </xf>
    <xf numFmtId="0" fontId="2" fillId="4" borderId="3" xfId="393" applyNumberFormat="1" applyFont="1" applyFill="1" applyBorder="1" applyAlignment="1">
      <alignment vertical="center" wrapText="1"/>
    </xf>
    <xf numFmtId="0" fontId="2" fillId="68" borderId="3" xfId="393" applyNumberFormat="1" applyFont="1" applyFill="1" applyBorder="1" applyAlignment="1">
      <alignment vertical="center" wrapText="1"/>
    </xf>
    <xf numFmtId="0" fontId="2" fillId="5" borderId="3" xfId="393" applyNumberFormat="1" applyFont="1" applyFill="1" applyBorder="1" applyAlignment="1">
      <alignment vertical="center" wrapText="1"/>
    </xf>
    <xf numFmtId="0" fontId="2" fillId="70" borderId="3" xfId="393" applyNumberFormat="1" applyFont="1" applyFill="1" applyBorder="1" applyAlignment="1">
      <alignment vertical="center" wrapText="1"/>
    </xf>
    <xf numFmtId="0" fontId="3" fillId="0" borderId="0" xfId="393" applyNumberFormat="1" applyFont="1" applyFill="1" applyBorder="1" applyAlignment="1">
      <alignment vertical="center" wrapText="1"/>
    </xf>
    <xf numFmtId="0" fontId="2" fillId="0" borderId="0" xfId="393" applyNumberFormat="1" applyFont="1" applyFill="1" applyBorder="1" applyAlignment="1">
      <alignment vertical="center" wrapText="1"/>
    </xf>
    <xf numFmtId="168" fontId="0" fillId="0" borderId="0" xfId="0" applyFill="1" applyBorder="1"/>
    <xf numFmtId="0" fontId="3" fillId="0" borderId="3" xfId="393" applyNumberFormat="1" applyFont="1" applyBorder="1" applyAlignment="1">
      <alignment vertical="center" wrapText="1"/>
    </xf>
    <xf numFmtId="43" fontId="2" fillId="0" borderId="0" xfId="1" applyFont="1" applyBorder="1" applyAlignment="1">
      <alignment horizontal="center"/>
    </xf>
    <xf numFmtId="43" fontId="2" fillId="0" borderId="0" xfId="1" applyFont="1" applyAlignment="1">
      <alignment horizontal="center"/>
    </xf>
    <xf numFmtId="43" fontId="3" fillId="0" borderId="0" xfId="1" applyFont="1" applyFill="1" applyAlignment="1">
      <alignment horizontal="center"/>
    </xf>
    <xf numFmtId="0" fontId="3" fillId="0" borderId="0" xfId="0" applyNumberFormat="1" applyFont="1" applyBorder="1" applyAlignment="1">
      <alignment horizontal="center" vertical="center" wrapText="1"/>
    </xf>
    <xf numFmtId="0" fontId="3" fillId="0" borderId="55" xfId="0" applyNumberFormat="1" applyFont="1" applyFill="1" applyBorder="1" applyAlignment="1">
      <alignment horizontal="center" vertical="center" wrapText="1"/>
    </xf>
    <xf numFmtId="0" fontId="3" fillId="0" borderId="56" xfId="0" applyNumberFormat="1" applyFont="1" applyFill="1" applyBorder="1" applyAlignment="1">
      <alignment horizontal="center" vertical="center" wrapText="1"/>
    </xf>
    <xf numFmtId="0" fontId="3" fillId="0" borderId="67" xfId="0" applyNumberFormat="1" applyFont="1" applyFill="1" applyBorder="1" applyAlignment="1">
      <alignment horizontal="center" vertical="center" wrapText="1"/>
    </xf>
    <xf numFmtId="0" fontId="3" fillId="0" borderId="66" xfId="0" applyNumberFormat="1" applyFont="1" applyFill="1" applyBorder="1" applyAlignment="1">
      <alignment horizontal="center" vertical="center" wrapText="1"/>
    </xf>
    <xf numFmtId="0" fontId="3" fillId="11" borderId="22" xfId="0" applyNumberFormat="1" applyFont="1" applyFill="1" applyBorder="1" applyAlignment="1">
      <alignment horizontal="center" vertical="center" wrapText="1"/>
    </xf>
    <xf numFmtId="168" fontId="2" fillId="0" borderId="0" xfId="0" applyFont="1" applyBorder="1" applyAlignment="1">
      <alignment horizontal="justify" vertical="center" wrapText="1"/>
    </xf>
    <xf numFmtId="0" fontId="2" fillId="0" borderId="12" xfId="0" applyNumberFormat="1" applyFont="1" applyFill="1" applyBorder="1" applyAlignment="1">
      <alignment horizontal="center" vertical="center" wrapText="1"/>
    </xf>
    <xf numFmtId="168" fontId="3" fillId="0" borderId="0" xfId="0" applyFont="1" applyBorder="1" applyAlignment="1">
      <alignment vertical="center" wrapText="1"/>
    </xf>
    <xf numFmtId="0" fontId="2" fillId="0" borderId="13" xfId="0" applyNumberFormat="1" applyFont="1" applyBorder="1" applyAlignment="1">
      <alignment horizontal="center" vertical="center" wrapText="1"/>
    </xf>
    <xf numFmtId="0" fontId="2" fillId="0" borderId="13" xfId="0" applyNumberFormat="1" applyFont="1" applyFill="1" applyBorder="1" applyAlignment="1">
      <alignment horizontal="justify" vertical="center" wrapText="1"/>
    </xf>
    <xf numFmtId="168" fontId="2" fillId="0" borderId="13" xfId="0" applyFont="1" applyFill="1" applyBorder="1" applyAlignment="1">
      <alignment horizontal="justify" vertical="center" wrapText="1"/>
    </xf>
    <xf numFmtId="0" fontId="2" fillId="0" borderId="4" xfId="0" applyNumberFormat="1" applyFont="1" applyBorder="1" applyAlignment="1">
      <alignment horizontal="center" vertical="center" wrapText="1"/>
    </xf>
    <xf numFmtId="0" fontId="2" fillId="0" borderId="55" xfId="0" applyNumberFormat="1" applyFont="1" applyBorder="1" applyAlignment="1">
      <alignment horizontal="center" vertical="center" wrapText="1"/>
    </xf>
    <xf numFmtId="0" fontId="2" fillId="0" borderId="16" xfId="0" applyNumberFormat="1" applyFont="1" applyFill="1" applyBorder="1" applyAlignment="1">
      <alignment horizontal="center" vertical="center"/>
    </xf>
    <xf numFmtId="43" fontId="2" fillId="0" borderId="13" xfId="1" applyFont="1" applyFill="1" applyBorder="1" applyAlignment="1">
      <alignment horizontal="left" vertical="center"/>
    </xf>
    <xf numFmtId="0" fontId="2" fillId="0" borderId="5"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31" xfId="0" applyNumberFormat="1" applyFont="1" applyFill="1" applyBorder="1" applyAlignment="1">
      <alignment horizontal="center" vertical="center"/>
    </xf>
    <xf numFmtId="168" fontId="2" fillId="0" borderId="32" xfId="0" applyFont="1" applyFill="1" applyBorder="1" applyAlignment="1">
      <alignment horizontal="justify" vertical="center" wrapText="1"/>
    </xf>
    <xf numFmtId="43" fontId="2" fillId="0" borderId="32" xfId="1" applyFont="1" applyFill="1" applyBorder="1" applyAlignment="1">
      <alignment vertical="center"/>
    </xf>
    <xf numFmtId="0" fontId="2" fillId="0" borderId="56" xfId="0" applyNumberFormat="1" applyFont="1" applyFill="1" applyBorder="1" applyAlignment="1">
      <alignment horizontal="center" vertical="center" wrapText="1"/>
    </xf>
    <xf numFmtId="0" fontId="2" fillId="0" borderId="67"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56"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66" xfId="0" applyNumberFormat="1" applyFont="1" applyBorder="1" applyAlignment="1">
      <alignment horizontal="center" vertical="center" wrapText="1"/>
    </xf>
    <xf numFmtId="0" fontId="2" fillId="0" borderId="66" xfId="0" applyNumberFormat="1" applyFont="1" applyFill="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55"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67" xfId="0" applyNumberFormat="1" applyFont="1" applyBorder="1" applyAlignment="1">
      <alignment horizontal="center" vertical="center" wrapText="1"/>
    </xf>
    <xf numFmtId="168" fontId="2" fillId="0" borderId="0" xfId="0" applyFont="1" applyFill="1" applyAlignment="1">
      <alignment vertical="center"/>
    </xf>
    <xf numFmtId="0" fontId="2" fillId="2" borderId="9"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168" fontId="2" fillId="0" borderId="3" xfId="0" applyFont="1" applyFill="1" applyBorder="1" applyAlignment="1">
      <alignment horizontal="justify" vertical="center" wrapText="1"/>
    </xf>
    <xf numFmtId="43" fontId="2" fillId="0" borderId="3" xfId="1" applyFont="1" applyFill="1" applyBorder="1" applyAlignment="1">
      <alignment horizontal="left" vertical="center"/>
    </xf>
    <xf numFmtId="0" fontId="2" fillId="0" borderId="3" xfId="0" applyNumberFormat="1" applyFont="1" applyFill="1" applyBorder="1" applyAlignment="1">
      <alignment horizontal="justify" vertical="center" wrapText="1"/>
    </xf>
    <xf numFmtId="0" fontId="2" fillId="0" borderId="3" xfId="0" applyNumberFormat="1" applyFont="1" applyFill="1" applyBorder="1" applyAlignment="1">
      <alignment horizontal="center" vertical="center"/>
    </xf>
    <xf numFmtId="168" fontId="2" fillId="0" borderId="16" xfId="0" applyFont="1" applyFill="1" applyBorder="1" applyAlignment="1">
      <alignment horizontal="justify" vertical="center" wrapText="1"/>
    </xf>
    <xf numFmtId="168" fontId="2" fillId="0" borderId="13" xfId="0" applyFont="1" applyFill="1" applyBorder="1" applyAlignment="1">
      <alignment horizontal="justify" vertical="center"/>
    </xf>
    <xf numFmtId="0" fontId="2" fillId="0" borderId="56"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56" xfId="0" applyNumberFormat="1" applyFont="1" applyBorder="1" applyAlignment="1">
      <alignment horizontal="center" vertical="center"/>
    </xf>
    <xf numFmtId="0" fontId="2" fillId="0" borderId="16" xfId="0" applyNumberFormat="1" applyFont="1" applyBorder="1" applyAlignment="1">
      <alignment horizontal="center" vertical="center"/>
    </xf>
    <xf numFmtId="43" fontId="2" fillId="0" borderId="13" xfId="1" applyFont="1" applyBorder="1" applyAlignment="1">
      <alignment horizontal="left" vertical="center"/>
    </xf>
    <xf numFmtId="0" fontId="2" fillId="0" borderId="12" xfId="0" applyNumberFormat="1" applyFont="1" applyBorder="1" applyAlignment="1">
      <alignment horizontal="center" vertical="center"/>
    </xf>
    <xf numFmtId="0" fontId="2" fillId="0" borderId="13" xfId="0" applyNumberFormat="1" applyFont="1" applyFill="1" applyBorder="1" applyAlignment="1">
      <alignment horizontal="justify" vertical="center"/>
    </xf>
    <xf numFmtId="168" fontId="3" fillId="0" borderId="0" xfId="0" applyFont="1" applyFill="1" applyBorder="1" applyAlignment="1">
      <alignment horizontal="left" vertical="center"/>
    </xf>
    <xf numFmtId="168" fontId="3" fillId="0" borderId="13" xfId="0" applyFont="1" applyBorder="1"/>
    <xf numFmtId="168" fontId="2" fillId="0" borderId="13" xfId="0" applyFont="1" applyFill="1" applyBorder="1" applyAlignment="1">
      <alignment vertical="center"/>
    </xf>
    <xf numFmtId="168" fontId="3" fillId="0" borderId="0" xfId="0" applyFont="1" applyBorder="1"/>
    <xf numFmtId="168" fontId="2" fillId="0" borderId="0" xfId="0" applyFont="1" applyFill="1" applyBorder="1" applyAlignment="1">
      <alignment horizontal="left" vertical="center"/>
    </xf>
    <xf numFmtId="168" fontId="2" fillId="0" borderId="0" xfId="0" applyFont="1" applyFill="1" applyBorder="1" applyAlignment="1">
      <alignment vertical="center"/>
    </xf>
    <xf numFmtId="168" fontId="3" fillId="0" borderId="0" xfId="0" applyFont="1" applyFill="1" applyAlignment="1">
      <alignment vertical="center"/>
    </xf>
    <xf numFmtId="43" fontId="2" fillId="0" borderId="3" xfId="1" applyFont="1" applyFill="1" applyBorder="1" applyAlignment="1">
      <alignment horizontal="right" vertical="center" wrapText="1"/>
    </xf>
    <xf numFmtId="43" fontId="2" fillId="0" borderId="3" xfId="1" applyFont="1" applyFill="1" applyBorder="1" applyAlignment="1">
      <alignment horizontal="center" vertical="center" wrapText="1"/>
    </xf>
    <xf numFmtId="168" fontId="2" fillId="0" borderId="3" xfId="0" applyFont="1" applyFill="1" applyBorder="1" applyAlignment="1">
      <alignment horizontal="center" vertical="center" wrapText="1"/>
    </xf>
    <xf numFmtId="0" fontId="3" fillId="8" borderId="7" xfId="0" applyNumberFormat="1" applyFont="1" applyFill="1" applyBorder="1" applyAlignment="1">
      <alignment horizontal="left" vertical="center"/>
    </xf>
    <xf numFmtId="0" fontId="3" fillId="8" borderId="8" xfId="0" applyNumberFormat="1" applyFont="1" applyFill="1" applyBorder="1" applyAlignment="1">
      <alignment horizontal="left" vertical="center"/>
    </xf>
    <xf numFmtId="43" fontId="2" fillId="0" borderId="3" xfId="1" applyFont="1" applyFill="1" applyBorder="1" applyAlignment="1">
      <alignment vertical="center"/>
    </xf>
    <xf numFmtId="170" fontId="4" fillId="7" borderId="1" xfId="5" applyNumberFormat="1" applyFont="1" applyFill="1" applyBorder="1" applyAlignment="1">
      <alignment vertical="center" wrapText="1"/>
    </xf>
    <xf numFmtId="170" fontId="4" fillId="7" borderId="2" xfId="5" applyNumberFormat="1" applyFont="1" applyFill="1" applyBorder="1" applyAlignment="1">
      <alignment vertical="center" wrapText="1"/>
    </xf>
    <xf numFmtId="170" fontId="4" fillId="7" borderId="67" xfId="5" applyNumberFormat="1" applyFont="1" applyFill="1" applyBorder="1" applyAlignment="1">
      <alignment vertical="center" wrapText="1"/>
    </xf>
    <xf numFmtId="168" fontId="4" fillId="0" borderId="3" xfId="0" applyFont="1" applyBorder="1" applyAlignment="1">
      <alignment vertical="center"/>
    </xf>
    <xf numFmtId="168" fontId="4" fillId="0" borderId="3" xfId="0" applyFont="1" applyBorder="1" applyAlignment="1">
      <alignment horizontal="left" vertical="center"/>
    </xf>
    <xf numFmtId="4" fontId="2" fillId="0" borderId="3" xfId="0" applyNumberFormat="1" applyFont="1" applyFill="1" applyBorder="1" applyAlignment="1">
      <alignment horizontal="center" vertical="center" wrapText="1"/>
    </xf>
    <xf numFmtId="167" fontId="2" fillId="0" borderId="3" xfId="0" applyNumberFormat="1" applyFont="1" applyFill="1" applyBorder="1" applyAlignment="1">
      <alignment horizontal="center" vertical="center" wrapText="1"/>
    </xf>
    <xf numFmtId="173" fontId="2" fillId="0" borderId="3" xfId="4" applyNumberFormat="1" applyFont="1" applyFill="1" applyBorder="1" applyAlignment="1">
      <alignment horizontal="center" vertical="center" wrapText="1"/>
    </xf>
    <xf numFmtId="0" fontId="2" fillId="0" borderId="13" xfId="0" applyNumberFormat="1" applyFont="1" applyFill="1" applyBorder="1" applyAlignment="1">
      <alignment horizontal="justify" vertical="center" wrapText="1"/>
    </xf>
    <xf numFmtId="168" fontId="2" fillId="0" borderId="13" xfId="0" applyFont="1" applyFill="1" applyBorder="1" applyAlignment="1">
      <alignment horizontal="justify" vertical="center" wrapText="1"/>
    </xf>
    <xf numFmtId="43" fontId="3" fillId="11" borderId="13" xfId="1" applyFont="1" applyFill="1" applyBorder="1" applyAlignment="1">
      <alignment horizontal="left" vertical="center"/>
    </xf>
    <xf numFmtId="43" fontId="3" fillId="0" borderId="13" xfId="1" applyFont="1" applyFill="1" applyBorder="1" applyAlignment="1">
      <alignment horizontal="left" vertical="center"/>
    </xf>
    <xf numFmtId="43" fontId="2" fillId="44" borderId="13" xfId="1" applyFont="1" applyFill="1" applyBorder="1" applyAlignment="1">
      <alignment vertical="center"/>
    </xf>
    <xf numFmtId="43" fontId="0" fillId="0" borderId="0" xfId="1" applyFont="1"/>
    <xf numFmtId="43" fontId="2" fillId="0" borderId="15" xfId="1" applyFont="1" applyFill="1" applyBorder="1" applyAlignment="1">
      <alignment vertical="center"/>
    </xf>
    <xf numFmtId="0" fontId="2" fillId="0" borderId="13" xfId="0" applyNumberFormat="1" applyFont="1" applyFill="1" applyBorder="1" applyAlignment="1">
      <alignment vertical="center"/>
    </xf>
    <xf numFmtId="43" fontId="6" fillId="2" borderId="0" xfId="1" applyFont="1" applyFill="1" applyAlignment="1">
      <alignment vertical="center"/>
    </xf>
    <xf numFmtId="43" fontId="6" fillId="2" borderId="0" xfId="1" applyFont="1" applyFill="1"/>
    <xf numFmtId="43" fontId="3" fillId="13" borderId="35" xfId="1" applyFont="1" applyFill="1" applyBorder="1" applyAlignment="1">
      <alignment horizontal="center" vertical="center"/>
    </xf>
    <xf numFmtId="0" fontId="58" fillId="44" borderId="13" xfId="0" applyNumberFormat="1" applyFont="1" applyFill="1" applyBorder="1" applyAlignment="1">
      <alignment vertical="center"/>
    </xf>
    <xf numFmtId="0" fontId="2" fillId="0" borderId="13" xfId="0" applyNumberFormat="1" applyFont="1" applyFill="1" applyBorder="1" applyAlignment="1">
      <alignment vertical="center" wrapText="1"/>
    </xf>
    <xf numFmtId="0" fontId="4" fillId="71" borderId="3" xfId="0" applyNumberFormat="1" applyFont="1" applyFill="1" applyBorder="1" applyAlignment="1">
      <alignment horizontal="center" vertical="center" wrapText="1"/>
    </xf>
    <xf numFmtId="168" fontId="4" fillId="0" borderId="3" xfId="0" applyFont="1" applyBorder="1" applyAlignment="1">
      <alignment horizontal="center" vertical="center"/>
    </xf>
    <xf numFmtId="169" fontId="8" fillId="0" borderId="3" xfId="0" applyNumberFormat="1" applyFont="1" applyBorder="1" applyAlignment="1">
      <alignment horizontal="left" vertical="center"/>
    </xf>
    <xf numFmtId="14" fontId="8" fillId="0" borderId="3" xfId="0" applyNumberFormat="1" applyFont="1" applyFill="1" applyBorder="1" applyAlignment="1">
      <alignment horizontal="left" vertical="center"/>
    </xf>
    <xf numFmtId="3" fontId="4" fillId="3" borderId="3" xfId="0" applyNumberFormat="1" applyFont="1" applyFill="1" applyBorder="1" applyAlignment="1">
      <alignment horizontal="center" vertical="center" wrapText="1"/>
    </xf>
    <xf numFmtId="43" fontId="56" fillId="0" borderId="3" xfId="1" applyFont="1" applyFill="1" applyBorder="1" applyAlignment="1">
      <alignment vertical="center"/>
    </xf>
    <xf numFmtId="168" fontId="58" fillId="0" borderId="3" xfId="0" applyFont="1" applyFill="1" applyBorder="1" applyAlignment="1">
      <alignment vertical="center" wrapText="1"/>
    </xf>
    <xf numFmtId="167" fontId="28" fillId="0" borderId="0" xfId="103" applyNumberFormat="1" applyFont="1"/>
    <xf numFmtId="0" fontId="3" fillId="7" borderId="18" xfId="0" applyNumberFormat="1" applyFont="1" applyFill="1" applyBorder="1" applyAlignment="1">
      <alignment horizontal="left" vertical="center"/>
    </xf>
    <xf numFmtId="0" fontId="2" fillId="0" borderId="3" xfId="0" applyNumberFormat="1" applyFont="1" applyFill="1" applyBorder="1" applyAlignment="1" applyProtection="1">
      <alignment horizontal="center" vertical="center"/>
      <protection locked="0"/>
    </xf>
    <xf numFmtId="43" fontId="56" fillId="0" borderId="3" xfId="1" applyFont="1" applyFill="1" applyBorder="1" applyAlignment="1">
      <alignment horizontal="center" vertical="center"/>
    </xf>
    <xf numFmtId="49" fontId="2" fillId="0" borderId="3" xfId="0" applyNumberFormat="1" applyFont="1" applyFill="1" applyBorder="1" applyAlignment="1">
      <alignment horizontal="center" vertical="center" wrapText="1"/>
    </xf>
    <xf numFmtId="167" fontId="2" fillId="0" borderId="3" xfId="0" applyNumberFormat="1" applyFont="1" applyFill="1" applyBorder="1" applyAlignment="1">
      <alignment vertical="center"/>
    </xf>
    <xf numFmtId="0" fontId="3" fillId="7" borderId="19" xfId="0" applyNumberFormat="1" applyFont="1" applyFill="1" applyBorder="1" applyAlignment="1">
      <alignment horizontal="left" vertical="center"/>
    </xf>
    <xf numFmtId="0" fontId="3" fillId="7" borderId="26" xfId="0" applyNumberFormat="1" applyFont="1" applyFill="1" applyBorder="1" applyAlignment="1">
      <alignment horizontal="left" vertical="center"/>
    </xf>
    <xf numFmtId="0" fontId="3" fillId="7" borderId="27" xfId="0" applyNumberFormat="1" applyFont="1" applyFill="1" applyBorder="1" applyAlignment="1">
      <alignment horizontal="left" vertical="center"/>
    </xf>
    <xf numFmtId="0" fontId="3" fillId="7" borderId="27" xfId="0" applyNumberFormat="1" applyFont="1" applyFill="1" applyBorder="1" applyAlignment="1">
      <alignment horizontal="center" vertical="center"/>
    </xf>
    <xf numFmtId="168" fontId="3" fillId="7" borderId="27" xfId="0" applyFont="1" applyFill="1" applyBorder="1" applyAlignment="1">
      <alignment horizontal="center" vertical="center"/>
    </xf>
    <xf numFmtId="0" fontId="3" fillId="7" borderId="27" xfId="0" applyNumberFormat="1" applyFont="1" applyFill="1" applyBorder="1" applyAlignment="1">
      <alignment horizontal="justify" vertical="center" wrapText="1"/>
    </xf>
    <xf numFmtId="168" fontId="3" fillId="7" borderId="27" xfId="0" applyFont="1" applyFill="1" applyBorder="1" applyAlignment="1">
      <alignment horizontal="justify" vertical="center" wrapText="1"/>
    </xf>
    <xf numFmtId="0" fontId="3" fillId="7" borderId="28" xfId="0" applyNumberFormat="1" applyFont="1" applyFill="1" applyBorder="1" applyAlignment="1">
      <alignment horizontal="center" vertical="center" wrapText="1"/>
    </xf>
    <xf numFmtId="0" fontId="3" fillId="7" borderId="27" xfId="0" applyNumberFormat="1" applyFont="1" applyFill="1" applyBorder="1" applyAlignment="1">
      <alignment horizontal="center" vertical="center" wrapText="1"/>
    </xf>
    <xf numFmtId="168" fontId="3" fillId="7" borderId="19" xfId="0" applyFont="1" applyFill="1" applyBorder="1" applyAlignment="1">
      <alignment horizontal="center" vertical="center"/>
    </xf>
    <xf numFmtId="168" fontId="3" fillId="7" borderId="19" xfId="0" applyFont="1" applyFill="1" applyBorder="1" applyAlignment="1">
      <alignment horizontal="justify" vertical="center" wrapText="1"/>
    </xf>
    <xf numFmtId="43" fontId="3" fillId="7" borderId="19" xfId="0" applyNumberFormat="1" applyFont="1" applyFill="1" applyBorder="1" applyAlignment="1">
      <alignment vertical="center"/>
    </xf>
    <xf numFmtId="43" fontId="3" fillId="7" borderId="19" xfId="0" applyNumberFormat="1" applyFont="1" applyFill="1" applyBorder="1" applyAlignment="1">
      <alignment horizontal="center" vertical="center"/>
    </xf>
    <xf numFmtId="0" fontId="2" fillId="0" borderId="3" xfId="0" applyNumberFormat="1" applyFont="1" applyFill="1" applyBorder="1" applyAlignment="1">
      <alignment horizontal="left" vertical="center" wrapText="1"/>
    </xf>
    <xf numFmtId="0" fontId="2" fillId="0" borderId="3" xfId="6" applyNumberFormat="1" applyFont="1" applyFill="1" applyBorder="1">
      <alignment horizontal="center" vertical="center" wrapText="1"/>
    </xf>
    <xf numFmtId="167" fontId="2" fillId="0" borderId="3" xfId="5" applyFont="1" applyFill="1" applyBorder="1" applyAlignment="1">
      <alignment horizontal="justify" vertical="center"/>
    </xf>
    <xf numFmtId="43" fontId="2" fillId="0" borderId="3" xfId="1" applyFont="1" applyFill="1" applyBorder="1" applyAlignment="1">
      <alignment horizontal="center" vertical="center"/>
    </xf>
    <xf numFmtId="0" fontId="2" fillId="0" borderId="3" xfId="7" applyFont="1" applyFill="1" applyBorder="1" applyAlignment="1">
      <alignment horizontal="justify" vertical="center"/>
    </xf>
    <xf numFmtId="0" fontId="2" fillId="0" borderId="3" xfId="7" applyNumberFormat="1" applyFont="1" applyFill="1" applyBorder="1" applyAlignment="1">
      <alignment horizontal="center" vertical="center" wrapText="1"/>
    </xf>
    <xf numFmtId="43" fontId="2" fillId="0" borderId="3" xfId="1" applyFont="1" applyFill="1" applyBorder="1" applyAlignment="1">
      <alignment horizontal="right" vertical="center"/>
    </xf>
    <xf numFmtId="167" fontId="2" fillId="0" borderId="3" xfId="8" applyFont="1" applyFill="1" applyBorder="1" applyAlignment="1">
      <alignment horizontal="right" vertical="center" wrapText="1"/>
    </xf>
    <xf numFmtId="0" fontId="2" fillId="0" borderId="3" xfId="7" applyNumberFormat="1" applyFont="1" applyFill="1" applyBorder="1" applyAlignment="1">
      <alignment horizontal="justify" vertical="center"/>
    </xf>
    <xf numFmtId="168" fontId="2" fillId="0" borderId="3" xfId="0" applyFont="1" applyFill="1" applyBorder="1" applyAlignment="1">
      <alignment vertical="center" wrapText="1"/>
    </xf>
    <xf numFmtId="168" fontId="2" fillId="0" borderId="3" xfId="0" applyFont="1" applyFill="1" applyBorder="1"/>
    <xf numFmtId="0" fontId="2" fillId="0" borderId="3" xfId="0" applyNumberFormat="1" applyFont="1" applyFill="1" applyBorder="1" applyAlignment="1" applyProtection="1">
      <alignment horizontal="justify" vertical="center" wrapText="1"/>
      <protection locked="0"/>
    </xf>
    <xf numFmtId="0" fontId="2" fillId="0" borderId="3" xfId="0" applyNumberFormat="1" applyFont="1" applyFill="1" applyBorder="1" applyAlignment="1" applyProtection="1">
      <alignment horizontal="center" vertical="center" wrapText="1"/>
      <protection locked="0"/>
    </xf>
    <xf numFmtId="167" fontId="3" fillId="0" borderId="3" xfId="0" applyNumberFormat="1" applyFont="1" applyFill="1" applyBorder="1" applyAlignment="1">
      <alignment horizontal="left" vertical="center"/>
    </xf>
    <xf numFmtId="167" fontId="2" fillId="0" borderId="3" xfId="0" applyNumberFormat="1" applyFont="1" applyFill="1" applyBorder="1" applyAlignment="1">
      <alignment horizontal="left" vertical="center"/>
    </xf>
    <xf numFmtId="4" fontId="2" fillId="0" borderId="3" xfId="0" applyNumberFormat="1" applyFont="1" applyFill="1" applyBorder="1" applyAlignment="1">
      <alignment horizontal="right" vertical="center" wrapText="1"/>
    </xf>
    <xf numFmtId="0" fontId="2" fillId="0" borderId="3" xfId="6" applyNumberFormat="1" applyFont="1" applyFill="1" applyBorder="1" applyAlignment="1">
      <alignment horizontal="justify" vertical="center" wrapText="1"/>
    </xf>
    <xf numFmtId="0" fontId="2" fillId="0" borderId="3" xfId="6" applyNumberFormat="1" applyFont="1" applyFill="1" applyBorder="1" applyAlignment="1">
      <alignment horizontal="center" vertical="center" wrapText="1"/>
    </xf>
    <xf numFmtId="172" fontId="2" fillId="0" borderId="3" xfId="2" applyNumberFormat="1" applyFont="1" applyFill="1" applyBorder="1" applyAlignment="1">
      <alignment horizontal="right" vertical="center"/>
    </xf>
    <xf numFmtId="167" fontId="2" fillId="0" borderId="3" xfId="5" applyFont="1" applyFill="1" applyBorder="1"/>
    <xf numFmtId="0" fontId="3" fillId="0" borderId="3" xfId="0" applyNumberFormat="1" applyFont="1" applyFill="1" applyBorder="1" applyAlignment="1">
      <alignment horizontal="center" vertical="center" wrapText="1"/>
    </xf>
    <xf numFmtId="167" fontId="3" fillId="0" borderId="3" xfId="0" applyNumberFormat="1" applyFont="1" applyFill="1" applyBorder="1" applyAlignment="1">
      <alignment vertical="center"/>
    </xf>
    <xf numFmtId="0" fontId="2" fillId="0" borderId="3" xfId="9" applyFont="1" applyFill="1" applyBorder="1" applyAlignment="1">
      <alignment horizontal="justify" vertical="center" wrapText="1"/>
    </xf>
    <xf numFmtId="0" fontId="2" fillId="0" borderId="3" xfId="0" applyNumberFormat="1" applyFont="1" applyFill="1" applyBorder="1" applyAlignment="1">
      <alignment horizontal="left" vertical="center"/>
    </xf>
    <xf numFmtId="0" fontId="2" fillId="0" borderId="3" xfId="7" applyFont="1" applyFill="1" applyBorder="1" applyAlignment="1">
      <alignment horizontal="justify" vertical="center" wrapText="1"/>
    </xf>
    <xf numFmtId="43" fontId="2" fillId="0" borderId="3" xfId="0" applyNumberFormat="1" applyFont="1" applyFill="1" applyBorder="1" applyAlignment="1">
      <alignment vertical="center"/>
    </xf>
    <xf numFmtId="0" fontId="2" fillId="0" borderId="3" xfId="9" applyFont="1" applyFill="1" applyBorder="1">
      <alignment horizontal="center" vertical="center" wrapText="1"/>
    </xf>
    <xf numFmtId="167" fontId="2" fillId="0" borderId="3" xfId="8" applyFont="1" applyFill="1" applyBorder="1" applyAlignment="1">
      <alignment horizontal="center" vertical="center" wrapText="1"/>
    </xf>
    <xf numFmtId="172" fontId="2" fillId="0" borderId="3" xfId="2" applyNumberFormat="1" applyFont="1" applyFill="1" applyBorder="1" applyAlignment="1">
      <alignment horizontal="right" vertical="center" wrapText="1"/>
    </xf>
    <xf numFmtId="0" fontId="2" fillId="0" borderId="3" xfId="8" applyNumberFormat="1" applyFont="1" applyFill="1" applyBorder="1" applyAlignment="1">
      <alignment horizontal="center" vertical="center" wrapText="1"/>
    </xf>
    <xf numFmtId="43" fontId="2" fillId="0" borderId="3" xfId="1" applyFont="1" applyFill="1" applyBorder="1" applyAlignment="1">
      <alignment horizontal="justify" vertical="center"/>
    </xf>
    <xf numFmtId="41" fontId="2" fillId="0" borderId="3" xfId="2" applyFont="1" applyFill="1" applyBorder="1" applyAlignment="1">
      <alignment horizontal="right" vertical="center" wrapText="1"/>
    </xf>
    <xf numFmtId="0" fontId="2" fillId="0" borderId="3" xfId="9" applyFont="1" applyFill="1" applyBorder="1" applyAlignment="1">
      <alignment horizontal="center" vertical="center" wrapText="1"/>
    </xf>
    <xf numFmtId="49" fontId="2" fillId="0" borderId="3" xfId="0" applyNumberFormat="1" applyFont="1" applyFill="1" applyBorder="1" applyAlignment="1">
      <alignment horizontal="justify" vertical="center" wrapText="1"/>
    </xf>
    <xf numFmtId="41" fontId="2" fillId="0" borderId="3" xfId="2" applyFont="1" applyFill="1" applyBorder="1" applyAlignment="1">
      <alignment vertical="center"/>
    </xf>
    <xf numFmtId="167" fontId="2" fillId="0" borderId="3" xfId="8" applyFont="1" applyFill="1" applyBorder="1" applyAlignment="1">
      <alignment horizontal="center" vertical="center"/>
    </xf>
    <xf numFmtId="167" fontId="2" fillId="0" borderId="3" xfId="5" applyFont="1" applyFill="1" applyBorder="1" applyAlignment="1">
      <alignment vertical="center"/>
    </xf>
    <xf numFmtId="168" fontId="2" fillId="0" borderId="3" xfId="0" applyFont="1" applyFill="1" applyBorder="1" applyAlignment="1">
      <alignment horizontal="center" vertical="center"/>
    </xf>
    <xf numFmtId="168" fontId="2" fillId="0" borderId="3" xfId="0" applyFont="1" applyFill="1" applyBorder="1" applyAlignment="1">
      <alignment horizontal="justify" vertical="center"/>
    </xf>
    <xf numFmtId="167" fontId="2" fillId="0" borderId="3" xfId="8" applyFont="1" applyFill="1" applyBorder="1" applyAlignment="1">
      <alignment vertical="center"/>
    </xf>
    <xf numFmtId="0" fontId="2" fillId="0" borderId="3" xfId="0" applyNumberFormat="1" applyFont="1" applyFill="1" applyBorder="1" applyAlignment="1">
      <alignment horizontal="justify" vertical="center"/>
    </xf>
    <xf numFmtId="43" fontId="2" fillId="0" borderId="3" xfId="1" applyFont="1" applyFill="1" applyBorder="1" applyAlignment="1">
      <alignment horizontal="justify" vertical="center" wrapText="1"/>
    </xf>
    <xf numFmtId="170" fontId="2" fillId="0" borderId="3" xfId="8" applyNumberFormat="1" applyFont="1" applyFill="1" applyBorder="1" applyAlignment="1">
      <alignment horizontal="right" vertical="center" wrapText="1"/>
    </xf>
    <xf numFmtId="167" fontId="2" fillId="0" borderId="3" xfId="8" applyFont="1" applyFill="1" applyBorder="1" applyAlignment="1">
      <alignment horizontal="left" vertical="center" wrapText="1"/>
    </xf>
    <xf numFmtId="1" fontId="2" fillId="0" borderId="3" xfId="13" applyNumberFormat="1" applyFont="1" applyFill="1" applyBorder="1" applyAlignment="1">
      <alignment horizontal="center" vertical="center"/>
    </xf>
    <xf numFmtId="43" fontId="2" fillId="0" borderId="3" xfId="1" applyFont="1" applyFill="1" applyBorder="1"/>
    <xf numFmtId="43" fontId="2" fillId="0" borderId="3" xfId="1" applyFont="1" applyFill="1" applyBorder="1" applyAlignment="1">
      <alignment vertical="center" wrapText="1"/>
    </xf>
    <xf numFmtId="0" fontId="2" fillId="0" borderId="3" xfId="1" applyNumberFormat="1" applyFont="1" applyFill="1" applyBorder="1" applyAlignment="1">
      <alignment horizontal="center" vertical="center" wrapText="1"/>
    </xf>
    <xf numFmtId="43" fontId="2" fillId="0" borderId="3" xfId="1" applyFont="1" applyFill="1" applyBorder="1" applyAlignment="1">
      <alignment horizontal="left" vertical="center" wrapText="1"/>
    </xf>
    <xf numFmtId="173" fontId="2" fillId="0" borderId="3" xfId="4" applyNumberFormat="1" applyFont="1" applyFill="1" applyBorder="1" applyAlignment="1">
      <alignment horizontal="center" vertical="center"/>
    </xf>
    <xf numFmtId="167" fontId="2" fillId="0" borderId="3" xfId="0" applyNumberFormat="1" applyFont="1" applyFill="1" applyBorder="1" applyAlignment="1">
      <alignment horizontal="justify" vertical="center"/>
    </xf>
    <xf numFmtId="0" fontId="2" fillId="0" borderId="3" xfId="6" applyNumberFormat="1" applyFont="1" applyFill="1" applyBorder="1" applyAlignment="1">
      <alignment horizontal="center" vertical="center"/>
    </xf>
    <xf numFmtId="0" fontId="2" fillId="0" borderId="3" xfId="7" applyFont="1" applyFill="1" applyBorder="1" applyAlignment="1">
      <alignment horizontal="center" vertical="center"/>
    </xf>
    <xf numFmtId="43" fontId="2" fillId="0" borderId="3" xfId="8" applyNumberFormat="1" applyFont="1" applyFill="1" applyBorder="1" applyAlignment="1">
      <alignment vertical="center"/>
    </xf>
    <xf numFmtId="167" fontId="3" fillId="0" borderId="3" xfId="5" applyFont="1" applyFill="1" applyBorder="1" applyAlignment="1">
      <alignment horizontal="justify" vertical="center"/>
    </xf>
    <xf numFmtId="167" fontId="2" fillId="0" borderId="3" xfId="5" applyFont="1" applyFill="1" applyBorder="1" applyAlignment="1">
      <alignment horizontal="justify" vertical="center" wrapText="1"/>
    </xf>
    <xf numFmtId="0" fontId="2" fillId="0" borderId="3" xfId="8" applyNumberFormat="1" applyFont="1" applyFill="1" applyBorder="1" applyAlignment="1">
      <alignment horizontal="justify" vertical="center" wrapText="1"/>
    </xf>
    <xf numFmtId="167" fontId="2" fillId="0" borderId="3" xfId="0" applyNumberFormat="1" applyFont="1" applyFill="1" applyBorder="1" applyAlignment="1">
      <alignment horizontal="justify" vertical="center" wrapText="1"/>
    </xf>
    <xf numFmtId="167" fontId="2" fillId="0" borderId="3" xfId="0" applyNumberFormat="1" applyFont="1" applyFill="1" applyBorder="1" applyAlignment="1">
      <alignment horizontal="right" vertical="center"/>
    </xf>
    <xf numFmtId="1" fontId="2" fillId="0" borderId="3" xfId="0" applyNumberFormat="1" applyFont="1" applyFill="1" applyBorder="1" applyAlignment="1">
      <alignment horizontal="center" vertical="center" wrapText="1"/>
    </xf>
    <xf numFmtId="168" fontId="2" fillId="0" borderId="3" xfId="0" applyFont="1" applyFill="1" applyBorder="1" applyAlignment="1" applyProtection="1">
      <alignment horizontal="justify" vertical="center" wrapText="1"/>
      <protection locked="0"/>
    </xf>
    <xf numFmtId="49" fontId="2" fillId="0" borderId="3" xfId="7" applyNumberFormat="1" applyFont="1" applyFill="1" applyBorder="1" applyAlignment="1">
      <alignment horizontal="justify" vertical="center" wrapText="1"/>
    </xf>
    <xf numFmtId="4" fontId="2" fillId="0" borderId="3" xfId="0" applyNumberFormat="1" applyFont="1" applyFill="1" applyBorder="1" applyAlignment="1">
      <alignment vertical="center" wrapText="1"/>
    </xf>
    <xf numFmtId="49" fontId="2" fillId="0" borderId="3" xfId="0" applyNumberFormat="1" applyFont="1" applyFill="1" applyBorder="1" applyAlignment="1">
      <alignment horizontal="center" vertical="center"/>
    </xf>
    <xf numFmtId="4" fontId="2" fillId="0" borderId="3" xfId="0" applyNumberFormat="1" applyFont="1" applyFill="1" applyBorder="1" applyAlignment="1">
      <alignment horizontal="center" vertical="center"/>
    </xf>
    <xf numFmtId="165" fontId="2" fillId="0" borderId="3" xfId="3" applyFont="1" applyFill="1" applyBorder="1" applyAlignment="1">
      <alignment horizontal="center" vertical="center"/>
    </xf>
    <xf numFmtId="0" fontId="2" fillId="0" borderId="3" xfId="7" applyNumberFormat="1" applyFont="1" applyFill="1" applyBorder="1" applyAlignment="1">
      <alignment horizontal="justify" vertical="center" wrapText="1"/>
    </xf>
    <xf numFmtId="4" fontId="2" fillId="0" borderId="3" xfId="0" applyNumberFormat="1" applyFont="1" applyFill="1" applyBorder="1" applyAlignment="1">
      <alignment vertical="center"/>
    </xf>
    <xf numFmtId="3" fontId="2" fillId="0" borderId="3" xfId="0" applyNumberFormat="1" applyFont="1" applyFill="1" applyBorder="1" applyAlignment="1">
      <alignment horizontal="right" vertical="center" wrapText="1"/>
    </xf>
    <xf numFmtId="167" fontId="2" fillId="0" borderId="3" xfId="5" applyFont="1" applyFill="1" applyBorder="1" applyAlignment="1">
      <alignment horizontal="right" vertical="center"/>
    </xf>
    <xf numFmtId="167" fontId="2" fillId="0" borderId="3" xfId="0" applyNumberFormat="1" applyFont="1" applyFill="1" applyBorder="1" applyAlignment="1">
      <alignment horizontal="right" vertical="center" wrapText="1"/>
    </xf>
    <xf numFmtId="0" fontId="2" fillId="0" borderId="3" xfId="0" applyNumberFormat="1" applyFont="1" applyFill="1" applyBorder="1" applyAlignment="1">
      <alignment vertical="center" wrapText="1"/>
    </xf>
    <xf numFmtId="167" fontId="2" fillId="0" borderId="3" xfId="8" applyFont="1" applyFill="1" applyBorder="1" applyAlignment="1">
      <alignment horizontal="right" vertical="center"/>
    </xf>
    <xf numFmtId="167" fontId="2" fillId="0" borderId="3" xfId="5" applyFont="1" applyFill="1" applyBorder="1" applyAlignment="1">
      <alignment horizontal="center" vertical="center" wrapText="1"/>
    </xf>
    <xf numFmtId="167" fontId="2" fillId="0" borderId="3" xfId="0" applyNumberFormat="1" applyFont="1" applyFill="1" applyBorder="1" applyAlignment="1">
      <alignment horizontal="center" vertical="center"/>
    </xf>
    <xf numFmtId="0" fontId="2" fillId="0" borderId="3" xfId="12" applyNumberFormat="1" applyFont="1" applyFill="1" applyBorder="1" applyAlignment="1">
      <alignment horizontal="center" vertical="center" wrapText="1"/>
    </xf>
    <xf numFmtId="1" fontId="2" fillId="0" borderId="3" xfId="0" applyNumberFormat="1" applyFont="1" applyFill="1" applyBorder="1" applyAlignment="1">
      <alignment horizontal="center" vertical="center"/>
    </xf>
    <xf numFmtId="3" fontId="2" fillId="0" borderId="3" xfId="0" applyNumberFormat="1" applyFont="1" applyFill="1" applyBorder="1" applyAlignment="1">
      <alignment horizontal="justify" vertical="center" wrapText="1"/>
    </xf>
    <xf numFmtId="170" fontId="2" fillId="0" borderId="3" xfId="0" applyNumberFormat="1" applyFont="1" applyFill="1" applyBorder="1" applyAlignment="1">
      <alignment horizontal="justify" vertical="center" wrapText="1"/>
    </xf>
    <xf numFmtId="167" fontId="58" fillId="0" borderId="13" xfId="8" applyFont="1" applyFill="1" applyBorder="1" applyAlignment="1">
      <alignment horizontal="right" vertical="center" wrapText="1"/>
    </xf>
    <xf numFmtId="170" fontId="58" fillId="0" borderId="13" xfId="8" applyNumberFormat="1" applyFont="1" applyFill="1" applyBorder="1" applyAlignment="1">
      <alignment horizontal="right" vertical="center" wrapText="1"/>
    </xf>
    <xf numFmtId="167" fontId="58" fillId="0" borderId="13" xfId="0" applyNumberFormat="1" applyFont="1" applyFill="1" applyBorder="1" applyAlignment="1">
      <alignment horizontal="justify" vertical="center" wrapText="1"/>
    </xf>
    <xf numFmtId="167" fontId="61" fillId="0" borderId="13" xfId="8" applyFont="1" applyFill="1" applyBorder="1" applyAlignment="1">
      <alignment vertical="center" wrapText="1"/>
    </xf>
    <xf numFmtId="167" fontId="58" fillId="0" borderId="13" xfId="8" applyFont="1" applyFill="1" applyBorder="1" applyAlignment="1">
      <alignment vertical="center" wrapText="1"/>
    </xf>
    <xf numFmtId="167" fontId="61" fillId="0" borderId="13" xfId="8" applyFont="1" applyFill="1" applyBorder="1" applyAlignment="1">
      <alignment horizontal="right" vertical="center" wrapText="1"/>
    </xf>
    <xf numFmtId="167" fontId="58" fillId="0" borderId="13" xfId="8" applyFont="1" applyFill="1" applyBorder="1" applyAlignment="1">
      <alignment horizontal="center" vertical="center" wrapText="1"/>
    </xf>
    <xf numFmtId="167" fontId="58" fillId="0" borderId="13" xfId="5" applyFont="1" applyFill="1" applyBorder="1" applyAlignment="1">
      <alignment horizontal="justify" vertical="center" wrapText="1"/>
    </xf>
    <xf numFmtId="0" fontId="3" fillId="0" borderId="16" xfId="0" applyNumberFormat="1" applyFont="1" applyFill="1" applyBorder="1" applyAlignment="1">
      <alignment horizontal="center" vertical="center" wrapText="1"/>
    </xf>
    <xf numFmtId="168" fontId="2" fillId="0" borderId="3" xfId="0" applyFont="1" applyBorder="1"/>
    <xf numFmtId="0" fontId="2" fillId="0" borderId="15" xfId="0" applyNumberFormat="1" applyFont="1" applyFill="1" applyBorder="1" applyAlignment="1">
      <alignment horizontal="center" vertical="center" wrapText="1"/>
    </xf>
    <xf numFmtId="9" fontId="3" fillId="0" borderId="3" xfId="0" applyNumberFormat="1" applyFont="1" applyFill="1" applyBorder="1" applyAlignment="1" applyProtection="1">
      <alignment horizontal="center" vertical="center"/>
      <protection locked="0"/>
    </xf>
    <xf numFmtId="9" fontId="2" fillId="0" borderId="3" xfId="0" applyNumberFormat="1" applyFont="1" applyFill="1" applyBorder="1" applyAlignment="1" applyProtection="1">
      <alignment horizontal="center" vertical="center"/>
      <protection locked="0"/>
    </xf>
    <xf numFmtId="43" fontId="6" fillId="0" borderId="57" xfId="1" applyFont="1" applyBorder="1" applyAlignment="1">
      <alignment vertical="center"/>
    </xf>
    <xf numFmtId="43" fontId="6" fillId="0" borderId="65" xfId="1" applyFont="1" applyBorder="1" applyAlignment="1">
      <alignment vertical="center"/>
    </xf>
    <xf numFmtId="43" fontId="58" fillId="0" borderId="13" xfId="1" applyFont="1" applyFill="1" applyBorder="1" applyAlignment="1">
      <alignment horizontal="center" vertical="center" wrapText="1"/>
    </xf>
    <xf numFmtId="9" fontId="3" fillId="0" borderId="3" xfId="94" applyNumberFormat="1" applyFont="1" applyFill="1" applyBorder="1" applyAlignment="1" applyProtection="1">
      <alignment horizontal="center" vertical="center"/>
      <protection locked="0"/>
    </xf>
    <xf numFmtId="9" fontId="28" fillId="0" borderId="0" xfId="103" applyNumberFormat="1" applyFont="1"/>
    <xf numFmtId="9" fontId="2" fillId="0" borderId="3" xfId="96" applyNumberFormat="1" applyFont="1" applyBorder="1" applyAlignment="1">
      <alignment horizontal="center" vertical="center"/>
    </xf>
    <xf numFmtId="9" fontId="8" fillId="0" borderId="0" xfId="103" applyNumberFormat="1" applyFont="1" applyFill="1" applyBorder="1"/>
    <xf numFmtId="9" fontId="2" fillId="0" borderId="3" xfId="282" applyNumberFormat="1" applyFont="1" applyBorder="1" applyAlignment="1">
      <alignment horizontal="center" vertical="center"/>
    </xf>
    <xf numFmtId="9" fontId="6" fillId="0" borderId="3" xfId="96" applyNumberFormat="1" applyFont="1" applyBorder="1" applyAlignment="1">
      <alignment horizontal="center" vertical="center"/>
    </xf>
    <xf numFmtId="9" fontId="28" fillId="0" borderId="0" xfId="94" applyNumberFormat="1" applyFont="1"/>
    <xf numFmtId="168" fontId="2" fillId="0" borderId="0" xfId="0" applyFont="1" applyAlignment="1">
      <alignment horizontal="center" vertical="center"/>
    </xf>
    <xf numFmtId="41" fontId="2" fillId="0" borderId="3" xfId="2" applyFont="1" applyFill="1" applyBorder="1" applyAlignment="1">
      <alignment horizontal="justify" vertical="center"/>
    </xf>
    <xf numFmtId="178" fontId="62" fillId="0" borderId="0" xfId="680" applyNumberFormat="1" applyFont="1" applyFill="1" applyAlignment="1">
      <alignment horizontal="right" vertical="center"/>
    </xf>
    <xf numFmtId="9" fontId="2" fillId="0" borderId="13" xfId="282" applyNumberFormat="1" applyFont="1" applyFill="1" applyBorder="1" applyAlignment="1">
      <alignment horizontal="center" vertical="center"/>
    </xf>
    <xf numFmtId="9" fontId="0" fillId="0" borderId="0" xfId="0" applyNumberFormat="1"/>
    <xf numFmtId="0" fontId="25" fillId="0" borderId="0" xfId="94" applyFont="1" applyFill="1" applyBorder="1"/>
    <xf numFmtId="170" fontId="29" fillId="0" borderId="0" xfId="103" applyNumberFormat="1" applyFont="1" applyFill="1" applyBorder="1"/>
    <xf numFmtId="10" fontId="29" fillId="0" borderId="0" xfId="282" applyNumberFormat="1" applyFont="1" applyFill="1" applyBorder="1" applyAlignment="1">
      <alignment horizontal="center" vertical="center"/>
    </xf>
    <xf numFmtId="10" fontId="29" fillId="0" borderId="0" xfId="282" applyNumberFormat="1" applyFont="1" applyFill="1" applyBorder="1" applyAlignment="1">
      <alignment horizontal="center"/>
    </xf>
    <xf numFmtId="167" fontId="25" fillId="0" borderId="0" xfId="94" applyNumberFormat="1" applyFont="1" applyFill="1" applyBorder="1" applyAlignment="1">
      <alignment horizontal="left"/>
    </xf>
    <xf numFmtId="0" fontId="63" fillId="0" borderId="0" xfId="94" applyFont="1" applyAlignment="1">
      <alignment horizontal="left"/>
    </xf>
    <xf numFmtId="170" fontId="63" fillId="0" borderId="0" xfId="103" applyNumberFormat="1" applyFont="1"/>
    <xf numFmtId="0" fontId="63" fillId="0" borderId="0" xfId="94" applyFont="1" applyFill="1" applyBorder="1" applyAlignment="1">
      <alignment horizontal="left"/>
    </xf>
    <xf numFmtId="170" fontId="63" fillId="0" borderId="0" xfId="103" applyNumberFormat="1" applyFont="1" applyFill="1" applyBorder="1"/>
    <xf numFmtId="10" fontId="63" fillId="0" borderId="0" xfId="282" applyNumberFormat="1" applyFont="1" applyFill="1" applyBorder="1"/>
    <xf numFmtId="168" fontId="3" fillId="0" borderId="6" xfId="0" applyFont="1" applyBorder="1" applyAlignment="1">
      <alignment horizontal="center" vertical="center" wrapText="1"/>
    </xf>
    <xf numFmtId="0" fontId="3" fillId="11" borderId="13" xfId="0" applyNumberFormat="1" applyFont="1" applyFill="1" applyBorder="1" applyAlignment="1">
      <alignment horizontal="center" vertical="center"/>
    </xf>
    <xf numFmtId="43" fontId="3" fillId="11" borderId="13" xfId="1" applyFont="1" applyFill="1" applyBorder="1" applyAlignment="1">
      <alignment horizontal="center" vertical="center"/>
    </xf>
    <xf numFmtId="0" fontId="3" fillId="11" borderId="15" xfId="0" applyNumberFormat="1" applyFont="1" applyFill="1" applyBorder="1" applyAlignment="1">
      <alignment horizontal="center" vertical="center"/>
    </xf>
    <xf numFmtId="168" fontId="3" fillId="11" borderId="16" xfId="0" applyFont="1" applyFill="1" applyBorder="1" applyAlignment="1">
      <alignment horizontal="center" vertical="center"/>
    </xf>
    <xf numFmtId="0" fontId="3" fillId="7" borderId="24" xfId="0" applyNumberFormat="1" applyFont="1" applyFill="1" applyBorder="1" applyAlignment="1">
      <alignment horizontal="center" vertical="center" wrapText="1"/>
    </xf>
    <xf numFmtId="0" fontId="3" fillId="7" borderId="13" xfId="0" applyNumberFormat="1" applyFont="1" applyFill="1" applyBorder="1" applyAlignment="1">
      <alignment vertical="center"/>
    </xf>
    <xf numFmtId="43" fontId="3" fillId="7" borderId="13" xfId="1" applyFont="1" applyFill="1" applyBorder="1" applyAlignment="1">
      <alignment vertical="center"/>
    </xf>
    <xf numFmtId="0" fontId="3" fillId="71" borderId="22" xfId="0" applyNumberFormat="1" applyFont="1" applyFill="1" applyBorder="1" applyAlignment="1">
      <alignment horizontal="center" vertical="center" wrapText="1"/>
    </xf>
    <xf numFmtId="0" fontId="3" fillId="71" borderId="13" xfId="0" applyNumberFormat="1" applyFont="1" applyFill="1" applyBorder="1" applyAlignment="1">
      <alignment horizontal="left" vertical="center"/>
    </xf>
    <xf numFmtId="0" fontId="3" fillId="71" borderId="13" xfId="0" applyNumberFormat="1" applyFont="1" applyFill="1" applyBorder="1" applyAlignment="1">
      <alignment vertical="center"/>
    </xf>
    <xf numFmtId="43" fontId="3" fillId="71" borderId="13" xfId="1" applyFont="1" applyFill="1" applyBorder="1" applyAlignment="1">
      <alignment vertical="center"/>
    </xf>
    <xf numFmtId="43" fontId="3" fillId="71" borderId="13" xfId="0" applyNumberFormat="1" applyFont="1" applyFill="1" applyBorder="1" applyAlignment="1">
      <alignment vertical="center"/>
    </xf>
    <xf numFmtId="0" fontId="3" fillId="71" borderId="16" xfId="0" applyNumberFormat="1" applyFont="1" applyFill="1" applyBorder="1" applyAlignment="1">
      <alignment horizontal="center" vertical="center" wrapText="1"/>
    </xf>
    <xf numFmtId="0" fontId="3" fillId="71" borderId="15" xfId="0" applyNumberFormat="1" applyFont="1" applyFill="1" applyBorder="1" applyAlignment="1">
      <alignment horizontal="center" vertical="center" wrapText="1"/>
    </xf>
    <xf numFmtId="0" fontId="3" fillId="71" borderId="16" xfId="0" applyNumberFormat="1" applyFont="1" applyFill="1" applyBorder="1" applyAlignment="1">
      <alignment vertical="center"/>
    </xf>
    <xf numFmtId="0" fontId="3" fillId="71" borderId="25" xfId="0" applyNumberFormat="1" applyFont="1" applyFill="1" applyBorder="1" applyAlignment="1">
      <alignment horizontal="center" vertical="center" wrapText="1"/>
    </xf>
    <xf numFmtId="0" fontId="3" fillId="71" borderId="29" xfId="0" applyNumberFormat="1" applyFont="1" applyFill="1" applyBorder="1" applyAlignment="1">
      <alignment horizontal="center" vertical="center" wrapText="1"/>
    </xf>
    <xf numFmtId="0" fontId="3" fillId="71" borderId="13" xfId="0" applyNumberFormat="1" applyFont="1" applyFill="1" applyBorder="1" applyAlignment="1">
      <alignment horizontal="center" vertical="center" wrapText="1"/>
    </xf>
    <xf numFmtId="0" fontId="3" fillId="71" borderId="28" xfId="0" applyNumberFormat="1" applyFont="1" applyFill="1" applyBorder="1" applyAlignment="1">
      <alignment horizontal="center" vertical="center" wrapText="1"/>
    </xf>
    <xf numFmtId="0" fontId="2" fillId="71" borderId="13" xfId="0" applyNumberFormat="1" applyFont="1" applyFill="1" applyBorder="1" applyAlignment="1">
      <alignment vertical="center"/>
    </xf>
    <xf numFmtId="43" fontId="2" fillId="71" borderId="13" xfId="1" applyFont="1" applyFill="1" applyBorder="1" applyAlignment="1">
      <alignment vertical="center"/>
    </xf>
    <xf numFmtId="0" fontId="3" fillId="71" borderId="13" xfId="0" applyNumberFormat="1" applyFont="1" applyFill="1" applyBorder="1" applyAlignment="1">
      <alignment horizontal="justify" vertical="center"/>
    </xf>
    <xf numFmtId="0" fontId="3" fillId="71" borderId="17" xfId="0" applyNumberFormat="1" applyFont="1" applyFill="1" applyBorder="1" applyAlignment="1">
      <alignment horizontal="left" vertical="center"/>
    </xf>
    <xf numFmtId="0" fontId="3" fillId="71" borderId="17" xfId="0" applyNumberFormat="1" applyFont="1" applyFill="1" applyBorder="1" applyAlignment="1">
      <alignment vertical="center"/>
    </xf>
    <xf numFmtId="43" fontId="3" fillId="71" borderId="17" xfId="1" applyFont="1" applyFill="1" applyBorder="1" applyAlignment="1">
      <alignment vertical="center"/>
    </xf>
    <xf numFmtId="0" fontId="3" fillId="71" borderId="76" xfId="0" applyNumberFormat="1" applyFont="1" applyFill="1" applyBorder="1" applyAlignment="1">
      <alignment horizontal="center" vertical="center" wrapText="1"/>
    </xf>
    <xf numFmtId="0" fontId="3" fillId="71" borderId="16" xfId="0" applyNumberFormat="1" applyFont="1" applyFill="1" applyBorder="1" applyAlignment="1">
      <alignment horizontal="left" vertical="center"/>
    </xf>
    <xf numFmtId="0" fontId="3" fillId="71" borderId="15" xfId="0" applyNumberFormat="1" applyFont="1" applyFill="1" applyBorder="1" applyAlignment="1">
      <alignment vertical="center"/>
    </xf>
    <xf numFmtId="0" fontId="3" fillId="11" borderId="15" xfId="0" applyNumberFormat="1" applyFont="1" applyFill="1" applyBorder="1" applyAlignment="1">
      <alignment horizontal="left" vertical="center"/>
    </xf>
    <xf numFmtId="168" fontId="3" fillId="13" borderId="34" xfId="0" applyFont="1" applyFill="1" applyBorder="1" applyAlignment="1">
      <alignment horizontal="center"/>
    </xf>
    <xf numFmtId="43" fontId="3" fillId="13" borderId="57" xfId="1" applyFont="1" applyFill="1" applyBorder="1" applyAlignment="1">
      <alignment horizontal="center" vertical="center"/>
    </xf>
    <xf numFmtId="0" fontId="3" fillId="7" borderId="13" xfId="0" applyNumberFormat="1" applyFont="1" applyFill="1" applyBorder="1" applyAlignment="1">
      <alignment horizontal="center" vertical="center"/>
    </xf>
    <xf numFmtId="0" fontId="3" fillId="7" borderId="15" xfId="0" applyNumberFormat="1" applyFont="1" applyFill="1" applyBorder="1" applyAlignment="1">
      <alignment horizontal="center" vertical="center"/>
    </xf>
    <xf numFmtId="168" fontId="3" fillId="7" borderId="16" xfId="0" applyFont="1" applyFill="1" applyBorder="1" applyAlignment="1">
      <alignment horizontal="center" vertical="center"/>
    </xf>
    <xf numFmtId="43" fontId="3" fillId="7" borderId="13" xfId="1" applyFont="1" applyFill="1" applyBorder="1" applyAlignment="1">
      <alignment horizontal="center" vertical="center"/>
    </xf>
    <xf numFmtId="0" fontId="3" fillId="7" borderId="17" xfId="0" applyNumberFormat="1" applyFont="1" applyFill="1" applyBorder="1" applyAlignment="1">
      <alignment horizontal="center" vertical="center" wrapText="1"/>
    </xf>
    <xf numFmtId="0" fontId="3" fillId="7" borderId="19" xfId="0" applyNumberFormat="1" applyFont="1" applyFill="1" applyBorder="1" applyAlignment="1">
      <alignment vertical="center"/>
    </xf>
    <xf numFmtId="0" fontId="3" fillId="7" borderId="17" xfId="0" applyNumberFormat="1" applyFont="1" applyFill="1" applyBorder="1" applyAlignment="1">
      <alignment horizontal="center" vertical="center"/>
    </xf>
    <xf numFmtId="0" fontId="3" fillId="7" borderId="13" xfId="0" applyNumberFormat="1" applyFont="1" applyFill="1" applyBorder="1" applyAlignment="1">
      <alignment horizontal="justify" vertical="center"/>
    </xf>
    <xf numFmtId="0" fontId="3" fillId="7" borderId="22" xfId="0" applyNumberFormat="1" applyFont="1" applyFill="1" applyBorder="1" applyAlignment="1">
      <alignment horizontal="center" vertical="center" wrapText="1"/>
    </xf>
    <xf numFmtId="0" fontId="3" fillId="7" borderId="13" xfId="0" applyNumberFormat="1" applyFont="1" applyFill="1" applyBorder="1" applyAlignment="1">
      <alignment horizontal="center" vertical="center" wrapText="1"/>
    </xf>
    <xf numFmtId="0" fontId="3" fillId="7" borderId="19" xfId="0" applyNumberFormat="1" applyFont="1" applyFill="1" applyBorder="1" applyAlignment="1">
      <alignment horizontal="center" vertical="center" wrapText="1"/>
    </xf>
    <xf numFmtId="170" fontId="4" fillId="7" borderId="3" xfId="5" applyNumberFormat="1" applyFont="1" applyFill="1" applyBorder="1" applyAlignment="1">
      <alignment horizontal="center" vertical="center" wrapText="1"/>
    </xf>
    <xf numFmtId="170" fontId="4" fillId="7" borderId="9" xfId="5" applyNumberFormat="1" applyFont="1" applyFill="1" applyBorder="1" applyAlignment="1">
      <alignment horizontal="center" vertical="center" wrapText="1"/>
    </xf>
    <xf numFmtId="170" fontId="4" fillId="7" borderId="0" xfId="5" applyNumberFormat="1" applyFont="1" applyFill="1" applyBorder="1" applyAlignment="1">
      <alignment horizontal="center" vertical="center" wrapText="1"/>
    </xf>
    <xf numFmtId="0" fontId="3" fillId="72" borderId="13" xfId="0" applyNumberFormat="1" applyFont="1" applyFill="1" applyBorder="1" applyAlignment="1">
      <alignment horizontal="center" vertical="center" wrapText="1"/>
    </xf>
    <xf numFmtId="0" fontId="3" fillId="72" borderId="13" xfId="0" applyNumberFormat="1" applyFont="1" applyFill="1" applyBorder="1" applyAlignment="1">
      <alignment vertical="center"/>
    </xf>
    <xf numFmtId="0" fontId="3" fillId="72" borderId="13" xfId="0" applyNumberFormat="1" applyFont="1" applyFill="1" applyBorder="1" applyAlignment="1">
      <alignment horizontal="justify" vertical="center"/>
    </xf>
    <xf numFmtId="43" fontId="3" fillId="72" borderId="13" xfId="1" applyFont="1" applyFill="1" applyBorder="1" applyAlignment="1">
      <alignment vertical="center"/>
    </xf>
    <xf numFmtId="43" fontId="3" fillId="72" borderId="13" xfId="1" applyFont="1" applyFill="1" applyBorder="1" applyAlignment="1">
      <alignment horizontal="justify" vertical="center"/>
    </xf>
    <xf numFmtId="0" fontId="3" fillId="72" borderId="13" xfId="0" applyNumberFormat="1" applyFont="1" applyFill="1" applyBorder="1" applyAlignment="1">
      <alignment horizontal="center" vertical="center"/>
    </xf>
    <xf numFmtId="0" fontId="3" fillId="72" borderId="19" xfId="0" applyNumberFormat="1" applyFont="1" applyFill="1" applyBorder="1" applyAlignment="1">
      <alignment horizontal="justify" vertical="center"/>
    </xf>
    <xf numFmtId="43" fontId="3" fillId="72" borderId="19" xfId="1" applyFont="1" applyFill="1" applyBorder="1" applyAlignment="1">
      <alignment vertical="center"/>
    </xf>
    <xf numFmtId="0" fontId="3" fillId="72" borderId="19" xfId="0" applyNumberFormat="1" applyFont="1" applyFill="1" applyBorder="1" applyAlignment="1">
      <alignment horizontal="center" vertical="center" wrapText="1"/>
    </xf>
    <xf numFmtId="0" fontId="3" fillId="72" borderId="13" xfId="0" applyNumberFormat="1" applyFont="1" applyFill="1" applyBorder="1" applyAlignment="1">
      <alignment horizontal="left" vertical="center"/>
    </xf>
    <xf numFmtId="168" fontId="2" fillId="0" borderId="6" xfId="0" applyFont="1" applyBorder="1"/>
    <xf numFmtId="43" fontId="3" fillId="71" borderId="13" xfId="1" applyFont="1" applyFill="1" applyBorder="1" applyAlignment="1">
      <alignment horizontal="left" vertical="center"/>
    </xf>
    <xf numFmtId="43" fontId="3" fillId="71" borderId="16" xfId="1" applyFont="1" applyFill="1" applyBorder="1" applyAlignment="1">
      <alignment vertical="center"/>
    </xf>
    <xf numFmtId="168" fontId="3" fillId="71" borderId="13" xfId="0" applyFont="1" applyFill="1" applyBorder="1" applyAlignment="1">
      <alignment horizontal="justify" vertical="center" wrapText="1"/>
    </xf>
    <xf numFmtId="0" fontId="3" fillId="71" borderId="22" xfId="0" applyNumberFormat="1" applyFont="1" applyFill="1" applyBorder="1" applyAlignment="1">
      <alignment vertical="center"/>
    </xf>
    <xf numFmtId="0" fontId="3" fillId="71" borderId="18" xfId="0" applyNumberFormat="1" applyFont="1" applyFill="1" applyBorder="1" applyAlignment="1">
      <alignment horizontal="left" vertical="center" wrapText="1"/>
    </xf>
    <xf numFmtId="0" fontId="3" fillId="11" borderId="19" xfId="0" applyNumberFormat="1" applyFont="1" applyFill="1" applyBorder="1" applyAlignment="1">
      <alignment horizontal="left" vertical="center"/>
    </xf>
    <xf numFmtId="0" fontId="3" fillId="11" borderId="19" xfId="0" applyNumberFormat="1" applyFont="1" applyFill="1" applyBorder="1" applyAlignment="1">
      <alignment horizontal="center" vertical="center"/>
    </xf>
    <xf numFmtId="168" fontId="3" fillId="11" borderId="19" xfId="0" applyFont="1" applyFill="1" applyBorder="1" applyAlignment="1">
      <alignment horizontal="justify" vertical="center"/>
    </xf>
    <xf numFmtId="43" fontId="3" fillId="11" borderId="19" xfId="1" applyFont="1" applyFill="1" applyBorder="1" applyAlignment="1">
      <alignment horizontal="justify" vertical="center"/>
    </xf>
    <xf numFmtId="43" fontId="3" fillId="11" borderId="19" xfId="1" applyFont="1" applyFill="1" applyBorder="1" applyAlignment="1">
      <alignment horizontal="center" vertical="center"/>
    </xf>
    <xf numFmtId="43" fontId="3" fillId="11" borderId="15" xfId="1" applyFont="1" applyFill="1" applyBorder="1" applyAlignment="1">
      <alignment horizontal="center" vertical="center"/>
    </xf>
    <xf numFmtId="168" fontId="3" fillId="11" borderId="13" xfId="0" applyFont="1" applyFill="1" applyBorder="1" applyAlignment="1">
      <alignment horizontal="justify" vertical="center"/>
    </xf>
    <xf numFmtId="168" fontId="3" fillId="11" borderId="19" xfId="0" applyFont="1" applyFill="1" applyBorder="1" applyAlignment="1">
      <alignment horizontal="center" vertical="center"/>
    </xf>
    <xf numFmtId="0" fontId="3" fillId="11" borderId="7" xfId="0" applyNumberFormat="1" applyFont="1" applyFill="1" applyBorder="1" applyAlignment="1">
      <alignment horizontal="left" vertical="center"/>
    </xf>
    <xf numFmtId="0" fontId="3" fillId="11" borderId="8" xfId="0" applyNumberFormat="1" applyFont="1" applyFill="1" applyBorder="1" applyAlignment="1">
      <alignment horizontal="left" vertical="center"/>
    </xf>
    <xf numFmtId="43" fontId="3" fillId="11" borderId="3" xfId="1" applyFont="1" applyFill="1" applyBorder="1" applyAlignment="1">
      <alignment horizontal="left" vertical="center"/>
    </xf>
    <xf numFmtId="43" fontId="3" fillId="11" borderId="9" xfId="1" applyFont="1" applyFill="1" applyBorder="1" applyAlignment="1">
      <alignment horizontal="left" vertical="center"/>
    </xf>
    <xf numFmtId="9" fontId="3" fillId="71" borderId="3" xfId="0" applyNumberFormat="1" applyFont="1" applyFill="1" applyBorder="1" applyAlignment="1" applyProtection="1">
      <alignment horizontal="center" vertical="center"/>
      <protection locked="0"/>
    </xf>
    <xf numFmtId="9" fontId="3" fillId="71" borderId="19" xfId="282" applyNumberFormat="1" applyFont="1" applyFill="1" applyBorder="1" applyAlignment="1">
      <alignment horizontal="center" vertical="center"/>
    </xf>
    <xf numFmtId="9" fontId="3" fillId="11" borderId="3" xfId="0" applyNumberFormat="1" applyFont="1" applyFill="1" applyBorder="1" applyAlignment="1" applyProtection="1">
      <alignment horizontal="center" vertical="center"/>
      <protection locked="0"/>
    </xf>
    <xf numFmtId="9" fontId="3" fillId="11" borderId="19" xfId="282" applyNumberFormat="1" applyFont="1" applyFill="1" applyBorder="1" applyAlignment="1">
      <alignment horizontal="center" vertical="center"/>
    </xf>
    <xf numFmtId="0" fontId="3" fillId="71" borderId="19" xfId="0" applyNumberFormat="1" applyFont="1" applyFill="1" applyBorder="1" applyAlignment="1">
      <alignment horizontal="center" vertical="center" wrapText="1"/>
    </xf>
    <xf numFmtId="0" fontId="3" fillId="71" borderId="19" xfId="0" applyNumberFormat="1" applyFont="1" applyFill="1" applyBorder="1" applyAlignment="1">
      <alignment vertical="center"/>
    </xf>
    <xf numFmtId="43" fontId="3" fillId="71" borderId="19" xfId="1" applyFont="1" applyFill="1" applyBorder="1" applyAlignment="1">
      <alignment vertical="center"/>
    </xf>
    <xf numFmtId="9" fontId="3" fillId="71" borderId="12" xfId="0" applyNumberFormat="1" applyFont="1" applyFill="1" applyBorder="1" applyAlignment="1" applyProtection="1">
      <alignment horizontal="center" vertical="center"/>
      <protection locked="0"/>
    </xf>
    <xf numFmtId="168" fontId="3" fillId="7" borderId="3" xfId="0" applyFont="1" applyFill="1" applyBorder="1" applyAlignment="1">
      <alignment horizontal="center" vertical="center"/>
    </xf>
    <xf numFmtId="168" fontId="3" fillId="7" borderId="3" xfId="0" applyFont="1" applyFill="1" applyBorder="1" applyAlignment="1">
      <alignment vertical="center"/>
    </xf>
    <xf numFmtId="43" fontId="3" fillId="7" borderId="3" xfId="1" applyFont="1" applyFill="1" applyBorder="1" applyAlignment="1">
      <alignment horizontal="center" vertical="center"/>
    </xf>
    <xf numFmtId="168" fontId="0" fillId="0" borderId="0" xfId="0" applyBorder="1"/>
    <xf numFmtId="9" fontId="3" fillId="72" borderId="3" xfId="0" applyNumberFormat="1" applyFont="1" applyFill="1" applyBorder="1" applyAlignment="1" applyProtection="1">
      <alignment horizontal="center" vertical="center"/>
      <protection locked="0"/>
    </xf>
    <xf numFmtId="9" fontId="3" fillId="72" borderId="19" xfId="282" applyNumberFormat="1" applyFont="1" applyFill="1" applyBorder="1" applyAlignment="1">
      <alignment horizontal="center" vertical="center"/>
    </xf>
    <xf numFmtId="10" fontId="3" fillId="71" borderId="3" xfId="0" applyNumberFormat="1" applyFont="1" applyFill="1" applyBorder="1" applyAlignment="1" applyProtection="1">
      <alignment horizontal="center" vertical="center"/>
      <protection locked="0"/>
    </xf>
    <xf numFmtId="9" fontId="3" fillId="71" borderId="13" xfId="282" applyNumberFormat="1" applyFont="1" applyFill="1" applyBorder="1" applyAlignment="1">
      <alignment horizontal="center" vertical="center"/>
    </xf>
    <xf numFmtId="9" fontId="3" fillId="7" borderId="3" xfId="0" applyNumberFormat="1" applyFont="1" applyFill="1" applyBorder="1" applyAlignment="1" applyProtection="1">
      <alignment horizontal="center" vertical="center"/>
      <protection locked="0"/>
    </xf>
    <xf numFmtId="9" fontId="3" fillId="7" borderId="13" xfId="282" applyNumberFormat="1" applyFont="1" applyFill="1" applyBorder="1" applyAlignment="1">
      <alignment horizontal="center" vertical="center"/>
    </xf>
    <xf numFmtId="10" fontId="3" fillId="11" borderId="3" xfId="0" applyNumberFormat="1" applyFont="1" applyFill="1" applyBorder="1" applyAlignment="1" applyProtection="1">
      <alignment horizontal="center" vertical="center"/>
      <protection locked="0"/>
    </xf>
    <xf numFmtId="9" fontId="3" fillId="11" borderId="13" xfId="282" applyNumberFormat="1" applyFont="1" applyFill="1" applyBorder="1" applyAlignment="1">
      <alignment horizontal="center" vertical="center"/>
    </xf>
    <xf numFmtId="9" fontId="2" fillId="11" borderId="13" xfId="282" applyNumberFormat="1" applyFont="1" applyFill="1" applyBorder="1" applyAlignment="1">
      <alignment horizontal="center" vertical="center"/>
    </xf>
    <xf numFmtId="0" fontId="3" fillId="72" borderId="19" xfId="0" applyNumberFormat="1" applyFont="1" applyFill="1" applyBorder="1" applyAlignment="1">
      <alignment vertical="center"/>
    </xf>
    <xf numFmtId="9" fontId="3" fillId="72" borderId="12" xfId="0" applyNumberFormat="1" applyFont="1" applyFill="1" applyBorder="1" applyAlignment="1" applyProtection="1">
      <alignment horizontal="center" vertical="center"/>
      <protection locked="0"/>
    </xf>
    <xf numFmtId="10" fontId="3" fillId="72" borderId="3" xfId="0" applyNumberFormat="1" applyFont="1" applyFill="1" applyBorder="1" applyAlignment="1" applyProtection="1">
      <alignment horizontal="center" vertical="center"/>
      <protection locked="0"/>
    </xf>
    <xf numFmtId="9" fontId="3" fillId="72" borderId="13" xfId="282" applyNumberFormat="1" applyFont="1" applyFill="1" applyBorder="1" applyAlignment="1">
      <alignment horizontal="center" vertical="center"/>
    </xf>
    <xf numFmtId="168" fontId="3" fillId="11" borderId="0" xfId="0" applyFont="1" applyFill="1" applyAlignment="1">
      <alignment horizontal="center"/>
    </xf>
    <xf numFmtId="168" fontId="3" fillId="11" borderId="0" xfId="0" applyFont="1" applyFill="1"/>
    <xf numFmtId="43" fontId="3" fillId="11" borderId="0" xfId="1" applyFont="1" applyFill="1" applyAlignment="1">
      <alignment horizontal="center"/>
    </xf>
    <xf numFmtId="0" fontId="2" fillId="44" borderId="19" xfId="0" applyNumberFormat="1" applyFont="1" applyFill="1" applyBorder="1" applyAlignment="1">
      <alignment horizontal="center" vertical="center" wrapText="1"/>
    </xf>
    <xf numFmtId="0" fontId="58" fillId="44" borderId="19" xfId="0" applyNumberFormat="1" applyFont="1" applyFill="1" applyBorder="1" applyAlignment="1">
      <alignment vertical="center"/>
    </xf>
    <xf numFmtId="43" fontId="2" fillId="44" borderId="19" xfId="1" applyFont="1" applyFill="1" applyBorder="1" applyAlignment="1">
      <alignment vertical="center"/>
    </xf>
    <xf numFmtId="9" fontId="2" fillId="0" borderId="12" xfId="0" applyNumberFormat="1" applyFont="1" applyFill="1" applyBorder="1" applyAlignment="1" applyProtection="1">
      <alignment horizontal="center" vertical="center"/>
      <protection locked="0"/>
    </xf>
    <xf numFmtId="10" fontId="2" fillId="44" borderId="19" xfId="282" applyNumberFormat="1" applyFont="1" applyFill="1" applyBorder="1" applyAlignment="1">
      <alignment horizontal="center" vertical="center"/>
    </xf>
    <xf numFmtId="10" fontId="3" fillId="11" borderId="13" xfId="0" applyNumberFormat="1" applyFont="1" applyFill="1" applyBorder="1" applyAlignment="1">
      <alignment horizontal="center" vertical="center"/>
    </xf>
    <xf numFmtId="43" fontId="3" fillId="11" borderId="57" xfId="1" applyFont="1" applyFill="1" applyBorder="1" applyAlignment="1">
      <alignment vertical="center"/>
    </xf>
    <xf numFmtId="43" fontId="3" fillId="11" borderId="35" xfId="1" applyFont="1" applyFill="1" applyBorder="1" applyAlignment="1">
      <alignment vertical="center"/>
    </xf>
    <xf numFmtId="10" fontId="52" fillId="11" borderId="57" xfId="282" applyNumberFormat="1" applyFont="1" applyFill="1" applyBorder="1" applyAlignment="1">
      <alignment horizontal="center" vertical="center"/>
    </xf>
    <xf numFmtId="43" fontId="3" fillId="7" borderId="57" xfId="1" applyFont="1" applyFill="1" applyBorder="1" applyAlignment="1">
      <alignment vertical="center"/>
    </xf>
    <xf numFmtId="43" fontId="3" fillId="7" borderId="35" xfId="1" applyFont="1" applyFill="1" applyBorder="1" applyAlignment="1">
      <alignment vertical="center"/>
    </xf>
    <xf numFmtId="10" fontId="3" fillId="7" borderId="57" xfId="282" applyNumberFormat="1" applyFont="1" applyFill="1" applyBorder="1" applyAlignment="1">
      <alignment horizontal="center" vertical="center"/>
    </xf>
    <xf numFmtId="43" fontId="3" fillId="72" borderId="57" xfId="1" applyFont="1" applyFill="1" applyBorder="1" applyAlignment="1">
      <alignment vertical="center"/>
    </xf>
    <xf numFmtId="10" fontId="3" fillId="72" borderId="57" xfId="282" applyNumberFormat="1" applyFont="1" applyFill="1" applyBorder="1" applyAlignment="1">
      <alignment horizontal="center" vertical="center"/>
    </xf>
    <xf numFmtId="168" fontId="53" fillId="7" borderId="71" xfId="0" applyFont="1" applyFill="1" applyBorder="1" applyAlignment="1">
      <alignment horizontal="center" vertical="center" wrapText="1"/>
    </xf>
    <xf numFmtId="10" fontId="53" fillId="7" borderId="71" xfId="0" applyNumberFormat="1" applyFont="1" applyFill="1" applyBorder="1" applyAlignment="1">
      <alignment horizontal="center" vertical="center" wrapText="1"/>
    </xf>
    <xf numFmtId="43" fontId="3" fillId="71" borderId="57" xfId="1" applyFont="1" applyFill="1" applyBorder="1" applyAlignment="1">
      <alignment vertical="center"/>
    </xf>
    <xf numFmtId="10" fontId="3" fillId="71" borderId="57" xfId="282" applyNumberFormat="1" applyFont="1" applyFill="1" applyBorder="1" applyAlignment="1">
      <alignment horizontal="center" vertical="center"/>
    </xf>
    <xf numFmtId="10" fontId="2" fillId="71" borderId="57" xfId="282" applyNumberFormat="1" applyFont="1" applyFill="1" applyBorder="1" applyAlignment="1">
      <alignment horizontal="center" vertical="center"/>
    </xf>
    <xf numFmtId="0" fontId="3" fillId="71" borderId="0" xfId="94" applyFont="1" applyFill="1" applyAlignment="1">
      <alignment horizontal="left" vertical="center"/>
    </xf>
    <xf numFmtId="167" fontId="3" fillId="71" borderId="3" xfId="103" applyNumberFormat="1" applyFont="1" applyFill="1" applyBorder="1" applyAlignment="1">
      <alignment vertical="center"/>
    </xf>
    <xf numFmtId="9" fontId="3" fillId="71" borderId="3" xfId="96" applyFont="1" applyFill="1" applyBorder="1" applyAlignment="1">
      <alignment horizontal="center" vertical="center"/>
    </xf>
    <xf numFmtId="9" fontId="3" fillId="71" borderId="3" xfId="96" applyNumberFormat="1" applyFont="1" applyFill="1" applyBorder="1" applyAlignment="1">
      <alignment horizontal="center" vertical="center"/>
    </xf>
    <xf numFmtId="9" fontId="3" fillId="71" borderId="3" xfId="94" applyNumberFormat="1" applyFont="1" applyFill="1" applyBorder="1" applyAlignment="1" applyProtection="1">
      <alignment horizontal="center" vertical="center"/>
      <protection locked="0"/>
    </xf>
    <xf numFmtId="9" fontId="3" fillId="71" borderId="3" xfId="282" applyNumberFormat="1" applyFont="1" applyFill="1" applyBorder="1" applyAlignment="1">
      <alignment horizontal="center" vertical="center"/>
    </xf>
    <xf numFmtId="0" fontId="3" fillId="71" borderId="7" xfId="94" applyFont="1" applyFill="1" applyBorder="1" applyAlignment="1">
      <alignment horizontal="left" vertical="center"/>
    </xf>
    <xf numFmtId="0" fontId="3" fillId="71" borderId="9" xfId="94" applyFont="1" applyFill="1" applyBorder="1" applyAlignment="1">
      <alignment horizontal="left" vertical="center"/>
    </xf>
    <xf numFmtId="170" fontId="4" fillId="7" borderId="7" xfId="103" applyNumberFormat="1" applyFont="1" applyFill="1" applyBorder="1" applyAlignment="1">
      <alignment vertical="center" wrapText="1"/>
    </xf>
    <xf numFmtId="170" fontId="4" fillId="7" borderId="9" xfId="103" applyNumberFormat="1" applyFont="1" applyFill="1" applyBorder="1" applyAlignment="1">
      <alignment vertical="center" wrapText="1"/>
    </xf>
    <xf numFmtId="170" fontId="4" fillId="7" borderId="3" xfId="103" applyNumberFormat="1" applyFont="1" applyFill="1" applyBorder="1" applyAlignment="1">
      <alignment horizontal="center" vertical="center" wrapText="1"/>
    </xf>
    <xf numFmtId="170" fontId="55" fillId="7" borderId="3" xfId="103" applyNumberFormat="1" applyFont="1" applyFill="1" applyBorder="1" applyAlignment="1">
      <alignment horizontal="center" vertical="center" wrapText="1"/>
    </xf>
    <xf numFmtId="167" fontId="4" fillId="7" borderId="3" xfId="103" applyNumberFormat="1" applyFont="1" applyFill="1" applyBorder="1" applyAlignment="1">
      <alignment horizontal="center" vertical="center" wrapText="1"/>
    </xf>
    <xf numFmtId="0" fontId="3" fillId="13" borderId="7" xfId="94" applyFont="1" applyFill="1" applyBorder="1" applyAlignment="1">
      <alignment horizontal="left" vertical="center"/>
    </xf>
    <xf numFmtId="0" fontId="3" fillId="13" borderId="9" xfId="94" applyFont="1" applyFill="1" applyBorder="1" applyAlignment="1">
      <alignment horizontal="left" vertical="center"/>
    </xf>
    <xf numFmtId="167" fontId="3" fillId="13" borderId="3" xfId="103" applyNumberFormat="1" applyFont="1" applyFill="1" applyBorder="1" applyAlignment="1">
      <alignment vertical="center"/>
    </xf>
    <xf numFmtId="9" fontId="3" fillId="13" borderId="3" xfId="96" applyFont="1" applyFill="1" applyBorder="1" applyAlignment="1">
      <alignment horizontal="center" vertical="center"/>
    </xf>
    <xf numFmtId="9" fontId="3" fillId="13" borderId="3" xfId="96" applyNumberFormat="1" applyFont="1" applyFill="1" applyBorder="1" applyAlignment="1">
      <alignment horizontal="center" vertical="center"/>
    </xf>
    <xf numFmtId="9" fontId="3" fillId="13" borderId="3" xfId="94" applyNumberFormat="1" applyFont="1" applyFill="1" applyBorder="1" applyAlignment="1" applyProtection="1">
      <alignment horizontal="center" vertical="center"/>
      <protection locked="0"/>
    </xf>
    <xf numFmtId="9" fontId="3" fillId="13" borderId="3" xfId="282" applyNumberFormat="1" applyFont="1" applyFill="1" applyBorder="1" applyAlignment="1">
      <alignment horizontal="center" vertical="center"/>
    </xf>
    <xf numFmtId="172" fontId="2" fillId="0" borderId="3" xfId="2" applyNumberFormat="1" applyFont="1" applyFill="1" applyBorder="1" applyAlignment="1">
      <alignment horizontal="center" vertical="center"/>
    </xf>
    <xf numFmtId="172" fontId="2" fillId="0" borderId="3" xfId="694" applyNumberFormat="1" applyFont="1" applyFill="1" applyBorder="1" applyAlignment="1" applyProtection="1">
      <alignment horizontal="left" vertical="center"/>
      <protection locked="0"/>
    </xf>
    <xf numFmtId="172" fontId="2" fillId="0" borderId="0" xfId="694" applyNumberFormat="1" applyFont="1" applyFill="1" applyAlignment="1" applyProtection="1">
      <alignment horizontal="left" vertical="center"/>
      <protection locked="0"/>
    </xf>
    <xf numFmtId="179" fontId="2" fillId="0" borderId="3" xfId="282" applyNumberFormat="1" applyFont="1" applyBorder="1" applyAlignment="1">
      <alignment horizontal="center" vertical="center"/>
    </xf>
    <xf numFmtId="43" fontId="2" fillId="0" borderId="3" xfId="12" applyFont="1" applyFill="1" applyBorder="1" applyAlignment="1">
      <alignment horizontal="right" vertical="center" wrapText="1"/>
    </xf>
    <xf numFmtId="172" fontId="2" fillId="0" borderId="3" xfId="694" applyNumberFormat="1" applyFont="1" applyFill="1" applyBorder="1" applyAlignment="1" applyProtection="1">
      <alignment horizontal="center" vertical="center" wrapText="1"/>
      <protection locked="0"/>
    </xf>
    <xf numFmtId="172" fontId="2" fillId="0" borderId="3" xfId="5" applyNumberFormat="1" applyFont="1" applyFill="1" applyBorder="1" applyAlignment="1">
      <alignment horizontal="justify" vertical="center"/>
    </xf>
    <xf numFmtId="172" fontId="2" fillId="0" borderId="3" xfId="0" applyNumberFormat="1" applyFont="1" applyFill="1" applyBorder="1" applyAlignment="1">
      <alignment vertical="center"/>
    </xf>
    <xf numFmtId="172" fontId="62" fillId="0" borderId="3" xfId="680" applyNumberFormat="1" applyFont="1" applyFill="1" applyBorder="1"/>
    <xf numFmtId="172" fontId="2" fillId="0" borderId="3" xfId="688" applyNumberFormat="1" applyFont="1" applyFill="1" applyBorder="1" applyAlignment="1" applyProtection="1">
      <alignment horizontal="right" vertical="center"/>
      <protection locked="0"/>
    </xf>
    <xf numFmtId="172" fontId="2" fillId="0" borderId="3" xfId="418" applyNumberFormat="1" applyFont="1" applyFill="1" applyBorder="1" applyAlignment="1" applyProtection="1">
      <alignment horizontal="right" vertical="center"/>
      <protection locked="0"/>
    </xf>
    <xf numFmtId="172" fontId="2" fillId="0" borderId="3" xfId="708" applyNumberFormat="1" applyFont="1" applyFill="1" applyBorder="1" applyAlignment="1" applyProtection="1">
      <alignment horizontal="right" vertical="center"/>
      <protection locked="0"/>
    </xf>
    <xf numFmtId="180" fontId="2" fillId="0" borderId="3" xfId="1" applyNumberFormat="1" applyFont="1" applyFill="1" applyBorder="1" applyAlignment="1">
      <alignment horizontal="right" vertical="center" wrapText="1"/>
    </xf>
    <xf numFmtId="172" fontId="64" fillId="0" borderId="0" xfId="2" applyNumberFormat="1" applyFont="1" applyFill="1" applyAlignment="1">
      <alignment horizontal="center" vertical="center"/>
    </xf>
    <xf numFmtId="168" fontId="0" fillId="0" borderId="0" xfId="0" applyFill="1" applyAlignment="1">
      <alignment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168" fontId="57" fillId="0" borderId="4" xfId="0" applyFont="1" applyBorder="1" applyAlignment="1">
      <alignment horizontal="center" vertical="center" wrapText="1"/>
    </xf>
    <xf numFmtId="168" fontId="57" fillId="0" borderId="0" xfId="0" applyFont="1" applyBorder="1" applyAlignment="1">
      <alignment horizontal="center" vertical="center" wrapText="1"/>
    </xf>
    <xf numFmtId="168" fontId="57" fillId="0" borderId="0" xfId="0" applyFont="1" applyAlignment="1">
      <alignment horizontal="center" vertical="center" wrapText="1"/>
    </xf>
    <xf numFmtId="0" fontId="4" fillId="12" borderId="7" xfId="0" applyNumberFormat="1" applyFont="1" applyFill="1" applyBorder="1" applyAlignment="1">
      <alignment horizontal="center" vertical="center" wrapText="1"/>
    </xf>
    <xf numFmtId="0" fontId="4" fillId="12" borderId="8" xfId="0" applyNumberFormat="1" applyFont="1" applyFill="1" applyBorder="1" applyAlignment="1">
      <alignment horizontal="center" vertical="center" wrapText="1"/>
    </xf>
    <xf numFmtId="0" fontId="4" fillId="12" borderId="9" xfId="0" applyNumberFormat="1" applyFont="1" applyFill="1" applyBorder="1" applyAlignment="1">
      <alignment horizontal="center" vertical="center" wrapText="1"/>
    </xf>
    <xf numFmtId="168" fontId="4" fillId="71" borderId="55" xfId="0" applyFont="1" applyFill="1" applyBorder="1" applyAlignment="1">
      <alignment horizontal="center" vertical="center" wrapText="1"/>
    </xf>
    <xf numFmtId="168" fontId="4" fillId="71" borderId="12" xfId="0" applyFont="1" applyFill="1" applyBorder="1" applyAlignment="1">
      <alignment horizontal="center" vertical="center" wrapText="1"/>
    </xf>
    <xf numFmtId="0" fontId="4" fillId="12" borderId="55" xfId="0" applyNumberFormat="1" applyFont="1" applyFill="1" applyBorder="1" applyAlignment="1">
      <alignment horizontal="center" vertical="center" wrapText="1"/>
    </xf>
    <xf numFmtId="0" fontId="4" fillId="12" borderId="12" xfId="0" applyNumberFormat="1" applyFont="1" applyFill="1" applyBorder="1" applyAlignment="1">
      <alignment horizontal="center" vertical="center" wrapText="1"/>
    </xf>
    <xf numFmtId="0" fontId="4" fillId="71" borderId="3" xfId="0" applyNumberFormat="1" applyFont="1" applyFill="1" applyBorder="1" applyAlignment="1">
      <alignment horizontal="center" vertical="center" wrapText="1"/>
    </xf>
    <xf numFmtId="168" fontId="4" fillId="71" borderId="3" xfId="0" applyFont="1" applyFill="1" applyBorder="1" applyAlignment="1">
      <alignment horizontal="center" vertical="center" wrapText="1"/>
    </xf>
    <xf numFmtId="170" fontId="4" fillId="12" borderId="56" xfId="5" applyNumberFormat="1" applyFont="1" applyFill="1" applyBorder="1" applyAlignment="1">
      <alignment horizontal="center" vertical="center" wrapText="1"/>
    </xf>
    <xf numFmtId="170" fontId="4" fillId="12" borderId="12" xfId="5" applyNumberFormat="1" applyFont="1" applyFill="1" applyBorder="1" applyAlignment="1">
      <alignment horizontal="center" vertical="center" wrapText="1"/>
    </xf>
    <xf numFmtId="168" fontId="3" fillId="7" borderId="7" xfId="0" applyFont="1" applyFill="1" applyBorder="1" applyAlignment="1">
      <alignment horizontal="center" vertical="center" wrapText="1"/>
    </xf>
    <xf numFmtId="168" fontId="3" fillId="7" borderId="8" xfId="0" applyFont="1" applyFill="1" applyBorder="1" applyAlignment="1">
      <alignment horizontal="center" vertical="center" wrapText="1"/>
    </xf>
    <xf numFmtId="168" fontId="3" fillId="7" borderId="9" xfId="0" applyFont="1" applyFill="1" applyBorder="1" applyAlignment="1">
      <alignment horizontal="center" vertical="center" wrapText="1"/>
    </xf>
    <xf numFmtId="168" fontId="3" fillId="7" borderId="1" xfId="0" applyFont="1" applyFill="1" applyBorder="1" applyAlignment="1">
      <alignment horizontal="center" vertical="center" wrapText="1"/>
    </xf>
    <xf numFmtId="168" fontId="3" fillId="7" borderId="2" xfId="0" applyFont="1" applyFill="1" applyBorder="1" applyAlignment="1">
      <alignment horizontal="center" vertical="center" wrapText="1"/>
    </xf>
    <xf numFmtId="168" fontId="3" fillId="7" borderId="67" xfId="0" applyFont="1" applyFill="1" applyBorder="1" applyAlignment="1">
      <alignment horizontal="center" vertical="center" wrapText="1"/>
    </xf>
    <xf numFmtId="0" fontId="3" fillId="7" borderId="7" xfId="0" applyNumberFormat="1" applyFont="1" applyFill="1" applyBorder="1" applyAlignment="1">
      <alignment horizontal="center" vertical="center" wrapText="1"/>
    </xf>
    <xf numFmtId="0" fontId="3" fillId="7" borderId="9" xfId="0" applyNumberFormat="1" applyFont="1" applyFill="1" applyBorder="1" applyAlignment="1">
      <alignment horizontal="center" vertical="center" wrapText="1"/>
    </xf>
    <xf numFmtId="0" fontId="4" fillId="71" borderId="55" xfId="0" applyNumberFormat="1" applyFont="1" applyFill="1" applyBorder="1" applyAlignment="1">
      <alignment horizontal="center" vertical="center" wrapText="1"/>
    </xf>
    <xf numFmtId="0" fontId="4" fillId="71" borderId="12" xfId="0" applyNumberFormat="1" applyFont="1" applyFill="1" applyBorder="1" applyAlignment="1">
      <alignment horizontal="center" vertical="center" wrapText="1"/>
    </xf>
    <xf numFmtId="168" fontId="3" fillId="7" borderId="3" xfId="0" applyFont="1" applyFill="1" applyBorder="1" applyAlignment="1">
      <alignment horizontal="center" vertical="center" wrapText="1"/>
    </xf>
    <xf numFmtId="170" fontId="4" fillId="7" borderId="3" xfId="5" applyNumberFormat="1" applyFont="1" applyFill="1" applyBorder="1" applyAlignment="1">
      <alignment horizontal="center" vertical="center" wrapText="1"/>
    </xf>
    <xf numFmtId="168" fontId="3" fillId="0" borderId="2" xfId="0" applyFont="1" applyBorder="1" applyAlignment="1">
      <alignment horizontal="center" vertical="center" wrapText="1"/>
    </xf>
    <xf numFmtId="168" fontId="3" fillId="0" borderId="67" xfId="0" applyFont="1" applyBorder="1" applyAlignment="1">
      <alignment horizontal="center" vertical="center" wrapText="1"/>
    </xf>
    <xf numFmtId="168" fontId="3" fillId="0" borderId="0" xfId="0" applyFont="1" applyBorder="1" applyAlignment="1">
      <alignment horizontal="center" vertical="center" wrapText="1"/>
    </xf>
    <xf numFmtId="168" fontId="3" fillId="0" borderId="66" xfId="0" applyFont="1" applyBorder="1" applyAlignment="1">
      <alignment horizontal="center" vertical="center" wrapText="1"/>
    </xf>
    <xf numFmtId="168" fontId="3" fillId="0" borderId="6" xfId="0" applyFont="1" applyBorder="1" applyAlignment="1">
      <alignment horizontal="center" vertical="center" wrapText="1"/>
    </xf>
    <xf numFmtId="168" fontId="3" fillId="0" borderId="11" xfId="0" applyFont="1" applyBorder="1" applyAlignment="1">
      <alignment horizontal="center" vertical="center" wrapText="1"/>
    </xf>
    <xf numFmtId="0" fontId="4" fillId="7" borderId="2" xfId="0" applyNumberFormat="1" applyFont="1" applyFill="1" applyBorder="1" applyAlignment="1">
      <alignment horizontal="center" vertical="center" wrapText="1"/>
    </xf>
    <xf numFmtId="0" fontId="4" fillId="7" borderId="27" xfId="0" applyNumberFormat="1" applyFont="1" applyFill="1" applyBorder="1" applyAlignment="1">
      <alignment horizontal="center" vertical="center" wrapText="1"/>
    </xf>
    <xf numFmtId="168" fontId="4" fillId="7" borderId="2" xfId="0" applyFont="1" applyFill="1" applyBorder="1" applyAlignment="1">
      <alignment horizontal="center" vertical="center" wrapText="1"/>
    </xf>
    <xf numFmtId="168" fontId="4" fillId="7" borderId="27" xfId="0" applyFont="1" applyFill="1" applyBorder="1" applyAlignment="1">
      <alignment horizontal="center" vertical="center" wrapText="1"/>
    </xf>
    <xf numFmtId="170" fontId="4" fillId="7" borderId="15" xfId="5" applyNumberFormat="1" applyFont="1" applyFill="1" applyBorder="1" applyAlignment="1">
      <alignment horizontal="center" vertical="center" wrapText="1"/>
    </xf>
    <xf numFmtId="170" fontId="4" fillId="7" borderId="18" xfId="5" applyNumberFormat="1" applyFont="1" applyFill="1" applyBorder="1" applyAlignment="1">
      <alignment horizontal="center" vertical="center" wrapText="1"/>
    </xf>
    <xf numFmtId="170" fontId="4" fillId="7" borderId="16" xfId="5" applyNumberFormat="1" applyFont="1" applyFill="1" applyBorder="1" applyAlignment="1">
      <alignment horizontal="center" vertical="center" wrapText="1"/>
    </xf>
    <xf numFmtId="0" fontId="4" fillId="7" borderId="3" xfId="0" applyNumberFormat="1" applyFont="1" applyFill="1" applyBorder="1" applyAlignment="1">
      <alignment horizontal="center" vertical="center" wrapText="1"/>
    </xf>
    <xf numFmtId="168" fontId="4" fillId="7" borderId="3" xfId="0" applyFont="1" applyFill="1" applyBorder="1" applyAlignment="1">
      <alignment horizontal="center" vertical="center" wrapText="1"/>
    </xf>
    <xf numFmtId="170" fontId="4" fillId="7" borderId="20" xfId="5" applyNumberFormat="1" applyFont="1" applyFill="1" applyBorder="1" applyAlignment="1">
      <alignment horizontal="center" vertical="center" wrapText="1"/>
    </xf>
    <xf numFmtId="170" fontId="4" fillId="7" borderId="36" xfId="5" applyNumberFormat="1" applyFont="1" applyFill="1" applyBorder="1" applyAlignment="1">
      <alignment horizontal="center" vertical="center" wrapText="1"/>
    </xf>
    <xf numFmtId="170" fontId="4" fillId="7" borderId="31" xfId="5" applyNumberFormat="1" applyFont="1" applyFill="1" applyBorder="1" applyAlignment="1">
      <alignment horizontal="center" vertical="center" wrapText="1"/>
    </xf>
    <xf numFmtId="170" fontId="4" fillId="7" borderId="21" xfId="5" applyNumberFormat="1" applyFont="1" applyFill="1" applyBorder="1" applyAlignment="1">
      <alignment horizontal="center" vertical="center" wrapText="1"/>
    </xf>
    <xf numFmtId="170" fontId="4" fillId="7" borderId="29" xfId="5" applyNumberFormat="1" applyFont="1" applyFill="1" applyBorder="1" applyAlignment="1">
      <alignment horizontal="center" vertical="center" wrapText="1"/>
    </xf>
    <xf numFmtId="0" fontId="4" fillId="7" borderId="67" xfId="0" applyNumberFormat="1" applyFont="1" applyFill="1" applyBorder="1" applyAlignment="1">
      <alignment horizontal="center" vertical="center" wrapText="1"/>
    </xf>
    <xf numFmtId="0" fontId="4" fillId="7" borderId="68" xfId="0" applyNumberFormat="1" applyFont="1" applyFill="1" applyBorder="1" applyAlignment="1">
      <alignment horizontal="center" vertical="center" wrapText="1"/>
    </xf>
    <xf numFmtId="168" fontId="3" fillId="0" borderId="0" xfId="0" applyFont="1" applyBorder="1" applyAlignment="1">
      <alignment horizontal="center" vertical="top" wrapText="1"/>
    </xf>
    <xf numFmtId="168" fontId="3" fillId="0" borderId="0" xfId="0" applyFont="1" applyBorder="1" applyAlignment="1">
      <alignment horizontal="center" vertical="top"/>
    </xf>
    <xf numFmtId="170" fontId="4" fillId="7" borderId="7" xfId="5" applyNumberFormat="1" applyFont="1" applyFill="1" applyBorder="1" applyAlignment="1">
      <alignment horizontal="center" vertical="center" wrapText="1"/>
    </xf>
    <xf numFmtId="170" fontId="4" fillId="7" borderId="8" xfId="5" applyNumberFormat="1" applyFont="1" applyFill="1" applyBorder="1" applyAlignment="1">
      <alignment horizontal="center" vertical="center" wrapText="1"/>
    </xf>
    <xf numFmtId="170" fontId="4" fillId="7" borderId="9" xfId="5" applyNumberFormat="1" applyFont="1" applyFill="1" applyBorder="1" applyAlignment="1">
      <alignment horizontal="center" vertical="center" wrapText="1"/>
    </xf>
    <xf numFmtId="170" fontId="4" fillId="7" borderId="69" xfId="5" applyNumberFormat="1" applyFont="1" applyFill="1" applyBorder="1" applyAlignment="1">
      <alignment horizontal="center" vertical="center" wrapText="1"/>
    </xf>
    <xf numFmtId="0" fontId="4" fillId="7" borderId="30" xfId="0" applyNumberFormat="1" applyFont="1" applyFill="1" applyBorder="1" applyAlignment="1">
      <alignment horizontal="center" vertical="center" wrapText="1"/>
    </xf>
    <xf numFmtId="0" fontId="4" fillId="7" borderId="26" xfId="0" applyNumberFormat="1" applyFont="1" applyFill="1" applyBorder="1" applyAlignment="1">
      <alignment horizontal="center" vertical="center" wrapText="1"/>
    </xf>
    <xf numFmtId="170" fontId="4" fillId="7" borderId="23" xfId="5" applyNumberFormat="1" applyFont="1" applyFill="1" applyBorder="1" applyAlignment="1">
      <alignment horizontal="center" vertical="center" wrapText="1"/>
    </xf>
    <xf numFmtId="170" fontId="4" fillId="7" borderId="22" xfId="5" applyNumberFormat="1" applyFont="1" applyFill="1" applyBorder="1" applyAlignment="1">
      <alignment horizontal="center" vertical="center" wrapText="1"/>
    </xf>
    <xf numFmtId="168" fontId="24" fillId="0" borderId="3" xfId="0" applyFont="1" applyFill="1" applyBorder="1" applyAlignment="1">
      <alignment horizontal="center" vertical="center" wrapText="1"/>
    </xf>
    <xf numFmtId="168" fontId="24" fillId="0" borderId="7" xfId="0" applyFont="1" applyFill="1" applyBorder="1" applyAlignment="1">
      <alignment horizontal="center" vertical="center" wrapText="1"/>
    </xf>
    <xf numFmtId="168" fontId="24" fillId="0" borderId="8" xfId="0" applyFont="1" applyFill="1" applyBorder="1" applyAlignment="1">
      <alignment horizontal="center" vertical="center" wrapText="1"/>
    </xf>
    <xf numFmtId="168" fontId="24" fillId="0" borderId="9" xfId="0" applyFont="1" applyFill="1" applyBorder="1" applyAlignment="1">
      <alignment horizontal="center" vertical="center" wrapText="1"/>
    </xf>
    <xf numFmtId="0" fontId="3" fillId="7" borderId="15" xfId="0" applyNumberFormat="1" applyFont="1" applyFill="1" applyBorder="1" applyAlignment="1">
      <alignment horizontal="center" vertical="center"/>
    </xf>
    <xf numFmtId="0" fontId="3" fillId="7" borderId="16" xfId="0" applyNumberFormat="1" applyFont="1" applyFill="1" applyBorder="1" applyAlignment="1">
      <alignment horizontal="center" vertical="center"/>
    </xf>
    <xf numFmtId="0" fontId="2" fillId="5" borderId="75" xfId="393" applyNumberFormat="1" applyFont="1" applyFill="1" applyBorder="1" applyAlignment="1">
      <alignment horizontal="left" vertical="center" wrapText="1"/>
    </xf>
    <xf numFmtId="0" fontId="2" fillId="5" borderId="3" xfId="393" applyNumberFormat="1" applyFont="1" applyFill="1" applyBorder="1" applyAlignment="1">
      <alignment horizontal="left" vertical="center" wrapText="1"/>
    </xf>
    <xf numFmtId="0" fontId="2" fillId="70" borderId="75" xfId="393" applyNumberFormat="1" applyFont="1" applyFill="1" applyBorder="1" applyAlignment="1">
      <alignment horizontal="left" vertical="center" wrapText="1"/>
    </xf>
    <xf numFmtId="0" fontId="2" fillId="70" borderId="3" xfId="393" applyNumberFormat="1" applyFont="1" applyFill="1" applyBorder="1" applyAlignment="1">
      <alignment horizontal="left" vertical="center" wrapText="1"/>
    </xf>
    <xf numFmtId="0" fontId="3" fillId="0" borderId="72" xfId="393" applyNumberFormat="1" applyFont="1" applyBorder="1" applyAlignment="1">
      <alignment horizontal="center" vertical="center" wrapText="1"/>
    </xf>
    <xf numFmtId="0" fontId="3" fillId="0" borderId="73" xfId="393" applyNumberFormat="1" applyFont="1" applyBorder="1" applyAlignment="1">
      <alignment horizontal="center" vertical="center" wrapText="1"/>
    </xf>
    <xf numFmtId="0" fontId="2" fillId="69" borderId="75" xfId="393" applyNumberFormat="1" applyFont="1" applyFill="1" applyBorder="1" applyAlignment="1">
      <alignment horizontal="left" vertical="center" wrapText="1"/>
    </xf>
    <xf numFmtId="0" fontId="2" fillId="69" borderId="3" xfId="393" applyNumberFormat="1" applyFont="1" applyFill="1" applyBorder="1" applyAlignment="1">
      <alignment horizontal="left" vertical="center" wrapText="1"/>
    </xf>
    <xf numFmtId="0" fontId="2" fillId="4" borderId="75" xfId="393" applyNumberFormat="1" applyFont="1" applyFill="1" applyBorder="1" applyAlignment="1">
      <alignment horizontal="left" vertical="center" wrapText="1"/>
    </xf>
    <xf numFmtId="0" fontId="2" fillId="4" borderId="3" xfId="393" applyNumberFormat="1" applyFont="1" applyFill="1" applyBorder="1" applyAlignment="1">
      <alignment horizontal="left" vertical="center" wrapText="1"/>
    </xf>
    <xf numFmtId="0" fontId="2" fillId="68" borderId="75" xfId="393" applyNumberFormat="1" applyFont="1" applyFill="1" applyBorder="1" applyAlignment="1">
      <alignment horizontal="left" vertical="center" wrapText="1"/>
    </xf>
    <xf numFmtId="0" fontId="2" fillId="68" borderId="3" xfId="393" applyNumberFormat="1" applyFont="1" applyFill="1" applyBorder="1" applyAlignment="1">
      <alignment horizontal="left" vertical="center" wrapText="1"/>
    </xf>
    <xf numFmtId="168" fontId="52" fillId="7" borderId="0" xfId="0" applyFont="1" applyFill="1" applyBorder="1" applyAlignment="1">
      <alignment horizontal="center" vertical="center" wrapText="1"/>
    </xf>
    <xf numFmtId="168" fontId="52" fillId="7" borderId="70" xfId="0" applyFont="1" applyFill="1" applyBorder="1" applyAlignment="1">
      <alignment horizontal="center" vertical="center" wrapText="1"/>
    </xf>
    <xf numFmtId="168" fontId="53" fillId="7" borderId="0" xfId="0" applyFont="1" applyFill="1" applyBorder="1" applyAlignment="1">
      <alignment horizontal="center" vertical="center" wrapText="1"/>
    </xf>
    <xf numFmtId="168" fontId="53" fillId="7" borderId="70" xfId="0" applyFont="1" applyFill="1" applyBorder="1" applyAlignment="1">
      <alignment horizontal="center" vertical="center" wrapText="1"/>
    </xf>
    <xf numFmtId="168" fontId="53" fillId="7" borderId="72" xfId="0" applyFont="1" applyFill="1" applyBorder="1" applyAlignment="1">
      <alignment horizontal="center" vertical="center" wrapText="1"/>
    </xf>
    <xf numFmtId="168" fontId="53" fillId="7" borderId="73" xfId="0" applyFont="1" applyFill="1" applyBorder="1" applyAlignment="1">
      <alignment horizontal="center" vertical="center" wrapText="1"/>
    </xf>
    <xf numFmtId="168" fontId="53" fillId="7" borderId="74" xfId="0" applyFont="1" applyFill="1" applyBorder="1" applyAlignment="1">
      <alignment horizontal="center" vertical="center" wrapText="1"/>
    </xf>
    <xf numFmtId="168" fontId="52" fillId="0" borderId="33" xfId="0" applyFont="1" applyBorder="1" applyAlignment="1">
      <alignment horizontal="center" vertical="center" wrapText="1"/>
    </xf>
    <xf numFmtId="168" fontId="52" fillId="0" borderId="34" xfId="0" applyFont="1" applyBorder="1" applyAlignment="1">
      <alignment horizontal="center" vertical="center" wrapText="1"/>
    </xf>
    <xf numFmtId="168" fontId="52" fillId="0" borderId="35" xfId="0" applyFont="1" applyBorder="1" applyAlignment="1">
      <alignment horizontal="center" vertical="center" wrapText="1"/>
    </xf>
    <xf numFmtId="168" fontId="3" fillId="7" borderId="33" xfId="0" applyFont="1" applyFill="1" applyBorder="1" applyAlignment="1">
      <alignment horizontal="left" vertical="center"/>
    </xf>
    <xf numFmtId="168" fontId="3" fillId="7" borderId="34" xfId="0" applyFont="1" applyFill="1" applyBorder="1" applyAlignment="1">
      <alignment horizontal="left" vertical="center"/>
    </xf>
    <xf numFmtId="168" fontId="3" fillId="11" borderId="33" xfId="0" applyFont="1" applyFill="1" applyBorder="1" applyAlignment="1">
      <alignment horizontal="left" vertical="center"/>
    </xf>
    <xf numFmtId="168" fontId="3" fillId="11" borderId="34" xfId="0" applyFont="1" applyFill="1" applyBorder="1" applyAlignment="1">
      <alignment horizontal="left" vertical="center"/>
    </xf>
    <xf numFmtId="168" fontId="3" fillId="71" borderId="62" xfId="0" applyFont="1" applyFill="1" applyBorder="1" applyAlignment="1">
      <alignment horizontal="left" vertical="center"/>
    </xf>
    <xf numFmtId="168" fontId="3" fillId="71" borderId="63" xfId="0" applyFont="1" applyFill="1" applyBorder="1" applyAlignment="1">
      <alignment horizontal="left" vertical="center"/>
    </xf>
    <xf numFmtId="168" fontId="3" fillId="71" borderId="62" xfId="0" applyFont="1" applyFill="1" applyBorder="1" applyAlignment="1">
      <alignment horizontal="justify" vertical="center"/>
    </xf>
    <xf numFmtId="168" fontId="3" fillId="71" borderId="63" xfId="0" applyFont="1" applyFill="1" applyBorder="1" applyAlignment="1">
      <alignment horizontal="justify" vertical="center"/>
    </xf>
    <xf numFmtId="168" fontId="3" fillId="71" borderId="60" xfId="0" applyFont="1" applyFill="1" applyBorder="1" applyAlignment="1">
      <alignment horizontal="left" vertical="center"/>
    </xf>
    <xf numFmtId="168" fontId="3" fillId="71" borderId="61" xfId="0" applyFont="1" applyFill="1" applyBorder="1" applyAlignment="1">
      <alignment horizontal="left" vertical="center"/>
    </xf>
    <xf numFmtId="168" fontId="3" fillId="72" borderId="62" xfId="0" applyFont="1" applyFill="1" applyBorder="1" applyAlignment="1">
      <alignment horizontal="left" vertical="center"/>
    </xf>
    <xf numFmtId="168" fontId="3" fillId="72" borderId="63" xfId="0" applyFont="1" applyFill="1" applyBorder="1" applyAlignment="1">
      <alignment horizontal="left" vertical="center"/>
    </xf>
    <xf numFmtId="0" fontId="54" fillId="0" borderId="5" xfId="94" applyFont="1" applyBorder="1" applyAlignment="1">
      <alignment horizontal="center" vertical="center" wrapText="1"/>
    </xf>
    <xf numFmtId="0" fontId="54" fillId="0" borderId="6" xfId="94" applyFont="1" applyBorder="1" applyAlignment="1">
      <alignment horizontal="center" vertical="center" wrapText="1"/>
    </xf>
  </cellXfs>
  <cellStyles count="1036">
    <cellStyle name="20% - Énfasis1" xfId="36" builtinId="30" customBuiltin="1"/>
    <cellStyle name="20% - Énfasis1 2" xfId="233" xr:uid="{00000000-0005-0000-0000-000001000000}"/>
    <cellStyle name="20% - Énfasis1 2 2" xfId="286" xr:uid="{00000000-0005-0000-0000-000002000000}"/>
    <cellStyle name="20% - Énfasis1 2 3" xfId="287" xr:uid="{00000000-0005-0000-0000-000003000000}"/>
    <cellStyle name="20% - Énfasis1 2 4" xfId="285" xr:uid="{00000000-0005-0000-0000-000004000000}"/>
    <cellStyle name="20% - Énfasis1 2 5" xfId="561" xr:uid="{00000000-0005-0000-0000-000005000000}"/>
    <cellStyle name="20% - Énfasis2" xfId="40" builtinId="34" customBuiltin="1"/>
    <cellStyle name="20% - Énfasis2 2" xfId="253" xr:uid="{00000000-0005-0000-0000-000007000000}"/>
    <cellStyle name="20% - Énfasis2 2 2" xfId="289" xr:uid="{00000000-0005-0000-0000-000008000000}"/>
    <cellStyle name="20% - Énfasis2 2 3" xfId="290" xr:uid="{00000000-0005-0000-0000-000009000000}"/>
    <cellStyle name="20% - Énfasis2 2 4" xfId="288" xr:uid="{00000000-0005-0000-0000-00000A000000}"/>
    <cellStyle name="20% - Énfasis2 2 5" xfId="572" xr:uid="{00000000-0005-0000-0000-00000B000000}"/>
    <cellStyle name="20% - Énfasis3" xfId="44" builtinId="38" customBuiltin="1"/>
    <cellStyle name="20% - Énfasis3 2" xfId="61" xr:uid="{00000000-0005-0000-0000-00000D000000}"/>
    <cellStyle name="20% - Énfasis3 2 2" xfId="292" xr:uid="{00000000-0005-0000-0000-00000E000000}"/>
    <cellStyle name="20% - Énfasis3 2 3" xfId="293" xr:uid="{00000000-0005-0000-0000-00000F000000}"/>
    <cellStyle name="20% - Énfasis3 2 4" xfId="291" xr:uid="{00000000-0005-0000-0000-000010000000}"/>
    <cellStyle name="20% - Énfasis3 2 5" xfId="487" xr:uid="{00000000-0005-0000-0000-000011000000}"/>
    <cellStyle name="20% - Énfasis4" xfId="48" builtinId="42" customBuiltin="1"/>
    <cellStyle name="20% - Énfasis4 2" xfId="257" xr:uid="{00000000-0005-0000-0000-000013000000}"/>
    <cellStyle name="20% - Énfasis4 2 2" xfId="295" xr:uid="{00000000-0005-0000-0000-000014000000}"/>
    <cellStyle name="20% - Énfasis4 2 3" xfId="296" xr:uid="{00000000-0005-0000-0000-000015000000}"/>
    <cellStyle name="20% - Énfasis4 2 4" xfId="294" xr:uid="{00000000-0005-0000-0000-000016000000}"/>
    <cellStyle name="20% - Énfasis4 2 5" xfId="574" xr:uid="{00000000-0005-0000-0000-000017000000}"/>
    <cellStyle name="20% - Énfasis5" xfId="52" builtinId="46" customBuiltin="1"/>
    <cellStyle name="20% - Énfasis5 2" xfId="223" xr:uid="{00000000-0005-0000-0000-000019000000}"/>
    <cellStyle name="20% - Énfasis5 2 2" xfId="298" xr:uid="{00000000-0005-0000-0000-00001A000000}"/>
    <cellStyle name="20% - Énfasis5 2 3" xfId="299" xr:uid="{00000000-0005-0000-0000-00001B000000}"/>
    <cellStyle name="20% - Énfasis5 2 4" xfId="297" xr:uid="{00000000-0005-0000-0000-00001C000000}"/>
    <cellStyle name="20% - Énfasis5 2 5" xfId="557" xr:uid="{00000000-0005-0000-0000-00001D000000}"/>
    <cellStyle name="20% - Énfasis6" xfId="56" builtinId="50" customBuiltin="1"/>
    <cellStyle name="20% - Énfasis6 2" xfId="215" xr:uid="{00000000-0005-0000-0000-00001F000000}"/>
    <cellStyle name="20% - Énfasis6 2 2" xfId="301" xr:uid="{00000000-0005-0000-0000-000020000000}"/>
    <cellStyle name="20% - Énfasis6 2 3" xfId="302" xr:uid="{00000000-0005-0000-0000-000021000000}"/>
    <cellStyle name="20% - Énfasis6 2 4" xfId="300" xr:uid="{00000000-0005-0000-0000-000022000000}"/>
    <cellStyle name="20% - Énfasis6 2 5" xfId="553" xr:uid="{00000000-0005-0000-0000-000023000000}"/>
    <cellStyle name="40% - Énfasis1" xfId="37" builtinId="31" customBuiltin="1"/>
    <cellStyle name="40% - Énfasis1 2" xfId="196" xr:uid="{00000000-0005-0000-0000-000025000000}"/>
    <cellStyle name="40% - Énfasis1 2 2" xfId="304" xr:uid="{00000000-0005-0000-0000-000026000000}"/>
    <cellStyle name="40% - Énfasis1 2 3" xfId="305" xr:uid="{00000000-0005-0000-0000-000027000000}"/>
    <cellStyle name="40% - Énfasis1 2 4" xfId="303" xr:uid="{00000000-0005-0000-0000-000028000000}"/>
    <cellStyle name="40% - Énfasis1 2 5" xfId="545" xr:uid="{00000000-0005-0000-0000-000029000000}"/>
    <cellStyle name="40% - Énfasis2" xfId="41" builtinId="35" customBuiltin="1"/>
    <cellStyle name="40% - Énfasis2 2" xfId="251" xr:uid="{00000000-0005-0000-0000-00002B000000}"/>
    <cellStyle name="40% - Énfasis2 2 2" xfId="307" xr:uid="{00000000-0005-0000-0000-00002C000000}"/>
    <cellStyle name="40% - Énfasis2 2 3" xfId="308" xr:uid="{00000000-0005-0000-0000-00002D000000}"/>
    <cellStyle name="40% - Énfasis2 2 4" xfId="306" xr:uid="{00000000-0005-0000-0000-00002E000000}"/>
    <cellStyle name="40% - Énfasis2 2 5" xfId="570" xr:uid="{00000000-0005-0000-0000-00002F000000}"/>
    <cellStyle name="40% - Énfasis3" xfId="45" builtinId="39" customBuiltin="1"/>
    <cellStyle name="40% - Énfasis3 2" xfId="260" xr:uid="{00000000-0005-0000-0000-000031000000}"/>
    <cellStyle name="40% - Énfasis3 2 2" xfId="310" xr:uid="{00000000-0005-0000-0000-000032000000}"/>
    <cellStyle name="40% - Énfasis3 2 3" xfId="311" xr:uid="{00000000-0005-0000-0000-000033000000}"/>
    <cellStyle name="40% - Énfasis3 2 4" xfId="309" xr:uid="{00000000-0005-0000-0000-000034000000}"/>
    <cellStyle name="40% - Énfasis3 2 5" xfId="575" xr:uid="{00000000-0005-0000-0000-000035000000}"/>
    <cellStyle name="40% - Énfasis4" xfId="49" builtinId="43" customBuiltin="1"/>
    <cellStyle name="40% - Énfasis4 2" xfId="218" xr:uid="{00000000-0005-0000-0000-000037000000}"/>
    <cellStyle name="40% - Énfasis4 2 2" xfId="313" xr:uid="{00000000-0005-0000-0000-000038000000}"/>
    <cellStyle name="40% - Énfasis4 2 3" xfId="314" xr:uid="{00000000-0005-0000-0000-000039000000}"/>
    <cellStyle name="40% - Énfasis4 2 4" xfId="312" xr:uid="{00000000-0005-0000-0000-00003A000000}"/>
    <cellStyle name="40% - Énfasis4 2 5" xfId="554" xr:uid="{00000000-0005-0000-0000-00003B000000}"/>
    <cellStyle name="40% - Énfasis5" xfId="53" builtinId="47" customBuiltin="1"/>
    <cellStyle name="40% - Énfasis5 2" xfId="250" xr:uid="{00000000-0005-0000-0000-00003D000000}"/>
    <cellStyle name="40% - Énfasis5 2 2" xfId="316" xr:uid="{00000000-0005-0000-0000-00003E000000}"/>
    <cellStyle name="40% - Énfasis5 2 3" xfId="317" xr:uid="{00000000-0005-0000-0000-00003F000000}"/>
    <cellStyle name="40% - Énfasis5 2 4" xfId="315" xr:uid="{00000000-0005-0000-0000-000040000000}"/>
    <cellStyle name="40% - Énfasis5 2 5" xfId="569" xr:uid="{00000000-0005-0000-0000-000041000000}"/>
    <cellStyle name="40% - Énfasis6" xfId="57" builtinId="51" customBuiltin="1"/>
    <cellStyle name="40% - Énfasis6 2" xfId="67" xr:uid="{00000000-0005-0000-0000-000043000000}"/>
    <cellStyle name="40% - Énfasis6 2 2" xfId="319" xr:uid="{00000000-0005-0000-0000-000044000000}"/>
    <cellStyle name="40% - Énfasis6 2 3" xfId="320" xr:uid="{00000000-0005-0000-0000-000045000000}"/>
    <cellStyle name="40% - Énfasis6 2 4" xfId="318" xr:uid="{00000000-0005-0000-0000-000046000000}"/>
    <cellStyle name="40% - Énfasis6 2 5" xfId="491" xr:uid="{00000000-0005-0000-0000-000047000000}"/>
    <cellStyle name="60% - Énfasis1" xfId="38" builtinId="32" customBuiltin="1"/>
    <cellStyle name="60% - Énfasis1 2" xfId="213" xr:uid="{00000000-0005-0000-0000-000049000000}"/>
    <cellStyle name="60% - Énfasis1 2 2" xfId="321" xr:uid="{00000000-0005-0000-0000-00004A000000}"/>
    <cellStyle name="60% - Énfasis1 2 3" xfId="552" xr:uid="{00000000-0005-0000-0000-00004B000000}"/>
    <cellStyle name="60% - Énfasis1 3" xfId="427" xr:uid="{00000000-0005-0000-0000-00004C000000}"/>
    <cellStyle name="60% - Énfasis1 4" xfId="719" xr:uid="{00000000-0005-0000-0000-00004D000000}"/>
    <cellStyle name="60% - Énfasis2" xfId="42" builtinId="36" customBuiltin="1"/>
    <cellStyle name="60% - Énfasis2 2" xfId="242" xr:uid="{00000000-0005-0000-0000-00004F000000}"/>
    <cellStyle name="60% - Énfasis2 2 2" xfId="322" xr:uid="{00000000-0005-0000-0000-000050000000}"/>
    <cellStyle name="60% - Énfasis2 2 3" xfId="565" xr:uid="{00000000-0005-0000-0000-000051000000}"/>
    <cellStyle name="60% - Énfasis2 3" xfId="428" xr:uid="{00000000-0005-0000-0000-000052000000}"/>
    <cellStyle name="60% - Énfasis2 4" xfId="720" xr:uid="{00000000-0005-0000-0000-000053000000}"/>
    <cellStyle name="60% - Énfasis3" xfId="46" builtinId="40" customBuiltin="1"/>
    <cellStyle name="60% - Énfasis3 2" xfId="72" xr:uid="{00000000-0005-0000-0000-000055000000}"/>
    <cellStyle name="60% - Énfasis3 2 2" xfId="323" xr:uid="{00000000-0005-0000-0000-000056000000}"/>
    <cellStyle name="60% - Énfasis3 2 3" xfId="495" xr:uid="{00000000-0005-0000-0000-000057000000}"/>
    <cellStyle name="60% - Énfasis3 3" xfId="429" xr:uid="{00000000-0005-0000-0000-000058000000}"/>
    <cellStyle name="60% - Énfasis3 4" xfId="721" xr:uid="{00000000-0005-0000-0000-000059000000}"/>
    <cellStyle name="60% - Énfasis4" xfId="50" builtinId="44" customBuiltin="1"/>
    <cellStyle name="60% - Énfasis4 2" xfId="237" xr:uid="{00000000-0005-0000-0000-00005B000000}"/>
    <cellStyle name="60% - Énfasis4 2 2" xfId="324" xr:uid="{00000000-0005-0000-0000-00005C000000}"/>
    <cellStyle name="60% - Énfasis4 2 3" xfId="563" xr:uid="{00000000-0005-0000-0000-00005D000000}"/>
    <cellStyle name="60% - Énfasis4 3" xfId="430" xr:uid="{00000000-0005-0000-0000-00005E000000}"/>
    <cellStyle name="60% - Énfasis4 4" xfId="722" xr:uid="{00000000-0005-0000-0000-00005F000000}"/>
    <cellStyle name="60% - Énfasis5" xfId="54" builtinId="48" customBuiltin="1"/>
    <cellStyle name="60% - Énfasis5 2" xfId="235" xr:uid="{00000000-0005-0000-0000-000061000000}"/>
    <cellStyle name="60% - Énfasis5 2 2" xfId="325" xr:uid="{00000000-0005-0000-0000-000062000000}"/>
    <cellStyle name="60% - Énfasis5 2 3" xfId="562" xr:uid="{00000000-0005-0000-0000-000063000000}"/>
    <cellStyle name="60% - Énfasis5 3" xfId="431" xr:uid="{00000000-0005-0000-0000-000064000000}"/>
    <cellStyle name="60% - Énfasis5 4" xfId="723" xr:uid="{00000000-0005-0000-0000-000065000000}"/>
    <cellStyle name="60% - Énfasis6" xfId="58" builtinId="52" customBuiltin="1"/>
    <cellStyle name="60% - Énfasis6 2" xfId="80" xr:uid="{00000000-0005-0000-0000-000067000000}"/>
    <cellStyle name="60% - Énfasis6 2 2" xfId="326" xr:uid="{00000000-0005-0000-0000-000068000000}"/>
    <cellStyle name="60% - Énfasis6 2 3" xfId="497" xr:uid="{00000000-0005-0000-0000-000069000000}"/>
    <cellStyle name="60% - Énfasis6 3" xfId="432" xr:uid="{00000000-0005-0000-0000-00006A000000}"/>
    <cellStyle name="60% - Énfasis6 4" xfId="724" xr:uid="{00000000-0005-0000-0000-00006B000000}"/>
    <cellStyle name="Buena 2" xfId="327" xr:uid="{00000000-0005-0000-0000-00006C000000}"/>
    <cellStyle name="Cálculo" xfId="28" builtinId="22" customBuiltin="1"/>
    <cellStyle name="Cálculo 2" xfId="69" xr:uid="{00000000-0005-0000-0000-00006E000000}"/>
    <cellStyle name="Cálculo 2 2" xfId="328" xr:uid="{00000000-0005-0000-0000-00006F000000}"/>
    <cellStyle name="Cálculo 2 3" xfId="493" xr:uid="{00000000-0005-0000-0000-000070000000}"/>
    <cellStyle name="Celda de comprobación" xfId="30" builtinId="23" customBuiltin="1"/>
    <cellStyle name="Celda de comprobación 2" xfId="68" xr:uid="{00000000-0005-0000-0000-000072000000}"/>
    <cellStyle name="Celda de comprobación 2 2" xfId="329" xr:uid="{00000000-0005-0000-0000-000073000000}"/>
    <cellStyle name="Celda de comprobación 2 3" xfId="492" xr:uid="{00000000-0005-0000-0000-000074000000}"/>
    <cellStyle name="Celda vinculada" xfId="29" builtinId="24" customBuiltin="1"/>
    <cellStyle name="Celda vinculada 2" xfId="171" xr:uid="{00000000-0005-0000-0000-000076000000}"/>
    <cellStyle name="Celda vinculada 2 2" xfId="330" xr:uid="{00000000-0005-0000-0000-000077000000}"/>
    <cellStyle name="Celda vinculada 2 3" xfId="537" xr:uid="{00000000-0005-0000-0000-000078000000}"/>
    <cellStyle name="Encabezado 1" xfId="20" builtinId="16" customBuiltin="1"/>
    <cellStyle name="Encabezado 4" xfId="23" builtinId="19" customBuiltin="1"/>
    <cellStyle name="Encabezado 4 2" xfId="201" xr:uid="{00000000-0005-0000-0000-00007B000000}"/>
    <cellStyle name="Encabezado 4 2 2" xfId="331" xr:uid="{00000000-0005-0000-0000-00007C000000}"/>
    <cellStyle name="Encabezado 4 2 3" xfId="547" xr:uid="{00000000-0005-0000-0000-00007D000000}"/>
    <cellStyle name="Énfasis1" xfId="35" builtinId="29" customBuiltin="1"/>
    <cellStyle name="Énfasis1 2" xfId="224" xr:uid="{00000000-0005-0000-0000-00007F000000}"/>
    <cellStyle name="Énfasis1 2 2" xfId="332" xr:uid="{00000000-0005-0000-0000-000080000000}"/>
    <cellStyle name="Énfasis1 2 3" xfId="558" xr:uid="{00000000-0005-0000-0000-000081000000}"/>
    <cellStyle name="Énfasis2" xfId="39" builtinId="33" customBuiltin="1"/>
    <cellStyle name="Énfasis2 2" xfId="184" xr:uid="{00000000-0005-0000-0000-000083000000}"/>
    <cellStyle name="Énfasis2 2 2" xfId="333" xr:uid="{00000000-0005-0000-0000-000084000000}"/>
    <cellStyle name="Énfasis2 2 3" xfId="540" xr:uid="{00000000-0005-0000-0000-000085000000}"/>
    <cellStyle name="Énfasis3" xfId="43" builtinId="37" customBuiltin="1"/>
    <cellStyle name="Énfasis3 2" xfId="173" xr:uid="{00000000-0005-0000-0000-000087000000}"/>
    <cellStyle name="Énfasis3 2 2" xfId="334" xr:uid="{00000000-0005-0000-0000-000088000000}"/>
    <cellStyle name="Énfasis3 2 3" xfId="538" xr:uid="{00000000-0005-0000-0000-000089000000}"/>
    <cellStyle name="Énfasis4" xfId="47" builtinId="41" customBuiltin="1"/>
    <cellStyle name="Énfasis4 2" xfId="188" xr:uid="{00000000-0005-0000-0000-00008B000000}"/>
    <cellStyle name="Énfasis4 2 2" xfId="335" xr:uid="{00000000-0005-0000-0000-00008C000000}"/>
    <cellStyle name="Énfasis4 2 3" xfId="542" xr:uid="{00000000-0005-0000-0000-00008D000000}"/>
    <cellStyle name="Énfasis5" xfId="51" builtinId="45" customBuiltin="1"/>
    <cellStyle name="Énfasis5 2" xfId="265" xr:uid="{00000000-0005-0000-0000-00008F000000}"/>
    <cellStyle name="Énfasis5 2 2" xfId="336" xr:uid="{00000000-0005-0000-0000-000090000000}"/>
    <cellStyle name="Énfasis5 2 3" xfId="578" xr:uid="{00000000-0005-0000-0000-000091000000}"/>
    <cellStyle name="Énfasis6" xfId="55" builtinId="49" customBuiltin="1"/>
    <cellStyle name="Énfasis6 2" xfId="248" xr:uid="{00000000-0005-0000-0000-000093000000}"/>
    <cellStyle name="Énfasis6 2 2" xfId="337" xr:uid="{00000000-0005-0000-0000-000094000000}"/>
    <cellStyle name="Énfasis6 2 3" xfId="567" xr:uid="{00000000-0005-0000-0000-000095000000}"/>
    <cellStyle name="Entrada" xfId="26" builtinId="20" customBuiltin="1"/>
    <cellStyle name="Entrada 2" xfId="181" xr:uid="{00000000-0005-0000-0000-000097000000}"/>
    <cellStyle name="Entrada 2 2" xfId="338" xr:uid="{00000000-0005-0000-0000-000098000000}"/>
    <cellStyle name="Entrada 2 3" xfId="539" xr:uid="{00000000-0005-0000-0000-000099000000}"/>
    <cellStyle name="Euro" xfId="339" xr:uid="{00000000-0005-0000-0000-00009A000000}"/>
    <cellStyle name="Euro 2" xfId="340" xr:uid="{00000000-0005-0000-0000-00009B000000}"/>
    <cellStyle name="Euro 2 2" xfId="397" xr:uid="{00000000-0005-0000-0000-00009C000000}"/>
    <cellStyle name="Euro 3" xfId="396" xr:uid="{00000000-0005-0000-0000-00009D000000}"/>
    <cellStyle name="Excel Built-in Normal 2" xfId="119" xr:uid="{00000000-0005-0000-0000-00009E000000}"/>
    <cellStyle name="Excel Built-in Normal 2 2" xfId="244" xr:uid="{00000000-0005-0000-0000-00009F000000}"/>
    <cellStyle name="F2" xfId="341" xr:uid="{00000000-0005-0000-0000-0000A0000000}"/>
    <cellStyle name="F3" xfId="342" xr:uid="{00000000-0005-0000-0000-0000A1000000}"/>
    <cellStyle name="F4" xfId="343" xr:uid="{00000000-0005-0000-0000-0000A2000000}"/>
    <cellStyle name="F5" xfId="344" xr:uid="{00000000-0005-0000-0000-0000A3000000}"/>
    <cellStyle name="F6" xfId="345" xr:uid="{00000000-0005-0000-0000-0000A4000000}"/>
    <cellStyle name="F7" xfId="346" xr:uid="{00000000-0005-0000-0000-0000A5000000}"/>
    <cellStyle name="F8" xfId="347" xr:uid="{00000000-0005-0000-0000-0000A6000000}"/>
    <cellStyle name="Hipervínculo 2" xfId="192" xr:uid="{00000000-0005-0000-0000-0000A7000000}"/>
    <cellStyle name="Incorrecto" xfId="24" builtinId="27" customBuiltin="1"/>
    <cellStyle name="Incorrecto 2" xfId="254" xr:uid="{00000000-0005-0000-0000-0000A9000000}"/>
    <cellStyle name="Incorrecto 2 2" xfId="348" xr:uid="{00000000-0005-0000-0000-0000AA000000}"/>
    <cellStyle name="Incorrecto 2 3" xfId="573" xr:uid="{00000000-0005-0000-0000-0000AB000000}"/>
    <cellStyle name="KPT04" xfId="6" xr:uid="{00000000-0005-0000-0000-0000AC000000}"/>
    <cellStyle name="KPT04 2" xfId="9" xr:uid="{00000000-0005-0000-0000-0000AD000000}"/>
    <cellStyle name="KPT04 2 2" xfId="261" xr:uid="{00000000-0005-0000-0000-0000AE000000}"/>
    <cellStyle name="KPT04 3" xfId="263" xr:uid="{00000000-0005-0000-0000-0000AF000000}"/>
    <cellStyle name="KPT04_Main" xfId="14" xr:uid="{00000000-0005-0000-0000-0000B0000000}"/>
    <cellStyle name="Millares" xfId="1" builtinId="3"/>
    <cellStyle name="Millares [0]" xfId="2" builtinId="6"/>
    <cellStyle name="Millares [0] 10" xfId="709" xr:uid="{00000000-0005-0000-0000-0000B3000000}"/>
    <cellStyle name="Millares [0] 10 2" xfId="935" xr:uid="{00000000-0005-0000-0000-0000B4000000}"/>
    <cellStyle name="Millares [0] 11" xfId="821" xr:uid="{00000000-0005-0000-0000-0000B5000000}"/>
    <cellStyle name="Millares [0] 2" xfId="97" xr:uid="{00000000-0005-0000-0000-0000B6000000}"/>
    <cellStyle name="Millares [0] 2 2" xfId="160" xr:uid="{00000000-0005-0000-0000-0000B7000000}"/>
    <cellStyle name="Millares [0] 2 2 2" xfId="532" xr:uid="{00000000-0005-0000-0000-0000B8000000}"/>
    <cellStyle name="Millares [0] 2 2 2 2" xfId="786" xr:uid="{00000000-0005-0000-0000-0000B9000000}"/>
    <cellStyle name="Millares [0] 2 2 2 2 2" xfId="1000" xr:uid="{00000000-0005-0000-0000-0000BA000000}"/>
    <cellStyle name="Millares [0] 2 2 2 3" xfId="885" xr:uid="{00000000-0005-0000-0000-0000BB000000}"/>
    <cellStyle name="Millares [0] 2 2 3" xfId="457" xr:uid="{00000000-0005-0000-0000-0000BC000000}"/>
    <cellStyle name="Millares [0] 2 2 3 2" xfId="757" xr:uid="{00000000-0005-0000-0000-0000BD000000}"/>
    <cellStyle name="Millares [0] 2 2 3 2 2" xfId="971" xr:uid="{00000000-0005-0000-0000-0000BE000000}"/>
    <cellStyle name="Millares [0] 2 2 3 3" xfId="856" xr:uid="{00000000-0005-0000-0000-0000BF000000}"/>
    <cellStyle name="Millares [0] 2 2 4" xfId="735" xr:uid="{00000000-0005-0000-0000-0000C0000000}"/>
    <cellStyle name="Millares [0] 2 2 4 2" xfId="950" xr:uid="{00000000-0005-0000-0000-0000C1000000}"/>
    <cellStyle name="Millares [0] 2 2 5" xfId="835" xr:uid="{00000000-0005-0000-0000-0000C2000000}"/>
    <cellStyle name="Millares [0] 2 3" xfId="502" xr:uid="{00000000-0005-0000-0000-0000C3000000}"/>
    <cellStyle name="Millares [0] 2 3 2" xfId="771" xr:uid="{00000000-0005-0000-0000-0000C4000000}"/>
    <cellStyle name="Millares [0] 2 3 2 2" xfId="985" xr:uid="{00000000-0005-0000-0000-0000C5000000}"/>
    <cellStyle name="Millares [0] 2 3 3" xfId="870" xr:uid="{00000000-0005-0000-0000-0000C6000000}"/>
    <cellStyle name="Millares [0] 2 4" xfId="440" xr:uid="{00000000-0005-0000-0000-0000C7000000}"/>
    <cellStyle name="Millares [0] 2 4 2" xfId="749" xr:uid="{00000000-0005-0000-0000-0000C8000000}"/>
    <cellStyle name="Millares [0] 2 4 2 2" xfId="963" xr:uid="{00000000-0005-0000-0000-0000C9000000}"/>
    <cellStyle name="Millares [0] 2 4 3" xfId="848" xr:uid="{00000000-0005-0000-0000-0000CA000000}"/>
    <cellStyle name="Millares [0] 2 5" xfId="725" xr:uid="{00000000-0005-0000-0000-0000CB000000}"/>
    <cellStyle name="Millares [0] 2 5 2" xfId="940" xr:uid="{00000000-0005-0000-0000-0000CC000000}"/>
    <cellStyle name="Millares [0] 2 6" xfId="825" xr:uid="{00000000-0005-0000-0000-0000CD000000}"/>
    <cellStyle name="Millares [0] 3" xfId="123" xr:uid="{00000000-0005-0000-0000-0000CE000000}"/>
    <cellStyle name="Millares [0] 3 2" xfId="519" xr:uid="{00000000-0005-0000-0000-0000CF000000}"/>
    <cellStyle name="Millares [0] 3 2 2" xfId="779" xr:uid="{00000000-0005-0000-0000-0000D0000000}"/>
    <cellStyle name="Millares [0] 3 2 2 2" xfId="993" xr:uid="{00000000-0005-0000-0000-0000D1000000}"/>
    <cellStyle name="Millares [0] 3 2 3" xfId="878" xr:uid="{00000000-0005-0000-0000-0000D2000000}"/>
    <cellStyle name="Millares [0] 3 3" xfId="451" xr:uid="{00000000-0005-0000-0000-0000D3000000}"/>
    <cellStyle name="Millares [0] 3 3 2" xfId="755" xr:uid="{00000000-0005-0000-0000-0000D4000000}"/>
    <cellStyle name="Millares [0] 3 3 2 2" xfId="969" xr:uid="{00000000-0005-0000-0000-0000D5000000}"/>
    <cellStyle name="Millares [0] 3 3 3" xfId="854" xr:uid="{00000000-0005-0000-0000-0000D6000000}"/>
    <cellStyle name="Millares [0] 3 4" xfId="732" xr:uid="{00000000-0005-0000-0000-0000D7000000}"/>
    <cellStyle name="Millares [0] 3 4 2" xfId="947" xr:uid="{00000000-0005-0000-0000-0000D8000000}"/>
    <cellStyle name="Millares [0] 3 5" xfId="832" xr:uid="{00000000-0005-0000-0000-0000D9000000}"/>
    <cellStyle name="Millares [0] 4" xfId="164" xr:uid="{00000000-0005-0000-0000-0000DA000000}"/>
    <cellStyle name="Millares [0] 4 2" xfId="535" xr:uid="{00000000-0005-0000-0000-0000DB000000}"/>
    <cellStyle name="Millares [0] 4 2 2" xfId="787" xr:uid="{00000000-0005-0000-0000-0000DC000000}"/>
    <cellStyle name="Millares [0] 4 2 2 2" xfId="1001" xr:uid="{00000000-0005-0000-0000-0000DD000000}"/>
    <cellStyle name="Millares [0] 4 2 3" xfId="886" xr:uid="{00000000-0005-0000-0000-0000DE000000}"/>
    <cellStyle name="Millares [0] 4 3" xfId="460" xr:uid="{00000000-0005-0000-0000-0000DF000000}"/>
    <cellStyle name="Millares [0] 4 3 2" xfId="758" xr:uid="{00000000-0005-0000-0000-0000E0000000}"/>
    <cellStyle name="Millares [0] 4 3 2 2" xfId="972" xr:uid="{00000000-0005-0000-0000-0000E1000000}"/>
    <cellStyle name="Millares [0] 4 3 3" xfId="857" xr:uid="{00000000-0005-0000-0000-0000E2000000}"/>
    <cellStyle name="Millares [0] 4 4" xfId="736" xr:uid="{00000000-0005-0000-0000-0000E3000000}"/>
    <cellStyle name="Millares [0] 4 4 2" xfId="951" xr:uid="{00000000-0005-0000-0000-0000E4000000}"/>
    <cellStyle name="Millares [0] 4 5" xfId="836" xr:uid="{00000000-0005-0000-0000-0000E5000000}"/>
    <cellStyle name="Millares [0] 5" xfId="416" xr:uid="{00000000-0005-0000-0000-0000E6000000}"/>
    <cellStyle name="Millares [0] 5 2" xfId="742" xr:uid="{00000000-0005-0000-0000-0000E7000000}"/>
    <cellStyle name="Millares [0] 5 2 2" xfId="956" xr:uid="{00000000-0005-0000-0000-0000E8000000}"/>
    <cellStyle name="Millares [0] 5 3" xfId="841" xr:uid="{00000000-0005-0000-0000-0000E9000000}"/>
    <cellStyle name="Millares [0] 6" xfId="465" xr:uid="{00000000-0005-0000-0000-0000EA000000}"/>
    <cellStyle name="Millares [0] 6 2" xfId="761" xr:uid="{00000000-0005-0000-0000-0000EB000000}"/>
    <cellStyle name="Millares [0] 6 2 2" xfId="975" xr:uid="{00000000-0005-0000-0000-0000EC000000}"/>
    <cellStyle name="Millares [0] 6 3" xfId="860" xr:uid="{00000000-0005-0000-0000-0000ED000000}"/>
    <cellStyle name="Millares [0] 7" xfId="681" xr:uid="{00000000-0005-0000-0000-0000EE000000}"/>
    <cellStyle name="Millares [0] 7 2" xfId="819" xr:uid="{00000000-0005-0000-0000-0000EF000000}"/>
    <cellStyle name="Millares [0] 7 2 2" xfId="1033" xr:uid="{00000000-0005-0000-0000-0000F0000000}"/>
    <cellStyle name="Millares [0] 7 3" xfId="919" xr:uid="{00000000-0005-0000-0000-0000F1000000}"/>
    <cellStyle name="Millares [0] 8" xfId="694" xr:uid="{00000000-0005-0000-0000-0000F2000000}"/>
    <cellStyle name="Millares [0] 8 2" xfId="928" xr:uid="{00000000-0005-0000-0000-0000F3000000}"/>
    <cellStyle name="Millares [0] 9" xfId="712" xr:uid="{00000000-0005-0000-0000-0000F4000000}"/>
    <cellStyle name="Millares [0] 9 2" xfId="937" xr:uid="{00000000-0005-0000-0000-0000F5000000}"/>
    <cellStyle name="Millares 10" xfId="475" xr:uid="{00000000-0005-0000-0000-0000F6000000}"/>
    <cellStyle name="Millares 10 2" xfId="765" xr:uid="{00000000-0005-0000-0000-0000F7000000}"/>
    <cellStyle name="Millares 10 2 2" xfId="979" xr:uid="{00000000-0005-0000-0000-0000F8000000}"/>
    <cellStyle name="Millares 10 3" xfId="864" xr:uid="{00000000-0005-0000-0000-0000F9000000}"/>
    <cellStyle name="Millares 11" xfId="619" xr:uid="{00000000-0005-0000-0000-0000FA000000}"/>
    <cellStyle name="Millares 11 2" xfId="802" xr:uid="{00000000-0005-0000-0000-0000FB000000}"/>
    <cellStyle name="Millares 11 2 2" xfId="1016" xr:uid="{00000000-0005-0000-0000-0000FC000000}"/>
    <cellStyle name="Millares 11 3" xfId="902" xr:uid="{00000000-0005-0000-0000-0000FD000000}"/>
    <cellStyle name="Millares 12" xfId="515" xr:uid="{00000000-0005-0000-0000-0000FE000000}"/>
    <cellStyle name="Millares 12 2" xfId="775" xr:uid="{00000000-0005-0000-0000-0000FF000000}"/>
    <cellStyle name="Millares 12 2 2" xfId="989" xr:uid="{00000000-0005-0000-0000-000000010000}"/>
    <cellStyle name="Millares 12 3" xfId="874" xr:uid="{00000000-0005-0000-0000-000001010000}"/>
    <cellStyle name="Millares 13" xfId="591" xr:uid="{00000000-0005-0000-0000-000002010000}"/>
    <cellStyle name="Millares 13 2" xfId="792" xr:uid="{00000000-0005-0000-0000-000003010000}"/>
    <cellStyle name="Millares 13 2 2" xfId="1006" xr:uid="{00000000-0005-0000-0000-000004010000}"/>
    <cellStyle name="Millares 13 3" xfId="891" xr:uid="{00000000-0005-0000-0000-000005010000}"/>
    <cellStyle name="Millares 14" xfId="473" xr:uid="{00000000-0005-0000-0000-000006010000}"/>
    <cellStyle name="Millares 14 2" xfId="764" xr:uid="{00000000-0005-0000-0000-000007010000}"/>
    <cellStyle name="Millares 14 2 2" xfId="978" xr:uid="{00000000-0005-0000-0000-000008010000}"/>
    <cellStyle name="Millares 14 3" xfId="863" xr:uid="{00000000-0005-0000-0000-000009010000}"/>
    <cellStyle name="Millares 15" xfId="629" xr:uid="{00000000-0005-0000-0000-00000A010000}"/>
    <cellStyle name="Millares 15 2" xfId="805" xr:uid="{00000000-0005-0000-0000-00000B010000}"/>
    <cellStyle name="Millares 15 2 2" xfId="1019" xr:uid="{00000000-0005-0000-0000-00000C010000}"/>
    <cellStyle name="Millares 15 3" xfId="905" xr:uid="{00000000-0005-0000-0000-00000D010000}"/>
    <cellStyle name="Millares 16" xfId="614" xr:uid="{00000000-0005-0000-0000-00000E010000}"/>
    <cellStyle name="Millares 16 2" xfId="799" xr:uid="{00000000-0005-0000-0000-00000F010000}"/>
    <cellStyle name="Millares 16 2 2" xfId="1013" xr:uid="{00000000-0005-0000-0000-000010010000}"/>
    <cellStyle name="Millares 16 3" xfId="899" xr:uid="{00000000-0005-0000-0000-000011010000}"/>
    <cellStyle name="Millares 17" xfId="610" xr:uid="{00000000-0005-0000-0000-000012010000}"/>
    <cellStyle name="Millares 17 2" xfId="797" xr:uid="{00000000-0005-0000-0000-000013010000}"/>
    <cellStyle name="Millares 17 2 2" xfId="1011" xr:uid="{00000000-0005-0000-0000-000014010000}"/>
    <cellStyle name="Millares 17 3" xfId="896" xr:uid="{00000000-0005-0000-0000-000015010000}"/>
    <cellStyle name="Millares 18" xfId="666" xr:uid="{00000000-0005-0000-0000-000016010000}"/>
    <cellStyle name="Millares 18 2" xfId="817" xr:uid="{00000000-0005-0000-0000-000017010000}"/>
    <cellStyle name="Millares 18 2 2" xfId="1031" xr:uid="{00000000-0005-0000-0000-000018010000}"/>
    <cellStyle name="Millares 18 3" xfId="917" xr:uid="{00000000-0005-0000-0000-000019010000}"/>
    <cellStyle name="Millares 19" xfId="598" xr:uid="{00000000-0005-0000-0000-00001A010000}"/>
    <cellStyle name="Millares 19 2" xfId="794" xr:uid="{00000000-0005-0000-0000-00001B010000}"/>
    <cellStyle name="Millares 19 2 2" xfId="1008" xr:uid="{00000000-0005-0000-0000-00001C010000}"/>
    <cellStyle name="Millares 19 3" xfId="893" xr:uid="{00000000-0005-0000-0000-00001D010000}"/>
    <cellStyle name="Millares 2" xfId="5" xr:uid="{00000000-0005-0000-0000-00001E010000}"/>
    <cellStyle name="Millares 2 2" xfId="8" xr:uid="{00000000-0005-0000-0000-00001F010000}"/>
    <cellStyle name="Millares 2 2 2" xfId="12" xr:uid="{00000000-0005-0000-0000-000020010000}"/>
    <cellStyle name="Millares 2 2 2 2" xfId="95" xr:uid="{00000000-0005-0000-0000-000021010000}"/>
    <cellStyle name="Millares 2 2 2 2 2" xfId="159" xr:uid="{00000000-0005-0000-0000-000022010000}"/>
    <cellStyle name="Millares 2 2 2 2 2 2" xfId="531" xr:uid="{00000000-0005-0000-0000-000023010000}"/>
    <cellStyle name="Millares 2 2 2 2 2 2 2" xfId="785" xr:uid="{00000000-0005-0000-0000-000024010000}"/>
    <cellStyle name="Millares 2 2 2 2 2 2 2 2" xfId="999" xr:uid="{00000000-0005-0000-0000-000025010000}"/>
    <cellStyle name="Millares 2 2 2 2 2 2 3" xfId="884" xr:uid="{00000000-0005-0000-0000-000026010000}"/>
    <cellStyle name="Millares 2 2 2 2 2 3" xfId="456" xr:uid="{00000000-0005-0000-0000-000027010000}"/>
    <cellStyle name="Millares 2 2 2 2 2 3 2" xfId="756" xr:uid="{00000000-0005-0000-0000-000028010000}"/>
    <cellStyle name="Millares 2 2 2 2 2 3 2 2" xfId="970" xr:uid="{00000000-0005-0000-0000-000029010000}"/>
    <cellStyle name="Millares 2 2 2 2 2 3 3" xfId="855" xr:uid="{00000000-0005-0000-0000-00002A010000}"/>
    <cellStyle name="Millares 2 2 2 2 2 4" xfId="734" xr:uid="{00000000-0005-0000-0000-00002B010000}"/>
    <cellStyle name="Millares 2 2 2 2 2 4 2" xfId="949" xr:uid="{00000000-0005-0000-0000-00002C010000}"/>
    <cellStyle name="Millares 2 2 2 2 2 5" xfId="834" xr:uid="{00000000-0005-0000-0000-00002D010000}"/>
    <cellStyle name="Millares 2 2 2 2 3" xfId="501" xr:uid="{00000000-0005-0000-0000-00002E010000}"/>
    <cellStyle name="Millares 2 2 2 2 3 2" xfId="770" xr:uid="{00000000-0005-0000-0000-00002F010000}"/>
    <cellStyle name="Millares 2 2 2 2 3 2 2" xfId="984" xr:uid="{00000000-0005-0000-0000-000030010000}"/>
    <cellStyle name="Millares 2 2 2 2 3 3" xfId="869" xr:uid="{00000000-0005-0000-0000-000031010000}"/>
    <cellStyle name="Millares 2 2 2 2 4" xfId="438" xr:uid="{00000000-0005-0000-0000-000032010000}"/>
    <cellStyle name="Millares 2 2 2 2 4 2" xfId="748" xr:uid="{00000000-0005-0000-0000-000033010000}"/>
    <cellStyle name="Millares 2 2 2 2 4 2 2" xfId="962" xr:uid="{00000000-0005-0000-0000-000034010000}"/>
    <cellStyle name="Millares 2 2 2 2 4 3" xfId="847" xr:uid="{00000000-0005-0000-0000-000035010000}"/>
    <cellStyle name="Millares 2 2 2 2 5" xfId="689" xr:uid="{00000000-0005-0000-0000-000036010000}"/>
    <cellStyle name="Millares 2 2 2 2 5 2" xfId="923" xr:uid="{00000000-0005-0000-0000-000037010000}"/>
    <cellStyle name="Millares 2 2 2 2 6" xfId="824" xr:uid="{00000000-0005-0000-0000-000038010000}"/>
    <cellStyle name="Millares 2 2 2 3" xfId="471" xr:uid="{00000000-0005-0000-0000-000039010000}"/>
    <cellStyle name="Millares 2 2 2 3 2" xfId="762" xr:uid="{00000000-0005-0000-0000-00003A010000}"/>
    <cellStyle name="Millares 2 2 2 3 2 2" xfId="976" xr:uid="{00000000-0005-0000-0000-00003B010000}"/>
    <cellStyle name="Millares 2 2 2 3 3" xfId="861" xr:uid="{00000000-0005-0000-0000-00003C010000}"/>
    <cellStyle name="Millares 2 2 2 4" xfId="421" xr:uid="{00000000-0005-0000-0000-00003D010000}"/>
    <cellStyle name="Millares 2 2 2 4 2" xfId="745" xr:uid="{00000000-0005-0000-0000-00003E010000}"/>
    <cellStyle name="Millares 2 2 2 4 2 2" xfId="959" xr:uid="{00000000-0005-0000-0000-00003F010000}"/>
    <cellStyle name="Millares 2 2 2 4 3" xfId="844" xr:uid="{00000000-0005-0000-0000-000040010000}"/>
    <cellStyle name="Millares 2 2 2 5" xfId="823" xr:uid="{00000000-0005-0000-0000-000041010000}"/>
    <cellStyle name="Millares 2 2 3" xfId="419" xr:uid="{00000000-0005-0000-0000-000042010000}"/>
    <cellStyle name="Millares 2 2 3 2" xfId="744" xr:uid="{00000000-0005-0000-0000-000043010000}"/>
    <cellStyle name="Millares 2 2 3 2 2" xfId="958" xr:uid="{00000000-0005-0000-0000-000044010000}"/>
    <cellStyle name="Millares 2 2 3 3" xfId="843" xr:uid="{00000000-0005-0000-0000-000045010000}"/>
    <cellStyle name="Millares 2 2 4" xfId="398" xr:uid="{00000000-0005-0000-0000-000046010000}"/>
    <cellStyle name="Millares 2 3" xfId="349" xr:uid="{00000000-0005-0000-0000-000047010000}"/>
    <cellStyle name="Millares 2 3 2" xfId="595" xr:uid="{00000000-0005-0000-0000-000048010000}"/>
    <cellStyle name="Millares 2 3 3" xfId="418" xr:uid="{00000000-0005-0000-0000-000049010000}"/>
    <cellStyle name="Millares 2 3 3 2" xfId="743" xr:uid="{00000000-0005-0000-0000-00004A010000}"/>
    <cellStyle name="Millares 2 3 3 2 2" xfId="957" xr:uid="{00000000-0005-0000-0000-00004B010000}"/>
    <cellStyle name="Millares 2 3 3 3" xfId="842" xr:uid="{00000000-0005-0000-0000-00004C010000}"/>
    <cellStyle name="Millares 2 4" xfId="103" xr:uid="{00000000-0005-0000-0000-00004D010000}"/>
    <cellStyle name="Millares 2 4 2" xfId="166" xr:uid="{00000000-0005-0000-0000-00004E010000}"/>
    <cellStyle name="Millares 2 4 2 2" xfId="536" xr:uid="{00000000-0005-0000-0000-00004F010000}"/>
    <cellStyle name="Millares 2 4 2 2 2" xfId="788" xr:uid="{00000000-0005-0000-0000-000050010000}"/>
    <cellStyle name="Millares 2 4 2 2 2 2" xfId="1002" xr:uid="{00000000-0005-0000-0000-000051010000}"/>
    <cellStyle name="Millares 2 4 2 2 3" xfId="887" xr:uid="{00000000-0005-0000-0000-000052010000}"/>
    <cellStyle name="Millares 2 4 2 3" xfId="461" xr:uid="{00000000-0005-0000-0000-000053010000}"/>
    <cellStyle name="Millares 2 4 2 3 2" xfId="759" xr:uid="{00000000-0005-0000-0000-000054010000}"/>
    <cellStyle name="Millares 2 4 2 3 2 2" xfId="973" xr:uid="{00000000-0005-0000-0000-000055010000}"/>
    <cellStyle name="Millares 2 4 2 3 3" xfId="858" xr:uid="{00000000-0005-0000-0000-000056010000}"/>
    <cellStyle name="Millares 2 4 2 4" xfId="737" xr:uid="{00000000-0005-0000-0000-000057010000}"/>
    <cellStyle name="Millares 2 4 2 4 2" xfId="952" xr:uid="{00000000-0005-0000-0000-000058010000}"/>
    <cellStyle name="Millares 2 4 2 5" xfId="837" xr:uid="{00000000-0005-0000-0000-000059010000}"/>
    <cellStyle name="Millares 2 4 3" xfId="506" xr:uid="{00000000-0005-0000-0000-00005A010000}"/>
    <cellStyle name="Millares 2 4 3 2" xfId="772" xr:uid="{00000000-0005-0000-0000-00005B010000}"/>
    <cellStyle name="Millares 2 4 3 2 2" xfId="986" xr:uid="{00000000-0005-0000-0000-00005C010000}"/>
    <cellStyle name="Millares 2 4 3 3" xfId="871" xr:uid="{00000000-0005-0000-0000-00005D010000}"/>
    <cellStyle name="Millares 2 4 4" xfId="444" xr:uid="{00000000-0005-0000-0000-00005E010000}"/>
    <cellStyle name="Millares 2 4 4 2" xfId="750" xr:uid="{00000000-0005-0000-0000-00005F010000}"/>
    <cellStyle name="Millares 2 4 4 2 2" xfId="964" xr:uid="{00000000-0005-0000-0000-000060010000}"/>
    <cellStyle name="Millares 2 4 4 3" xfId="849" xr:uid="{00000000-0005-0000-0000-000061010000}"/>
    <cellStyle name="Millares 2 4 5" xfId="727" xr:uid="{00000000-0005-0000-0000-000062010000}"/>
    <cellStyle name="Millares 2 4 5 2" xfId="942" xr:uid="{00000000-0005-0000-0000-000063010000}"/>
    <cellStyle name="Millares 2 4 6" xfId="827" xr:uid="{00000000-0005-0000-0000-000064010000}"/>
    <cellStyle name="Millares 2 5" xfId="715" xr:uid="{00000000-0005-0000-0000-000065010000}"/>
    <cellStyle name="Millares 2 5 2" xfId="938" xr:uid="{00000000-0005-0000-0000-000066010000}"/>
    <cellStyle name="Millares 20" xfId="632" xr:uid="{00000000-0005-0000-0000-000067010000}"/>
    <cellStyle name="Millares 20 2" xfId="806" xr:uid="{00000000-0005-0000-0000-000068010000}"/>
    <cellStyle name="Millares 20 2 2" xfId="1020" xr:uid="{00000000-0005-0000-0000-000069010000}"/>
    <cellStyle name="Millares 20 3" xfId="906" xr:uid="{00000000-0005-0000-0000-00006A010000}"/>
    <cellStyle name="Millares 21" xfId="615" xr:uid="{00000000-0005-0000-0000-00006B010000}"/>
    <cellStyle name="Millares 21 2" xfId="800" xr:uid="{00000000-0005-0000-0000-00006C010000}"/>
    <cellStyle name="Millares 21 2 2" xfId="1014" xr:uid="{00000000-0005-0000-0000-00006D010000}"/>
    <cellStyle name="Millares 21 3" xfId="900" xr:uid="{00000000-0005-0000-0000-00006E010000}"/>
    <cellStyle name="Millares 22" xfId="583" xr:uid="{00000000-0005-0000-0000-00006F010000}"/>
    <cellStyle name="Millares 22 2" xfId="789" xr:uid="{00000000-0005-0000-0000-000070010000}"/>
    <cellStyle name="Millares 22 2 2" xfId="1003" xr:uid="{00000000-0005-0000-0000-000071010000}"/>
    <cellStyle name="Millares 22 3" xfId="888" xr:uid="{00000000-0005-0000-0000-000072010000}"/>
    <cellStyle name="Millares 23" xfId="646" xr:uid="{00000000-0005-0000-0000-000073010000}"/>
    <cellStyle name="Millares 23 2" xfId="809" xr:uid="{00000000-0005-0000-0000-000074010000}"/>
    <cellStyle name="Millares 23 2 2" xfId="1023" xr:uid="{00000000-0005-0000-0000-000075010000}"/>
    <cellStyle name="Millares 23 3" xfId="909" xr:uid="{00000000-0005-0000-0000-000076010000}"/>
    <cellStyle name="Millares 24" xfId="594" xr:uid="{00000000-0005-0000-0000-000077010000}"/>
    <cellStyle name="Millares 24 2" xfId="793" xr:uid="{00000000-0005-0000-0000-000078010000}"/>
    <cellStyle name="Millares 24 2 2" xfId="1007" xr:uid="{00000000-0005-0000-0000-000079010000}"/>
    <cellStyle name="Millares 24 3" xfId="892" xr:uid="{00000000-0005-0000-0000-00007A010000}"/>
    <cellStyle name="Millares 25" xfId="613" xr:uid="{00000000-0005-0000-0000-00007B010000}"/>
    <cellStyle name="Millares 25 2" xfId="798" xr:uid="{00000000-0005-0000-0000-00007C010000}"/>
    <cellStyle name="Millares 25 2 2" xfId="1012" xr:uid="{00000000-0005-0000-0000-00007D010000}"/>
    <cellStyle name="Millares 25 3" xfId="898" xr:uid="{00000000-0005-0000-0000-00007E010000}"/>
    <cellStyle name="Millares 26" xfId="526" xr:uid="{00000000-0005-0000-0000-00007F010000}"/>
    <cellStyle name="Millares 26 2" xfId="781" xr:uid="{00000000-0005-0000-0000-000080010000}"/>
    <cellStyle name="Millares 26 2 2" xfId="995" xr:uid="{00000000-0005-0000-0000-000081010000}"/>
    <cellStyle name="Millares 26 3" xfId="880" xr:uid="{00000000-0005-0000-0000-000082010000}"/>
    <cellStyle name="Millares 27" xfId="616" xr:uid="{00000000-0005-0000-0000-000083010000}"/>
    <cellStyle name="Millares 27 2" xfId="801" xr:uid="{00000000-0005-0000-0000-000084010000}"/>
    <cellStyle name="Millares 27 2 2" xfId="1015" xr:uid="{00000000-0005-0000-0000-000085010000}"/>
    <cellStyle name="Millares 27 3" xfId="901" xr:uid="{00000000-0005-0000-0000-000086010000}"/>
    <cellStyle name="Millares 28" xfId="654" xr:uid="{00000000-0005-0000-0000-000087010000}"/>
    <cellStyle name="Millares 28 2" xfId="812" xr:uid="{00000000-0005-0000-0000-000088010000}"/>
    <cellStyle name="Millares 28 2 2" xfId="1026" xr:uid="{00000000-0005-0000-0000-000089010000}"/>
    <cellStyle name="Millares 28 3" xfId="912" xr:uid="{00000000-0005-0000-0000-00008A010000}"/>
    <cellStyle name="Millares 29" xfId="607" xr:uid="{00000000-0005-0000-0000-00008B010000}"/>
    <cellStyle name="Millares 29 2" xfId="796" xr:uid="{00000000-0005-0000-0000-00008C010000}"/>
    <cellStyle name="Millares 29 2 2" xfId="1010" xr:uid="{00000000-0005-0000-0000-00008D010000}"/>
    <cellStyle name="Millares 29 3" xfId="895" xr:uid="{00000000-0005-0000-0000-00008E010000}"/>
    <cellStyle name="Millares 3" xfId="115" xr:uid="{00000000-0005-0000-0000-00008F010000}"/>
    <cellStyle name="Millares 3 2" xfId="124" xr:uid="{00000000-0005-0000-0000-000090010000}"/>
    <cellStyle name="Millares 3 3" xfId="121" xr:uid="{00000000-0005-0000-0000-000091010000}"/>
    <cellStyle name="Millares 3 3 2" xfId="517" xr:uid="{00000000-0005-0000-0000-000092010000}"/>
    <cellStyle name="Millares 3 3 2 2" xfId="777" xr:uid="{00000000-0005-0000-0000-000093010000}"/>
    <cellStyle name="Millares 3 3 2 2 2" xfId="991" xr:uid="{00000000-0005-0000-0000-000094010000}"/>
    <cellStyle name="Millares 3 3 2 3" xfId="876" xr:uid="{00000000-0005-0000-0000-000095010000}"/>
    <cellStyle name="Millares 3 3 3" xfId="449" xr:uid="{00000000-0005-0000-0000-000096010000}"/>
    <cellStyle name="Millares 3 3 3 2" xfId="753" xr:uid="{00000000-0005-0000-0000-000097010000}"/>
    <cellStyle name="Millares 3 3 3 2 2" xfId="967" xr:uid="{00000000-0005-0000-0000-000098010000}"/>
    <cellStyle name="Millares 3 3 3 3" xfId="852" xr:uid="{00000000-0005-0000-0000-000099010000}"/>
    <cellStyle name="Millares 3 3 4" xfId="730" xr:uid="{00000000-0005-0000-0000-00009A010000}"/>
    <cellStyle name="Millares 3 3 4 2" xfId="945" xr:uid="{00000000-0005-0000-0000-00009B010000}"/>
    <cellStyle name="Millares 3 3 5" xfId="830" xr:uid="{00000000-0005-0000-0000-00009C010000}"/>
    <cellStyle name="Millares 3 4" xfId="390" xr:uid="{00000000-0005-0000-0000-00009D010000}"/>
    <cellStyle name="Millares 3 4 2" xfId="606" xr:uid="{00000000-0005-0000-0000-00009E010000}"/>
    <cellStyle name="Millares 3 4 2 2" xfId="795" xr:uid="{00000000-0005-0000-0000-00009F010000}"/>
    <cellStyle name="Millares 3 4 2 2 2" xfId="1009" xr:uid="{00000000-0005-0000-0000-0000A0010000}"/>
    <cellStyle name="Millares 3 4 2 3" xfId="894" xr:uid="{00000000-0005-0000-0000-0000A1010000}"/>
    <cellStyle name="Millares 3 4 3" xfId="740" xr:uid="{00000000-0005-0000-0000-0000A2010000}"/>
    <cellStyle name="Millares 3 4 3 2" xfId="954" xr:uid="{00000000-0005-0000-0000-0000A3010000}"/>
    <cellStyle name="Millares 3 5" xfId="513" xr:uid="{00000000-0005-0000-0000-0000A4010000}"/>
    <cellStyle name="Millares 3 5 2" xfId="774" xr:uid="{00000000-0005-0000-0000-0000A5010000}"/>
    <cellStyle name="Millares 3 5 2 2" xfId="988" xr:uid="{00000000-0005-0000-0000-0000A6010000}"/>
    <cellStyle name="Millares 3 5 3" xfId="873" xr:uid="{00000000-0005-0000-0000-0000A7010000}"/>
    <cellStyle name="Millares 3 6" xfId="445" xr:uid="{00000000-0005-0000-0000-0000A8010000}"/>
    <cellStyle name="Millares 3 6 2" xfId="751" xr:uid="{00000000-0005-0000-0000-0000A9010000}"/>
    <cellStyle name="Millares 3 6 2 2" xfId="965" xr:uid="{00000000-0005-0000-0000-0000AA010000}"/>
    <cellStyle name="Millares 3 6 3" xfId="850" xr:uid="{00000000-0005-0000-0000-0000AB010000}"/>
    <cellStyle name="Millares 3 7" xfId="728" xr:uid="{00000000-0005-0000-0000-0000AC010000}"/>
    <cellStyle name="Millares 3 7 2" xfId="943" xr:uid="{00000000-0005-0000-0000-0000AD010000}"/>
    <cellStyle name="Millares 3 8" xfId="828" xr:uid="{00000000-0005-0000-0000-0000AE010000}"/>
    <cellStyle name="Millares 30" xfId="650" xr:uid="{00000000-0005-0000-0000-0000AF010000}"/>
    <cellStyle name="Millares 30 2" xfId="810" xr:uid="{00000000-0005-0000-0000-0000B0010000}"/>
    <cellStyle name="Millares 30 2 2" xfId="1024" xr:uid="{00000000-0005-0000-0000-0000B1010000}"/>
    <cellStyle name="Millares 30 3" xfId="910" xr:uid="{00000000-0005-0000-0000-0000B2010000}"/>
    <cellStyle name="Millares 31" xfId="659" xr:uid="{00000000-0005-0000-0000-0000B3010000}"/>
    <cellStyle name="Millares 31 2" xfId="815" xr:uid="{00000000-0005-0000-0000-0000B4010000}"/>
    <cellStyle name="Millares 31 2 2" xfId="1029" xr:uid="{00000000-0005-0000-0000-0000B5010000}"/>
    <cellStyle name="Millares 31 3" xfId="915" xr:uid="{00000000-0005-0000-0000-0000B6010000}"/>
    <cellStyle name="Millares 32" xfId="672" xr:uid="{00000000-0005-0000-0000-0000B7010000}"/>
    <cellStyle name="Millares 32 2" xfId="818" xr:uid="{00000000-0005-0000-0000-0000B8010000}"/>
    <cellStyle name="Millares 32 2 2" xfId="1032" xr:uid="{00000000-0005-0000-0000-0000B9010000}"/>
    <cellStyle name="Millares 32 3" xfId="918" xr:uid="{00000000-0005-0000-0000-0000BA010000}"/>
    <cellStyle name="Millares 33" xfId="479" xr:uid="{00000000-0005-0000-0000-0000BB010000}"/>
    <cellStyle name="Millares 33 2" xfId="767" xr:uid="{00000000-0005-0000-0000-0000BC010000}"/>
    <cellStyle name="Millares 33 2 2" xfId="981" xr:uid="{00000000-0005-0000-0000-0000BD010000}"/>
    <cellStyle name="Millares 33 3" xfId="866" xr:uid="{00000000-0005-0000-0000-0000BE010000}"/>
    <cellStyle name="Millares 34" xfId="657" xr:uid="{00000000-0005-0000-0000-0000BF010000}"/>
    <cellStyle name="Millares 34 2" xfId="814" xr:uid="{00000000-0005-0000-0000-0000C0010000}"/>
    <cellStyle name="Millares 34 2 2" xfId="1028" xr:uid="{00000000-0005-0000-0000-0000C1010000}"/>
    <cellStyle name="Millares 34 3" xfId="914" xr:uid="{00000000-0005-0000-0000-0000C2010000}"/>
    <cellStyle name="Millares 35" xfId="637" xr:uid="{00000000-0005-0000-0000-0000C3010000}"/>
    <cellStyle name="Millares 35 2" xfId="807" xr:uid="{00000000-0005-0000-0000-0000C4010000}"/>
    <cellStyle name="Millares 35 2 2" xfId="1021" xr:uid="{00000000-0005-0000-0000-0000C5010000}"/>
    <cellStyle name="Millares 35 3" xfId="907" xr:uid="{00000000-0005-0000-0000-0000C6010000}"/>
    <cellStyle name="Millares 36" xfId="484" xr:uid="{00000000-0005-0000-0000-0000C7010000}"/>
    <cellStyle name="Millares 36 2" xfId="769" xr:uid="{00000000-0005-0000-0000-0000C8010000}"/>
    <cellStyle name="Millares 36 2 2" xfId="983" xr:uid="{00000000-0005-0000-0000-0000C9010000}"/>
    <cellStyle name="Millares 36 3" xfId="868" xr:uid="{00000000-0005-0000-0000-0000CA010000}"/>
    <cellStyle name="Millares 37" xfId="664" xr:uid="{00000000-0005-0000-0000-0000CB010000}"/>
    <cellStyle name="Millares 37 2" xfId="816" xr:uid="{00000000-0005-0000-0000-0000CC010000}"/>
    <cellStyle name="Millares 37 2 2" xfId="1030" xr:uid="{00000000-0005-0000-0000-0000CD010000}"/>
    <cellStyle name="Millares 37 3" xfId="916" xr:uid="{00000000-0005-0000-0000-0000CE010000}"/>
    <cellStyle name="Millares 38" xfId="652" xr:uid="{00000000-0005-0000-0000-0000CF010000}"/>
    <cellStyle name="Millares 38 2" xfId="811" xr:uid="{00000000-0005-0000-0000-0000D0010000}"/>
    <cellStyle name="Millares 38 2 2" xfId="1025" xr:uid="{00000000-0005-0000-0000-0000D1010000}"/>
    <cellStyle name="Millares 38 3" xfId="911" xr:uid="{00000000-0005-0000-0000-0000D2010000}"/>
    <cellStyle name="Millares 39" xfId="644" xr:uid="{00000000-0005-0000-0000-0000D3010000}"/>
    <cellStyle name="Millares 39 2" xfId="808" xr:uid="{00000000-0005-0000-0000-0000D4010000}"/>
    <cellStyle name="Millares 39 2 2" xfId="1022" xr:uid="{00000000-0005-0000-0000-0000D5010000}"/>
    <cellStyle name="Millares 39 3" xfId="908" xr:uid="{00000000-0005-0000-0000-0000D6010000}"/>
    <cellStyle name="Millares 4" xfId="120" xr:uid="{00000000-0005-0000-0000-0000D7010000}"/>
    <cellStyle name="Millares 4 2" xfId="516" xr:uid="{00000000-0005-0000-0000-0000D8010000}"/>
    <cellStyle name="Millares 4 2 2" xfId="776" xr:uid="{00000000-0005-0000-0000-0000D9010000}"/>
    <cellStyle name="Millares 4 2 2 2" xfId="990" xr:uid="{00000000-0005-0000-0000-0000DA010000}"/>
    <cellStyle name="Millares 4 2 3" xfId="875" xr:uid="{00000000-0005-0000-0000-0000DB010000}"/>
    <cellStyle name="Millares 4 3" xfId="448" xr:uid="{00000000-0005-0000-0000-0000DC010000}"/>
    <cellStyle name="Millares 4 3 2" xfId="752" xr:uid="{00000000-0005-0000-0000-0000DD010000}"/>
    <cellStyle name="Millares 4 3 2 2" xfId="966" xr:uid="{00000000-0005-0000-0000-0000DE010000}"/>
    <cellStyle name="Millares 4 3 3" xfId="851" xr:uid="{00000000-0005-0000-0000-0000DF010000}"/>
    <cellStyle name="Millares 4 4" xfId="729" xr:uid="{00000000-0005-0000-0000-0000E0010000}"/>
    <cellStyle name="Millares 4 4 2" xfId="944" xr:uid="{00000000-0005-0000-0000-0000E1010000}"/>
    <cellStyle name="Millares 4 5" xfId="829" xr:uid="{00000000-0005-0000-0000-0000E2010000}"/>
    <cellStyle name="Millares 40" xfId="628" xr:uid="{00000000-0005-0000-0000-0000E3010000}"/>
    <cellStyle name="Millares 40 2" xfId="804" xr:uid="{00000000-0005-0000-0000-0000E4010000}"/>
    <cellStyle name="Millares 40 2 2" xfId="1018" xr:uid="{00000000-0005-0000-0000-0000E5010000}"/>
    <cellStyle name="Millares 40 3" xfId="904" xr:uid="{00000000-0005-0000-0000-0000E6010000}"/>
    <cellStyle name="Millares 41" xfId="510" xr:uid="{00000000-0005-0000-0000-0000E7010000}"/>
    <cellStyle name="Millares 41 2" xfId="773" xr:uid="{00000000-0005-0000-0000-0000E8010000}"/>
    <cellStyle name="Millares 41 2 2" xfId="987" xr:uid="{00000000-0005-0000-0000-0000E9010000}"/>
    <cellStyle name="Millares 41 3" xfId="872" xr:uid="{00000000-0005-0000-0000-0000EA010000}"/>
    <cellStyle name="Millares 42" xfId="623" xr:uid="{00000000-0005-0000-0000-0000EB010000}"/>
    <cellStyle name="Millares 42 2" xfId="803" xr:uid="{00000000-0005-0000-0000-0000EC010000}"/>
    <cellStyle name="Millares 42 2 2" xfId="1017" xr:uid="{00000000-0005-0000-0000-0000ED010000}"/>
    <cellStyle name="Millares 42 3" xfId="903" xr:uid="{00000000-0005-0000-0000-0000EE010000}"/>
    <cellStyle name="Millares 43" xfId="584" xr:uid="{00000000-0005-0000-0000-0000EF010000}"/>
    <cellStyle name="Millares 43 2" xfId="790" xr:uid="{00000000-0005-0000-0000-0000F0010000}"/>
    <cellStyle name="Millares 43 2 2" xfId="1004" xr:uid="{00000000-0005-0000-0000-0000F1010000}"/>
    <cellStyle name="Millares 43 3" xfId="889" xr:uid="{00000000-0005-0000-0000-0000F2010000}"/>
    <cellStyle name="Millares 44" xfId="585" xr:uid="{00000000-0005-0000-0000-0000F3010000}"/>
    <cellStyle name="Millares 44 2" xfId="791" xr:uid="{00000000-0005-0000-0000-0000F4010000}"/>
    <cellStyle name="Millares 44 2 2" xfId="1005" xr:uid="{00000000-0005-0000-0000-0000F5010000}"/>
    <cellStyle name="Millares 44 3" xfId="890" xr:uid="{00000000-0005-0000-0000-0000F6010000}"/>
    <cellStyle name="Millares 45" xfId="522" xr:uid="{00000000-0005-0000-0000-0000F7010000}"/>
    <cellStyle name="Millares 45 2" xfId="780" xr:uid="{00000000-0005-0000-0000-0000F8010000}"/>
    <cellStyle name="Millares 45 2 2" xfId="994" xr:uid="{00000000-0005-0000-0000-0000F9010000}"/>
    <cellStyle name="Millares 45 3" xfId="879" xr:uid="{00000000-0005-0000-0000-0000FA010000}"/>
    <cellStyle name="Millares 46" xfId="528" xr:uid="{00000000-0005-0000-0000-0000FB010000}"/>
    <cellStyle name="Millares 46 2" xfId="783" xr:uid="{00000000-0005-0000-0000-0000FC010000}"/>
    <cellStyle name="Millares 46 2 2" xfId="997" xr:uid="{00000000-0005-0000-0000-0000FD010000}"/>
    <cellStyle name="Millares 46 3" xfId="882" xr:uid="{00000000-0005-0000-0000-0000FE010000}"/>
    <cellStyle name="Millares 47" xfId="530" xr:uid="{00000000-0005-0000-0000-0000FF010000}"/>
    <cellStyle name="Millares 47 2" xfId="784" xr:uid="{00000000-0005-0000-0000-000000020000}"/>
    <cellStyle name="Millares 47 2 2" xfId="998" xr:uid="{00000000-0005-0000-0000-000001020000}"/>
    <cellStyle name="Millares 47 3" xfId="883" xr:uid="{00000000-0005-0000-0000-000002020000}"/>
    <cellStyle name="Millares 48" xfId="482" xr:uid="{00000000-0005-0000-0000-000003020000}"/>
    <cellStyle name="Millares 48 2" xfId="768" xr:uid="{00000000-0005-0000-0000-000004020000}"/>
    <cellStyle name="Millares 48 2 2" xfId="982" xr:uid="{00000000-0005-0000-0000-000005020000}"/>
    <cellStyle name="Millares 48 3" xfId="867" xr:uid="{00000000-0005-0000-0000-000006020000}"/>
    <cellStyle name="Millares 49" xfId="527" xr:uid="{00000000-0005-0000-0000-000007020000}"/>
    <cellStyle name="Millares 49 2" xfId="782" xr:uid="{00000000-0005-0000-0000-000008020000}"/>
    <cellStyle name="Millares 49 2 2" xfId="996" xr:uid="{00000000-0005-0000-0000-000009020000}"/>
    <cellStyle name="Millares 49 3" xfId="881" xr:uid="{00000000-0005-0000-0000-00000A020000}"/>
    <cellStyle name="Millares 5" xfId="415" xr:uid="{00000000-0005-0000-0000-00000B020000}"/>
    <cellStyle name="Millares 5 2" xfId="741" xr:uid="{00000000-0005-0000-0000-00000C020000}"/>
    <cellStyle name="Millares 5 2 2" xfId="955" xr:uid="{00000000-0005-0000-0000-00000D020000}"/>
    <cellStyle name="Millares 5 3" xfId="840" xr:uid="{00000000-0005-0000-0000-00000E020000}"/>
    <cellStyle name="Millares 50" xfId="472" xr:uid="{00000000-0005-0000-0000-00000F020000}"/>
    <cellStyle name="Millares 50 2" xfId="763" xr:uid="{00000000-0005-0000-0000-000010020000}"/>
    <cellStyle name="Millares 50 2 2" xfId="977" xr:uid="{00000000-0005-0000-0000-000011020000}"/>
    <cellStyle name="Millares 50 3" xfId="862" xr:uid="{00000000-0005-0000-0000-000012020000}"/>
    <cellStyle name="Millares 51" xfId="476" xr:uid="{00000000-0005-0000-0000-000013020000}"/>
    <cellStyle name="Millares 51 2" xfId="766" xr:uid="{00000000-0005-0000-0000-000014020000}"/>
    <cellStyle name="Millares 51 2 2" xfId="980" xr:uid="{00000000-0005-0000-0000-000015020000}"/>
    <cellStyle name="Millares 51 3" xfId="865" xr:uid="{00000000-0005-0000-0000-000016020000}"/>
    <cellStyle name="Millares 52" xfId="656" xr:uid="{00000000-0005-0000-0000-000017020000}"/>
    <cellStyle name="Millares 52 2" xfId="813" xr:uid="{00000000-0005-0000-0000-000018020000}"/>
    <cellStyle name="Millares 52 2 2" xfId="1027" xr:uid="{00000000-0005-0000-0000-000019020000}"/>
    <cellStyle name="Millares 52 3" xfId="913" xr:uid="{00000000-0005-0000-0000-00001A020000}"/>
    <cellStyle name="Millares 53" xfId="683" xr:uid="{00000000-0005-0000-0000-00001B020000}"/>
    <cellStyle name="Millares 53 2" xfId="920" xr:uid="{00000000-0005-0000-0000-00001C020000}"/>
    <cellStyle name="Millares 54" xfId="686" xr:uid="{00000000-0005-0000-0000-00001D020000}"/>
    <cellStyle name="Millares 54 2" xfId="922" xr:uid="{00000000-0005-0000-0000-00001E020000}"/>
    <cellStyle name="Millares 55" xfId="696" xr:uid="{00000000-0005-0000-0000-00001F020000}"/>
    <cellStyle name="Millares 55 2" xfId="929" xr:uid="{00000000-0005-0000-0000-000020020000}"/>
    <cellStyle name="Millares 56" xfId="690" xr:uid="{00000000-0005-0000-0000-000021020000}"/>
    <cellStyle name="Millares 56 2" xfId="924" xr:uid="{00000000-0005-0000-0000-000022020000}"/>
    <cellStyle name="Millares 57" xfId="699" xr:uid="{00000000-0005-0000-0000-000023020000}"/>
    <cellStyle name="Millares 57 2" xfId="930" xr:uid="{00000000-0005-0000-0000-000024020000}"/>
    <cellStyle name="Millares 58" xfId="692" xr:uid="{00000000-0005-0000-0000-000025020000}"/>
    <cellStyle name="Millares 58 2" xfId="926" xr:uid="{00000000-0005-0000-0000-000026020000}"/>
    <cellStyle name="Millares 59" xfId="684" xr:uid="{00000000-0005-0000-0000-000027020000}"/>
    <cellStyle name="Millares 59 2" xfId="921" xr:uid="{00000000-0005-0000-0000-000028020000}"/>
    <cellStyle name="Millares 6" xfId="122" xr:uid="{00000000-0005-0000-0000-000029020000}"/>
    <cellStyle name="Millares 6 2" xfId="518" xr:uid="{00000000-0005-0000-0000-00002A020000}"/>
    <cellStyle name="Millares 6 2 2" xfId="778" xr:uid="{00000000-0005-0000-0000-00002B020000}"/>
    <cellStyle name="Millares 6 2 2 2" xfId="992" xr:uid="{00000000-0005-0000-0000-00002C020000}"/>
    <cellStyle name="Millares 6 2 3" xfId="877" xr:uid="{00000000-0005-0000-0000-00002D020000}"/>
    <cellStyle name="Millares 6 3" xfId="450" xr:uid="{00000000-0005-0000-0000-00002E020000}"/>
    <cellStyle name="Millares 6 3 2" xfId="754" xr:uid="{00000000-0005-0000-0000-00002F020000}"/>
    <cellStyle name="Millares 6 3 2 2" xfId="968" xr:uid="{00000000-0005-0000-0000-000030020000}"/>
    <cellStyle name="Millares 6 3 3" xfId="853" xr:uid="{00000000-0005-0000-0000-000031020000}"/>
    <cellStyle name="Millares 6 4" xfId="731" xr:uid="{00000000-0005-0000-0000-000032020000}"/>
    <cellStyle name="Millares 6 4 2" xfId="946" xr:uid="{00000000-0005-0000-0000-000033020000}"/>
    <cellStyle name="Millares 6 5" xfId="831" xr:uid="{00000000-0005-0000-0000-000034020000}"/>
    <cellStyle name="Millares 60" xfId="701" xr:uid="{00000000-0005-0000-0000-000035020000}"/>
    <cellStyle name="Millares 60 2" xfId="931" xr:uid="{00000000-0005-0000-0000-000036020000}"/>
    <cellStyle name="Millares 61" xfId="703" xr:uid="{00000000-0005-0000-0000-000037020000}"/>
    <cellStyle name="Millares 61 2" xfId="932" xr:uid="{00000000-0005-0000-0000-000038020000}"/>
    <cellStyle name="Millares 62" xfId="691" xr:uid="{00000000-0005-0000-0000-000039020000}"/>
    <cellStyle name="Millares 62 2" xfId="925" xr:uid="{00000000-0005-0000-0000-00003A020000}"/>
    <cellStyle name="Millares 63" xfId="707" xr:uid="{00000000-0005-0000-0000-00003B020000}"/>
    <cellStyle name="Millares 63 2" xfId="934" xr:uid="{00000000-0005-0000-0000-00003C020000}"/>
    <cellStyle name="Millares 64" xfId="706" xr:uid="{00000000-0005-0000-0000-00003D020000}"/>
    <cellStyle name="Millares 64 2" xfId="933" xr:uid="{00000000-0005-0000-0000-00003E020000}"/>
    <cellStyle name="Millares 65" xfId="711" xr:uid="{00000000-0005-0000-0000-00003F020000}"/>
    <cellStyle name="Millares 65 2" xfId="936" xr:uid="{00000000-0005-0000-0000-000040020000}"/>
    <cellStyle name="Millares 66" xfId="820" xr:uid="{00000000-0005-0000-0000-000041020000}"/>
    <cellStyle name="Millares 67" xfId="839" xr:uid="{00000000-0005-0000-0000-000042020000}"/>
    <cellStyle name="Millares 68" xfId="897" xr:uid="{00000000-0005-0000-0000-000043020000}"/>
    <cellStyle name="Millares 69" xfId="1034" xr:uid="{00000000-0005-0000-0000-000044020000}"/>
    <cellStyle name="Millares 7" xfId="424" xr:uid="{00000000-0005-0000-0000-000045020000}"/>
    <cellStyle name="Millares 7 2" xfId="746" xr:uid="{00000000-0005-0000-0000-000046020000}"/>
    <cellStyle name="Millares 7 2 2" xfId="960" xr:uid="{00000000-0005-0000-0000-000047020000}"/>
    <cellStyle name="Millares 7 3" xfId="845" xr:uid="{00000000-0005-0000-0000-000048020000}"/>
    <cellStyle name="Millares 70" xfId="1035" xr:uid="{00000000-0005-0000-0000-000049020000}"/>
    <cellStyle name="Millares 8" xfId="426" xr:uid="{00000000-0005-0000-0000-00004A020000}"/>
    <cellStyle name="Millares 8 2" xfId="747" xr:uid="{00000000-0005-0000-0000-00004B020000}"/>
    <cellStyle name="Millares 8 2 2" xfId="961" xr:uid="{00000000-0005-0000-0000-00004C020000}"/>
    <cellStyle name="Millares 8 3" xfId="846" xr:uid="{00000000-0005-0000-0000-00004D020000}"/>
    <cellStyle name="Millares 9" xfId="464" xr:uid="{00000000-0005-0000-0000-00004E020000}"/>
    <cellStyle name="Millares 9 2" xfId="760" xr:uid="{00000000-0005-0000-0000-00004F020000}"/>
    <cellStyle name="Millares 9 2 2" xfId="974" xr:uid="{00000000-0005-0000-0000-000050020000}"/>
    <cellStyle name="Millares 9 3" xfId="859" xr:uid="{00000000-0005-0000-0000-000051020000}"/>
    <cellStyle name="Moneda" xfId="3" builtinId="4"/>
    <cellStyle name="Moneda [0]" xfId="4" builtinId="7"/>
    <cellStyle name="Moneda [0] 2" xfId="101" xr:uid="{00000000-0005-0000-0000-000054020000}"/>
    <cellStyle name="Moneda [0] 2 2" xfId="125" xr:uid="{00000000-0005-0000-0000-000055020000}"/>
    <cellStyle name="Moneda [0] 2 2 2" xfId="168" xr:uid="{00000000-0005-0000-0000-000056020000}"/>
    <cellStyle name="Moneda [0] 2 2 2 2" xfId="738" xr:uid="{00000000-0005-0000-0000-000057020000}"/>
    <cellStyle name="Moneda [0] 2 2 2 2 2" xfId="953" xr:uid="{00000000-0005-0000-0000-000058020000}"/>
    <cellStyle name="Moneda [0] 2 2 2 3" xfId="838" xr:uid="{00000000-0005-0000-0000-000059020000}"/>
    <cellStyle name="Moneda [0] 2 2 3" xfId="520" xr:uid="{00000000-0005-0000-0000-00005A020000}"/>
    <cellStyle name="Moneda [0] 2 2 4" xfId="452" xr:uid="{00000000-0005-0000-0000-00005B020000}"/>
    <cellStyle name="Moneda [0] 2 3" xfId="163" xr:uid="{00000000-0005-0000-0000-00005C020000}"/>
    <cellStyle name="Moneda [0] 2 3 2" xfId="534" xr:uid="{00000000-0005-0000-0000-00005D020000}"/>
    <cellStyle name="Moneda [0] 2 3 3" xfId="459" xr:uid="{00000000-0005-0000-0000-00005E020000}"/>
    <cellStyle name="Moneda [0] 2 4" xfId="504" xr:uid="{00000000-0005-0000-0000-00005F020000}"/>
    <cellStyle name="Moneda [0] 2 5" xfId="443" xr:uid="{00000000-0005-0000-0000-000060020000}"/>
    <cellStyle name="Moneda [0] 3" xfId="417" xr:uid="{00000000-0005-0000-0000-000061020000}"/>
    <cellStyle name="Moneda [0] 4" xfId="467" xr:uid="{00000000-0005-0000-0000-000062020000}"/>
    <cellStyle name="Moneda [0] 5" xfId="693" xr:uid="{00000000-0005-0000-0000-000063020000}"/>
    <cellStyle name="Moneda [0] 5 2" xfId="927" xr:uid="{00000000-0005-0000-0000-000064020000}"/>
    <cellStyle name="Moneda [0] 6" xfId="714" xr:uid="{00000000-0005-0000-0000-000065020000}"/>
    <cellStyle name="Moneda 10" xfId="139" xr:uid="{00000000-0005-0000-0000-000066020000}"/>
    <cellStyle name="Moneda 11" xfId="144" xr:uid="{00000000-0005-0000-0000-000067020000}"/>
    <cellStyle name="Moneda 12" xfId="145" xr:uid="{00000000-0005-0000-0000-000068020000}"/>
    <cellStyle name="Moneda 13" xfId="146" xr:uid="{00000000-0005-0000-0000-000069020000}"/>
    <cellStyle name="Moneda 14" xfId="147" xr:uid="{00000000-0005-0000-0000-00006A020000}"/>
    <cellStyle name="Moneda 15" xfId="148" xr:uid="{00000000-0005-0000-0000-00006B020000}"/>
    <cellStyle name="Moneda 16" xfId="149" xr:uid="{00000000-0005-0000-0000-00006C020000}"/>
    <cellStyle name="Moneda 17" xfId="466" xr:uid="{00000000-0005-0000-0000-00006D020000}"/>
    <cellStyle name="Moneda 18" xfId="480" xr:uid="{00000000-0005-0000-0000-00006E020000}"/>
    <cellStyle name="Moneda 19" xfId="625" xr:uid="{00000000-0005-0000-0000-00006F020000}"/>
    <cellStyle name="Moneda 2" xfId="11" xr:uid="{00000000-0005-0000-0000-000070020000}"/>
    <cellStyle name="Moneda 2 2" xfId="102" xr:uid="{00000000-0005-0000-0000-000071020000}"/>
    <cellStyle name="Moneda 2 2 2" xfId="726" xr:uid="{00000000-0005-0000-0000-000072020000}"/>
    <cellStyle name="Moneda 2 2 2 2" xfId="941" xr:uid="{00000000-0005-0000-0000-000073020000}"/>
    <cellStyle name="Moneda 2 2 3" xfId="826" xr:uid="{00000000-0005-0000-0000-000074020000}"/>
    <cellStyle name="Moneda 2 3" xfId="100" xr:uid="{00000000-0005-0000-0000-000075020000}"/>
    <cellStyle name="Moneda 2 3 2" xfId="503" xr:uid="{00000000-0005-0000-0000-000076020000}"/>
    <cellStyle name="Moneda 2 3 3" xfId="442" xr:uid="{00000000-0005-0000-0000-000077020000}"/>
    <cellStyle name="Moneda 2 4" xfId="131" xr:uid="{00000000-0005-0000-0000-000078020000}"/>
    <cellStyle name="Moneda 2 4 2" xfId="733" xr:uid="{00000000-0005-0000-0000-000079020000}"/>
    <cellStyle name="Moneda 2 4 2 2" xfId="948" xr:uid="{00000000-0005-0000-0000-00007A020000}"/>
    <cellStyle name="Moneda 2 4 3" xfId="833" xr:uid="{00000000-0005-0000-0000-00007B020000}"/>
    <cellStyle name="Moneda 2 5" xfId="162" xr:uid="{00000000-0005-0000-0000-00007C020000}"/>
    <cellStyle name="Moneda 2 5 2" xfId="533" xr:uid="{00000000-0005-0000-0000-00007D020000}"/>
    <cellStyle name="Moneda 2 5 3" xfId="458" xr:uid="{00000000-0005-0000-0000-00007E020000}"/>
    <cellStyle name="Moneda 2 6" xfId="716" xr:uid="{00000000-0005-0000-0000-00007F020000}"/>
    <cellStyle name="Moneda 2 6 2" xfId="939" xr:uid="{00000000-0005-0000-0000-000080020000}"/>
    <cellStyle name="Moneda 2 7" xfId="822" xr:uid="{00000000-0005-0000-0000-000081020000}"/>
    <cellStyle name="Moneda 20" xfId="485" xr:uid="{00000000-0005-0000-0000-000082020000}"/>
    <cellStyle name="Moneda 21" xfId="477" xr:uid="{00000000-0005-0000-0000-000083020000}"/>
    <cellStyle name="Moneda 22" xfId="587" xr:uid="{00000000-0005-0000-0000-000084020000}"/>
    <cellStyle name="Moneda 23" xfId="474" xr:uid="{00000000-0005-0000-0000-000085020000}"/>
    <cellStyle name="Moneda 24" xfId="511" xr:uid="{00000000-0005-0000-0000-000086020000}"/>
    <cellStyle name="Moneda 25" xfId="633" xr:uid="{00000000-0005-0000-0000-000087020000}"/>
    <cellStyle name="Moneda 26" xfId="612" xr:uid="{00000000-0005-0000-0000-000088020000}"/>
    <cellStyle name="Moneda 27" xfId="649" xr:uid="{00000000-0005-0000-0000-000089020000}"/>
    <cellStyle name="Moneda 28" xfId="507" xr:uid="{00000000-0005-0000-0000-00008A020000}"/>
    <cellStyle name="Moneda 29" xfId="525" xr:uid="{00000000-0005-0000-0000-00008B020000}"/>
    <cellStyle name="Moneda 3" xfId="13" xr:uid="{00000000-0005-0000-0000-00008C020000}"/>
    <cellStyle name="Moneda 3 2" xfId="118" xr:uid="{00000000-0005-0000-0000-00008D020000}"/>
    <cellStyle name="Moneda 3 2 2" xfId="414" xr:uid="{00000000-0005-0000-0000-00008E020000}"/>
    <cellStyle name="Moneda 3 2 3" xfId="447" xr:uid="{00000000-0005-0000-0000-00008F020000}"/>
    <cellStyle name="Moneda 3 2 4" xfId="514" xr:uid="{00000000-0005-0000-0000-000090020000}"/>
    <cellStyle name="Moneda 3 2 5" xfId="412" xr:uid="{00000000-0005-0000-0000-000091020000}"/>
    <cellStyle name="Moneda 3 3" xfId="413" xr:uid="{00000000-0005-0000-0000-000092020000}"/>
    <cellStyle name="Moneda 30" xfId="617" xr:uid="{00000000-0005-0000-0000-000093020000}"/>
    <cellStyle name="Moneda 31" xfId="653" xr:uid="{00000000-0005-0000-0000-000094020000}"/>
    <cellStyle name="Moneda 32" xfId="667" xr:uid="{00000000-0005-0000-0000-000095020000}"/>
    <cellStyle name="Moneda 33" xfId="523" xr:uid="{00000000-0005-0000-0000-000096020000}"/>
    <cellStyle name="Moneda 34" xfId="500" xr:uid="{00000000-0005-0000-0000-000097020000}"/>
    <cellStyle name="Moneda 35" xfId="589" xr:uid="{00000000-0005-0000-0000-000098020000}"/>
    <cellStyle name="Moneda 36" xfId="647" xr:uid="{00000000-0005-0000-0000-000099020000}"/>
    <cellStyle name="Moneda 37" xfId="671" xr:uid="{00000000-0005-0000-0000-00009A020000}"/>
    <cellStyle name="Moneda 38" xfId="674" xr:uid="{00000000-0005-0000-0000-00009B020000}"/>
    <cellStyle name="Moneda 39" xfId="588" xr:uid="{00000000-0005-0000-0000-00009C020000}"/>
    <cellStyle name="Moneda 4" xfId="130" xr:uid="{00000000-0005-0000-0000-00009D020000}"/>
    <cellStyle name="Moneda 4 2" xfId="392" xr:uid="{00000000-0005-0000-0000-00009E020000}"/>
    <cellStyle name="Moneda 40" xfId="499" xr:uid="{00000000-0005-0000-0000-00009F020000}"/>
    <cellStyle name="Moneda 41" xfId="582" xr:uid="{00000000-0005-0000-0000-0000A0020000}"/>
    <cellStyle name="Moneda 42" xfId="529" xr:uid="{00000000-0005-0000-0000-0000A1020000}"/>
    <cellStyle name="Moneda 43" xfId="675" xr:uid="{00000000-0005-0000-0000-0000A2020000}"/>
    <cellStyle name="Moneda 44" xfId="662" xr:uid="{00000000-0005-0000-0000-0000A3020000}"/>
    <cellStyle name="Moneda 45" xfId="524" xr:uid="{00000000-0005-0000-0000-0000A4020000}"/>
    <cellStyle name="Moneda 46" xfId="469" xr:uid="{00000000-0005-0000-0000-0000A5020000}"/>
    <cellStyle name="Moneda 47" xfId="512" xr:uid="{00000000-0005-0000-0000-0000A6020000}"/>
    <cellStyle name="Moneda 48" xfId="648" xr:uid="{00000000-0005-0000-0000-0000A7020000}"/>
    <cellStyle name="Moneda 49" xfId="608" xr:uid="{00000000-0005-0000-0000-0000A8020000}"/>
    <cellStyle name="Moneda 5" xfId="134" xr:uid="{00000000-0005-0000-0000-0000A9020000}"/>
    <cellStyle name="Moneda 50" xfId="631" xr:uid="{00000000-0005-0000-0000-0000AA020000}"/>
    <cellStyle name="Moneda 51" xfId="677" xr:uid="{00000000-0005-0000-0000-0000AB020000}"/>
    <cellStyle name="Moneda 52" xfId="593" xr:uid="{00000000-0005-0000-0000-0000AC020000}"/>
    <cellStyle name="Moneda 53" xfId="494" xr:uid="{00000000-0005-0000-0000-0000AD020000}"/>
    <cellStyle name="Moneda 54" xfId="669" xr:uid="{00000000-0005-0000-0000-0000AE020000}"/>
    <cellStyle name="Moneda 55" xfId="660" xr:uid="{00000000-0005-0000-0000-0000AF020000}"/>
    <cellStyle name="Moneda 56" xfId="508" xr:uid="{00000000-0005-0000-0000-0000B0020000}"/>
    <cellStyle name="Moneda 57" xfId="673" xr:uid="{00000000-0005-0000-0000-0000B1020000}"/>
    <cellStyle name="Moneda 58" xfId="641" xr:uid="{00000000-0005-0000-0000-0000B2020000}"/>
    <cellStyle name="Moneda 59" xfId="597" xr:uid="{00000000-0005-0000-0000-0000B3020000}"/>
    <cellStyle name="Moneda 6" xfId="135" xr:uid="{00000000-0005-0000-0000-0000B4020000}"/>
    <cellStyle name="Moneda 60" xfId="468" xr:uid="{00000000-0005-0000-0000-0000B5020000}"/>
    <cellStyle name="Moneda 61" xfId="713" xr:uid="{00000000-0005-0000-0000-0000B6020000}"/>
    <cellStyle name="Moneda 7" xfId="136" xr:uid="{00000000-0005-0000-0000-0000B7020000}"/>
    <cellStyle name="Moneda 8" xfId="138" xr:uid="{00000000-0005-0000-0000-0000B8020000}"/>
    <cellStyle name="Moneda 9" xfId="137" xr:uid="{00000000-0005-0000-0000-0000B9020000}"/>
    <cellStyle name="Neutral" xfId="25" builtinId="28" customBuiltin="1"/>
    <cellStyle name="Neutral 2" xfId="77" xr:uid="{00000000-0005-0000-0000-0000BB020000}"/>
    <cellStyle name="Neutral 2 2" xfId="350" xr:uid="{00000000-0005-0000-0000-0000BC020000}"/>
    <cellStyle name="Neutral 2 3" xfId="496" xr:uid="{00000000-0005-0000-0000-0000BD020000}"/>
    <cellStyle name="Neutral 3" xfId="425" xr:uid="{00000000-0005-0000-0000-0000BE020000}"/>
    <cellStyle name="Neutral 4" xfId="717" xr:uid="{00000000-0005-0000-0000-0000BF020000}"/>
    <cellStyle name="Normal" xfId="0" builtinId="0"/>
    <cellStyle name="Normal 10" xfId="94" xr:uid="{00000000-0005-0000-0000-0000C1020000}"/>
    <cellStyle name="Normal 10 2" xfId="194" xr:uid="{00000000-0005-0000-0000-0000C2020000}"/>
    <cellStyle name="Normal 10 2 2" xfId="544" xr:uid="{00000000-0005-0000-0000-0000C3020000}"/>
    <cellStyle name="Normal 10 2 3" xfId="437" xr:uid="{00000000-0005-0000-0000-0000C4020000}"/>
    <cellStyle name="Normal 10 3" xfId="388" xr:uid="{00000000-0005-0000-0000-0000C5020000}"/>
    <cellStyle name="Normal 100" xfId="634" xr:uid="{00000000-0005-0000-0000-0000C6020000}"/>
    <cellStyle name="Normal 101" xfId="605" xr:uid="{00000000-0005-0000-0000-0000C7020000}"/>
    <cellStyle name="Normal 102" xfId="592" xr:uid="{00000000-0005-0000-0000-0000C8020000}"/>
    <cellStyle name="Normal 103" xfId="620" xr:uid="{00000000-0005-0000-0000-0000C9020000}"/>
    <cellStyle name="Normal 104" xfId="640" xr:uid="{00000000-0005-0000-0000-0000CA020000}"/>
    <cellStyle name="Normal 105" xfId="618" xr:uid="{00000000-0005-0000-0000-0000CB020000}"/>
    <cellStyle name="Normal 106" xfId="626" xr:uid="{00000000-0005-0000-0000-0000CC020000}"/>
    <cellStyle name="Normal 107" xfId="635" xr:uid="{00000000-0005-0000-0000-0000CD020000}"/>
    <cellStyle name="Normal 108" xfId="609" xr:uid="{00000000-0005-0000-0000-0000CE020000}"/>
    <cellStyle name="Normal 109" xfId="590" xr:uid="{00000000-0005-0000-0000-0000CF020000}"/>
    <cellStyle name="Normal 11" xfId="107" xr:uid="{00000000-0005-0000-0000-0000D0020000}"/>
    <cellStyle name="Normal 11 2" xfId="247" xr:uid="{00000000-0005-0000-0000-0000D1020000}"/>
    <cellStyle name="Normal 110" xfId="636" xr:uid="{00000000-0005-0000-0000-0000D2020000}"/>
    <cellStyle name="Normal 111" xfId="505" xr:uid="{00000000-0005-0000-0000-0000D3020000}"/>
    <cellStyle name="Normal 112" xfId="651" xr:uid="{00000000-0005-0000-0000-0000D4020000}"/>
    <cellStyle name="Normal 113" xfId="521" xr:uid="{00000000-0005-0000-0000-0000D5020000}"/>
    <cellStyle name="Normal 114" xfId="621" xr:uid="{00000000-0005-0000-0000-0000D6020000}"/>
    <cellStyle name="Normal 115" xfId="586" xr:uid="{00000000-0005-0000-0000-0000D7020000}"/>
    <cellStyle name="Normal 116" xfId="678" xr:uid="{00000000-0005-0000-0000-0000D8020000}"/>
    <cellStyle name="Normal 117" xfId="478" xr:uid="{00000000-0005-0000-0000-0000D9020000}"/>
    <cellStyle name="Normal 118" xfId="663" xr:uid="{00000000-0005-0000-0000-0000DA020000}"/>
    <cellStyle name="Normal 119" xfId="611" xr:uid="{00000000-0005-0000-0000-0000DB020000}"/>
    <cellStyle name="Normal 12" xfId="104" xr:uid="{00000000-0005-0000-0000-0000DC020000}"/>
    <cellStyle name="Normal 12 2" xfId="208" xr:uid="{00000000-0005-0000-0000-0000DD020000}"/>
    <cellStyle name="Normal 120" xfId="627" xr:uid="{00000000-0005-0000-0000-0000DE020000}"/>
    <cellStyle name="Normal 121" xfId="624" xr:uid="{00000000-0005-0000-0000-0000DF020000}"/>
    <cellStyle name="Normal 122" xfId="642" xr:uid="{00000000-0005-0000-0000-0000E0020000}"/>
    <cellStyle name="Normal 123" xfId="470" xr:uid="{00000000-0005-0000-0000-0000E1020000}"/>
    <cellStyle name="Normal 124" xfId="665" xr:uid="{00000000-0005-0000-0000-0000E2020000}"/>
    <cellStyle name="Normal 125" xfId="509" xr:uid="{00000000-0005-0000-0000-0000E3020000}"/>
    <cellStyle name="Normal 126" xfId="679" xr:uid="{00000000-0005-0000-0000-0000E4020000}"/>
    <cellStyle name="Normal 127" xfId="643" xr:uid="{00000000-0005-0000-0000-0000E5020000}"/>
    <cellStyle name="Normal 128" xfId="483" xr:uid="{00000000-0005-0000-0000-0000E6020000}"/>
    <cellStyle name="Normal 129" xfId="676" xr:uid="{00000000-0005-0000-0000-0000E7020000}"/>
    <cellStyle name="Normal 13" xfId="90" xr:uid="{00000000-0005-0000-0000-0000E8020000}"/>
    <cellStyle name="Normal 13 2" xfId="227" xr:uid="{00000000-0005-0000-0000-0000E9020000}"/>
    <cellStyle name="Normal 130" xfId="655" xr:uid="{00000000-0005-0000-0000-0000EA020000}"/>
    <cellStyle name="Normal 131" xfId="486" xr:uid="{00000000-0005-0000-0000-0000EB020000}"/>
    <cellStyle name="Normal 132" xfId="630" xr:uid="{00000000-0005-0000-0000-0000EC020000}"/>
    <cellStyle name="Normal 133" xfId="395" xr:uid="{00000000-0005-0000-0000-0000ED020000}"/>
    <cellStyle name="Normal 134" xfId="680" xr:uid="{00000000-0005-0000-0000-0000EE020000}"/>
    <cellStyle name="Normal 135" xfId="682" xr:uid="{00000000-0005-0000-0000-0000EF020000}"/>
    <cellStyle name="Normal 136" xfId="687" xr:uid="{00000000-0005-0000-0000-0000F0020000}"/>
    <cellStyle name="Normal 137" xfId="685" xr:uid="{00000000-0005-0000-0000-0000F1020000}"/>
    <cellStyle name="Normal 138" xfId="698" xr:uid="{00000000-0005-0000-0000-0000F2020000}"/>
    <cellStyle name="Normal 139" xfId="697" xr:uid="{00000000-0005-0000-0000-0000F3020000}"/>
    <cellStyle name="Normal 14" xfId="92" xr:uid="{00000000-0005-0000-0000-0000F4020000}"/>
    <cellStyle name="Normal 14 2" xfId="238" xr:uid="{00000000-0005-0000-0000-0000F5020000}"/>
    <cellStyle name="Normal 14 2 2" xfId="564" xr:uid="{00000000-0005-0000-0000-0000F6020000}"/>
    <cellStyle name="Normal 14 2 3" xfId="399" xr:uid="{00000000-0005-0000-0000-0000F7020000}"/>
    <cellStyle name="Normal 14 3" xfId="351" xr:uid="{00000000-0005-0000-0000-0000F8020000}"/>
    <cellStyle name="Normal 14 3 2" xfId="596" xr:uid="{00000000-0005-0000-0000-0000F9020000}"/>
    <cellStyle name="Normal 14 3 3" xfId="435" xr:uid="{00000000-0005-0000-0000-0000FA020000}"/>
    <cellStyle name="Normal 140" xfId="700" xr:uid="{00000000-0005-0000-0000-0000FB020000}"/>
    <cellStyle name="Normal 141" xfId="702" xr:uid="{00000000-0005-0000-0000-0000FC020000}"/>
    <cellStyle name="Normal 142" xfId="704" xr:uid="{00000000-0005-0000-0000-0000FD020000}"/>
    <cellStyle name="Normal 143" xfId="705" xr:uid="{00000000-0005-0000-0000-0000FE020000}"/>
    <cellStyle name="Normal 144" xfId="695" xr:uid="{00000000-0005-0000-0000-0000FF020000}"/>
    <cellStyle name="Normal 145" xfId="688" xr:uid="{00000000-0005-0000-0000-000000030000}"/>
    <cellStyle name="Normal 146" xfId="708" xr:uid="{00000000-0005-0000-0000-000001030000}"/>
    <cellStyle name="Normal 147" xfId="710" xr:uid="{00000000-0005-0000-0000-000002030000}"/>
    <cellStyle name="Normal 15" xfId="105" xr:uid="{00000000-0005-0000-0000-000003030000}"/>
    <cellStyle name="Normal 15 2" xfId="216" xr:uid="{00000000-0005-0000-0000-000004030000}"/>
    <cellStyle name="Normal 16" xfId="88" xr:uid="{00000000-0005-0000-0000-000005030000}"/>
    <cellStyle name="Normal 16 2" xfId="74" xr:uid="{00000000-0005-0000-0000-000006030000}"/>
    <cellStyle name="Normal 17" xfId="106" xr:uid="{00000000-0005-0000-0000-000007030000}"/>
    <cellStyle name="Normal 17 2" xfId="178" xr:uid="{00000000-0005-0000-0000-000008030000}"/>
    <cellStyle name="Normal 18" xfId="87" xr:uid="{00000000-0005-0000-0000-000009030000}"/>
    <cellStyle name="Normal 18 2" xfId="187" xr:uid="{00000000-0005-0000-0000-00000A030000}"/>
    <cellStyle name="Normal 19" xfId="108" xr:uid="{00000000-0005-0000-0000-00000B030000}"/>
    <cellStyle name="Normal 19 2" xfId="204" xr:uid="{00000000-0005-0000-0000-00000C030000}"/>
    <cellStyle name="Normal 2" xfId="7" xr:uid="{00000000-0005-0000-0000-00000D030000}"/>
    <cellStyle name="Normal 2 2" xfId="10" xr:uid="{00000000-0005-0000-0000-00000E030000}"/>
    <cellStyle name="Normal 2 2 10" xfId="353" xr:uid="{00000000-0005-0000-0000-00000F030000}"/>
    <cellStyle name="Normal 2 2 10 2" xfId="401" xr:uid="{00000000-0005-0000-0000-000010030000}"/>
    <cellStyle name="Normal 2 2 2" xfId="15" xr:uid="{00000000-0005-0000-0000-000011030000}"/>
    <cellStyle name="Normal 2 2 2 2" xfId="132" xr:uid="{00000000-0005-0000-0000-000012030000}"/>
    <cellStyle name="Normal 2 2 2 2 2" xfId="230" xr:uid="{00000000-0005-0000-0000-000013030000}"/>
    <cellStyle name="Normal 2 2 2 2 2 2" xfId="357" xr:uid="{00000000-0005-0000-0000-000014030000}"/>
    <cellStyle name="Normal 2 2 2 2 2 2 2" xfId="402" xr:uid="{00000000-0005-0000-0000-000015030000}"/>
    <cellStyle name="Normal 2 2 2 2 2 3" xfId="356" xr:uid="{00000000-0005-0000-0000-000016030000}"/>
    <cellStyle name="Normal 2 2 2 2 2 4" xfId="560" xr:uid="{00000000-0005-0000-0000-000017030000}"/>
    <cellStyle name="Normal 2 2 2 2 3" xfId="355" xr:uid="{00000000-0005-0000-0000-000018030000}"/>
    <cellStyle name="Normal 2 2 2 2 4" xfId="455" xr:uid="{00000000-0005-0000-0000-000019030000}"/>
    <cellStyle name="Normal 2 2 2 3" xfId="212" xr:uid="{00000000-0005-0000-0000-00001A030000}"/>
    <cellStyle name="Normal 2 2 2 3 2" xfId="358" xr:uid="{00000000-0005-0000-0000-00001B030000}"/>
    <cellStyle name="Normal 2 2 2 3 3" xfId="551" xr:uid="{00000000-0005-0000-0000-00001C030000}"/>
    <cellStyle name="Normal 2 2 2 4" xfId="359" xr:uid="{00000000-0005-0000-0000-00001D030000}"/>
    <cellStyle name="Normal 2 2 2 5" xfId="354" xr:uid="{00000000-0005-0000-0000-00001E030000}"/>
    <cellStyle name="Normal 2 2 3" xfId="221" xr:uid="{00000000-0005-0000-0000-00001F030000}"/>
    <cellStyle name="Normal 2 2 3 2" xfId="360" xr:uid="{00000000-0005-0000-0000-000020030000}"/>
    <cellStyle name="Normal 2 2 3 3" xfId="556" xr:uid="{00000000-0005-0000-0000-000021030000}"/>
    <cellStyle name="Normal 2 2 4" xfId="400" xr:uid="{00000000-0005-0000-0000-000022030000}"/>
    <cellStyle name="Normal 2 2 5" xfId="420" xr:uid="{00000000-0005-0000-0000-000023030000}"/>
    <cellStyle name="Normal 2 2 7" xfId="361" xr:uid="{00000000-0005-0000-0000-000024030000}"/>
    <cellStyle name="Normal 2 2 7 2" xfId="403" xr:uid="{00000000-0005-0000-0000-000025030000}"/>
    <cellStyle name="Normal 2 2 8" xfId="362" xr:uid="{00000000-0005-0000-0000-000026030000}"/>
    <cellStyle name="Normal 2 2 8 2" xfId="404" xr:uid="{00000000-0005-0000-0000-000027030000}"/>
    <cellStyle name="Normal 2 2 9" xfId="363" xr:uid="{00000000-0005-0000-0000-000028030000}"/>
    <cellStyle name="Normal 2 2 9 2" xfId="405" xr:uid="{00000000-0005-0000-0000-000029030000}"/>
    <cellStyle name="Normal 2 3" xfId="16" xr:uid="{00000000-0005-0000-0000-00002A030000}"/>
    <cellStyle name="Normal 2 3 2" xfId="126" xr:uid="{00000000-0005-0000-0000-00002B030000}"/>
    <cellStyle name="Normal 2 3 2 2" xfId="365" xr:uid="{00000000-0005-0000-0000-00002C030000}"/>
    <cellStyle name="Normal 2 3 2 2 2" xfId="599" xr:uid="{00000000-0005-0000-0000-00002D030000}"/>
    <cellStyle name="Normal 2 3 2 2 3" xfId="453" xr:uid="{00000000-0005-0000-0000-00002E030000}"/>
    <cellStyle name="Normal 2 3 3" xfId="167" xr:uid="{00000000-0005-0000-0000-00002F030000}"/>
    <cellStyle name="Normal 2 3 3 2" xfId="270" xr:uid="{00000000-0005-0000-0000-000030030000}"/>
    <cellStyle name="Normal 2 3 3 2 2" xfId="580" xr:uid="{00000000-0005-0000-0000-000031030000}"/>
    <cellStyle name="Normal 2 3 3 2 3" xfId="462" xr:uid="{00000000-0005-0000-0000-000032030000}"/>
    <cellStyle name="Normal 2 3 3 3" xfId="366" xr:uid="{00000000-0005-0000-0000-000033030000}"/>
    <cellStyle name="Normal 2 3 3 4" xfId="393" xr:uid="{00000000-0005-0000-0000-000034030000}"/>
    <cellStyle name="Normal 2 3 4" xfId="246" xr:uid="{00000000-0005-0000-0000-000035030000}"/>
    <cellStyle name="Normal 2 3 4 2" xfId="566" xr:uid="{00000000-0005-0000-0000-000036030000}"/>
    <cellStyle name="Normal 2 3 4 3" xfId="422" xr:uid="{00000000-0005-0000-0000-000037030000}"/>
    <cellStyle name="Normal 2 3 5" xfId="364" xr:uid="{00000000-0005-0000-0000-000038030000}"/>
    <cellStyle name="Normal 2 4" xfId="117" xr:uid="{00000000-0005-0000-0000-000039030000}"/>
    <cellStyle name="Normal 2 4 2" xfId="197" xr:uid="{00000000-0005-0000-0000-00003A030000}"/>
    <cellStyle name="Normal 2 4 2 2" xfId="546" xr:uid="{00000000-0005-0000-0000-00003B030000}"/>
    <cellStyle name="Normal 2 4 2 3" xfId="406" xr:uid="{00000000-0005-0000-0000-00003C030000}"/>
    <cellStyle name="Normal 2 4 3" xfId="367" xr:uid="{00000000-0005-0000-0000-00003D030000}"/>
    <cellStyle name="Normal 2 4 3 2" xfId="600" xr:uid="{00000000-0005-0000-0000-00003E030000}"/>
    <cellStyle name="Normal 2 4 3 3" xfId="446" xr:uid="{00000000-0005-0000-0000-00003F030000}"/>
    <cellStyle name="Normal 2 5" xfId="368" xr:uid="{00000000-0005-0000-0000-000040030000}"/>
    <cellStyle name="Normal 2 6" xfId="369" xr:uid="{00000000-0005-0000-0000-000041030000}"/>
    <cellStyle name="Normal 2 7" xfId="352" xr:uid="{00000000-0005-0000-0000-000042030000}"/>
    <cellStyle name="Normal 2_FUT INGRESOS 2010 Y FLS Y TESORERIA FLS AGOSTO 26" xfId="370" xr:uid="{00000000-0005-0000-0000-000043030000}"/>
    <cellStyle name="Normal 20" xfId="86" xr:uid="{00000000-0005-0000-0000-000044030000}"/>
    <cellStyle name="Normal 20 2" xfId="234" xr:uid="{00000000-0005-0000-0000-000045030000}"/>
    <cellStyle name="Normal 21" xfId="91" xr:uid="{00000000-0005-0000-0000-000046030000}"/>
    <cellStyle name="Normal 21 2" xfId="209" xr:uid="{00000000-0005-0000-0000-000047030000}"/>
    <cellStyle name="Normal 22" xfId="89" xr:uid="{00000000-0005-0000-0000-000048030000}"/>
    <cellStyle name="Normal 22 2" xfId="193" xr:uid="{00000000-0005-0000-0000-000049030000}"/>
    <cellStyle name="Normal 23" xfId="109" xr:uid="{00000000-0005-0000-0000-00004A030000}"/>
    <cellStyle name="Normal 23 2" xfId="239" xr:uid="{00000000-0005-0000-0000-00004B030000}"/>
    <cellStyle name="Normal 24" xfId="110" xr:uid="{00000000-0005-0000-0000-00004C030000}"/>
    <cellStyle name="Normal 24 2" xfId="268" xr:uid="{00000000-0005-0000-0000-00004D030000}"/>
    <cellStyle name="Normal 25" xfId="111" xr:uid="{00000000-0005-0000-0000-00004E030000}"/>
    <cellStyle name="Normal 25 2" xfId="240" xr:uid="{00000000-0005-0000-0000-00004F030000}"/>
    <cellStyle name="Normal 26" xfId="112" xr:uid="{00000000-0005-0000-0000-000050030000}"/>
    <cellStyle name="Normal 26 2" xfId="258" xr:uid="{00000000-0005-0000-0000-000051030000}"/>
    <cellStyle name="Normal 27" xfId="113" xr:uid="{00000000-0005-0000-0000-000052030000}"/>
    <cellStyle name="Normal 27 2" xfId="241" xr:uid="{00000000-0005-0000-0000-000053030000}"/>
    <cellStyle name="Normal 28" xfId="114" xr:uid="{00000000-0005-0000-0000-000054030000}"/>
    <cellStyle name="Normal 28 2" xfId="78" xr:uid="{00000000-0005-0000-0000-000055030000}"/>
    <cellStyle name="Normal 29" xfId="116" xr:uid="{00000000-0005-0000-0000-000056030000}"/>
    <cellStyle name="Normal 29 2" xfId="75" xr:uid="{00000000-0005-0000-0000-000057030000}"/>
    <cellStyle name="Normal 3" xfId="17" xr:uid="{00000000-0005-0000-0000-000058030000}"/>
    <cellStyle name="Normal 3 2" xfId="127" xr:uid="{00000000-0005-0000-0000-000059030000}"/>
    <cellStyle name="Normal 3 2 2" xfId="210" xr:uid="{00000000-0005-0000-0000-00005A030000}"/>
    <cellStyle name="Normal 3 2 2 2" xfId="550" xr:uid="{00000000-0005-0000-0000-00005B030000}"/>
    <cellStyle name="Normal 3 2 2 3" xfId="408" xr:uid="{00000000-0005-0000-0000-00005C030000}"/>
    <cellStyle name="Normal 3 2 3" xfId="371" xr:uid="{00000000-0005-0000-0000-00005D030000}"/>
    <cellStyle name="Normal 3 2 3 2" xfId="602" xr:uid="{00000000-0005-0000-0000-00005E030000}"/>
    <cellStyle name="Normal 3 2 3 3" xfId="454" xr:uid="{00000000-0005-0000-0000-00005F030000}"/>
    <cellStyle name="Normal 3 3" xfId="264" xr:uid="{00000000-0005-0000-0000-000060030000}"/>
    <cellStyle name="Normal 3 3 2" xfId="577" xr:uid="{00000000-0005-0000-0000-000061030000}"/>
    <cellStyle name="Normal 3 3 3" xfId="407" xr:uid="{00000000-0005-0000-0000-000062030000}"/>
    <cellStyle name="Normal 3 4" xfId="277" xr:uid="{00000000-0005-0000-0000-000063030000}"/>
    <cellStyle name="Normal 3 4 2" xfId="581" xr:uid="{00000000-0005-0000-0000-000064030000}"/>
    <cellStyle name="Normal 3 4 3" xfId="423" xr:uid="{00000000-0005-0000-0000-000065030000}"/>
    <cellStyle name="Normal 3 5" xfId="63" xr:uid="{00000000-0005-0000-0000-000066030000}"/>
    <cellStyle name="Normal 30" xfId="128" xr:uid="{00000000-0005-0000-0000-000067030000}"/>
    <cellStyle name="Normal 30 2" xfId="176" xr:uid="{00000000-0005-0000-0000-000068030000}"/>
    <cellStyle name="Normal 31" xfId="142" xr:uid="{00000000-0005-0000-0000-000069030000}"/>
    <cellStyle name="Normal 31 2" xfId="82" xr:uid="{00000000-0005-0000-0000-00006A030000}"/>
    <cellStyle name="Normal 32" xfId="140" xr:uid="{00000000-0005-0000-0000-00006B030000}"/>
    <cellStyle name="Normal 32 2" xfId="73" xr:uid="{00000000-0005-0000-0000-00006C030000}"/>
    <cellStyle name="Normal 33" xfId="141" xr:uid="{00000000-0005-0000-0000-00006D030000}"/>
    <cellStyle name="Normal 33 2" xfId="200" xr:uid="{00000000-0005-0000-0000-00006E030000}"/>
    <cellStyle name="Normal 34" xfId="133" xr:uid="{00000000-0005-0000-0000-00006F030000}"/>
    <cellStyle name="Normal 34 2" xfId="180" xr:uid="{00000000-0005-0000-0000-000070030000}"/>
    <cellStyle name="Normal 35" xfId="143" xr:uid="{00000000-0005-0000-0000-000071030000}"/>
    <cellStyle name="Normal 35 2" xfId="174" xr:uid="{00000000-0005-0000-0000-000072030000}"/>
    <cellStyle name="Normal 36" xfId="150" xr:uid="{00000000-0005-0000-0000-000073030000}"/>
    <cellStyle name="Normal 36 2" xfId="198" xr:uid="{00000000-0005-0000-0000-000074030000}"/>
    <cellStyle name="Normal 37" xfId="158" xr:uid="{00000000-0005-0000-0000-000075030000}"/>
    <cellStyle name="Normal 37 2" xfId="217" xr:uid="{00000000-0005-0000-0000-000076030000}"/>
    <cellStyle name="Normal 38" xfId="153" xr:uid="{00000000-0005-0000-0000-000077030000}"/>
    <cellStyle name="Normal 38 2" xfId="243" xr:uid="{00000000-0005-0000-0000-000078030000}"/>
    <cellStyle name="Normal 39" xfId="161" xr:uid="{00000000-0005-0000-0000-000079030000}"/>
    <cellStyle name="Normal 39 2" xfId="189" xr:uid="{00000000-0005-0000-0000-00007A030000}"/>
    <cellStyle name="Normal 4" xfId="84" xr:uid="{00000000-0005-0000-0000-00007B030000}"/>
    <cellStyle name="Normal 4 2" xfId="262" xr:uid="{00000000-0005-0000-0000-00007C030000}"/>
    <cellStyle name="Normal 4 2 2" xfId="373" xr:uid="{00000000-0005-0000-0000-00007D030000}"/>
    <cellStyle name="Normal 4 2 3" xfId="576" xr:uid="{00000000-0005-0000-0000-00007E030000}"/>
    <cellStyle name="Normal 4 3" xfId="372" xr:uid="{00000000-0005-0000-0000-00007F030000}"/>
    <cellStyle name="Normal 4 4" xfId="433" xr:uid="{00000000-0005-0000-0000-000080030000}"/>
    <cellStyle name="Normal 40" xfId="151" xr:uid="{00000000-0005-0000-0000-000081030000}"/>
    <cellStyle name="Normal 40 2" xfId="179" xr:uid="{00000000-0005-0000-0000-000082030000}"/>
    <cellStyle name="Normal 41" xfId="165" xr:uid="{00000000-0005-0000-0000-000083030000}"/>
    <cellStyle name="Normal 41 2" xfId="222" xr:uid="{00000000-0005-0000-0000-000084030000}"/>
    <cellStyle name="Normal 42" xfId="169" xr:uid="{00000000-0005-0000-0000-000085030000}"/>
    <cellStyle name="Normal 42 2" xfId="272" xr:uid="{00000000-0005-0000-0000-000086030000}"/>
    <cellStyle name="Normal 43" xfId="157" xr:uid="{00000000-0005-0000-0000-000087030000}"/>
    <cellStyle name="Normal 43 2" xfId="183" xr:uid="{00000000-0005-0000-0000-000088030000}"/>
    <cellStyle name="Normal 44" xfId="154" xr:uid="{00000000-0005-0000-0000-000089030000}"/>
    <cellStyle name="Normal 44 2" xfId="185" xr:uid="{00000000-0005-0000-0000-00008A030000}"/>
    <cellStyle name="Normal 45" xfId="155" xr:uid="{00000000-0005-0000-0000-00008B030000}"/>
    <cellStyle name="Normal 45 2" xfId="259" xr:uid="{00000000-0005-0000-0000-00008C030000}"/>
    <cellStyle name="Normal 46" xfId="152" xr:uid="{00000000-0005-0000-0000-00008D030000}"/>
    <cellStyle name="Normal 46 2" xfId="236" xr:uid="{00000000-0005-0000-0000-00008E030000}"/>
    <cellStyle name="Normal 47" xfId="156" xr:uid="{00000000-0005-0000-0000-00008F030000}"/>
    <cellStyle name="Normal 47 2" xfId="232" xr:uid="{00000000-0005-0000-0000-000090030000}"/>
    <cellStyle name="Normal 48" xfId="60" xr:uid="{00000000-0005-0000-0000-000091030000}"/>
    <cellStyle name="Normal 49" xfId="71" xr:uid="{00000000-0005-0000-0000-000092030000}"/>
    <cellStyle name="Normal 5" xfId="93" xr:uid="{00000000-0005-0000-0000-000093030000}"/>
    <cellStyle name="Normal 5 2" xfId="186" xr:uid="{00000000-0005-0000-0000-000094030000}"/>
    <cellStyle name="Normal 5 2 2" xfId="541" xr:uid="{00000000-0005-0000-0000-000095030000}"/>
    <cellStyle name="Normal 5 2 3" xfId="436" xr:uid="{00000000-0005-0000-0000-000096030000}"/>
    <cellStyle name="Normal 5 3" xfId="374" xr:uid="{00000000-0005-0000-0000-000097030000}"/>
    <cellStyle name="Normal 50" xfId="79" xr:uid="{00000000-0005-0000-0000-000098030000}"/>
    <cellStyle name="Normal 51" xfId="211" xr:uid="{00000000-0005-0000-0000-000099030000}"/>
    <cellStyle name="Normal 52" xfId="219" xr:uid="{00000000-0005-0000-0000-00009A030000}"/>
    <cellStyle name="Normal 53" xfId="175" xr:uid="{00000000-0005-0000-0000-00009B030000}"/>
    <cellStyle name="Normal 54" xfId="191" xr:uid="{00000000-0005-0000-0000-00009C030000}"/>
    <cellStyle name="Normal 55" xfId="214" xr:uid="{00000000-0005-0000-0000-00009D030000}"/>
    <cellStyle name="Normal 56" xfId="170" xr:uid="{00000000-0005-0000-0000-00009E030000}"/>
    <cellStyle name="Normal 57" xfId="226" xr:uid="{00000000-0005-0000-0000-00009F030000}"/>
    <cellStyle name="Normal 58" xfId="76" xr:uid="{00000000-0005-0000-0000-0000A0030000}"/>
    <cellStyle name="Normal 59" xfId="207" xr:uid="{00000000-0005-0000-0000-0000A1030000}"/>
    <cellStyle name="Normal 6" xfId="19" xr:uid="{00000000-0005-0000-0000-0000A2030000}"/>
    <cellStyle name="Normal 6 2" xfId="70" xr:uid="{00000000-0005-0000-0000-0000A3030000}"/>
    <cellStyle name="Normal 60" xfId="228" xr:uid="{00000000-0005-0000-0000-0000A4030000}"/>
    <cellStyle name="Normal 61" xfId="195" xr:uid="{00000000-0005-0000-0000-0000A5030000}"/>
    <cellStyle name="Normal 62" xfId="182" xr:uid="{00000000-0005-0000-0000-0000A6030000}"/>
    <cellStyle name="Normal 63" xfId="81" xr:uid="{00000000-0005-0000-0000-0000A7030000}"/>
    <cellStyle name="Normal 64" xfId="172" xr:uid="{00000000-0005-0000-0000-0000A8030000}"/>
    <cellStyle name="Normal 65" xfId="199" xr:uid="{00000000-0005-0000-0000-0000A9030000}"/>
    <cellStyle name="Normal 66" xfId="206" xr:uid="{00000000-0005-0000-0000-0000AA030000}"/>
    <cellStyle name="Normal 67" xfId="229" xr:uid="{00000000-0005-0000-0000-0000AB030000}"/>
    <cellStyle name="Normal 68" xfId="256" xr:uid="{00000000-0005-0000-0000-0000AC030000}"/>
    <cellStyle name="Normal 69" xfId="266" xr:uid="{00000000-0005-0000-0000-0000AD030000}"/>
    <cellStyle name="Normal 7" xfId="18" xr:uid="{00000000-0005-0000-0000-0000AE030000}"/>
    <cellStyle name="Normal 7 2" xfId="225" xr:uid="{00000000-0005-0000-0000-0000AF030000}"/>
    <cellStyle name="Normal 7 2 2" xfId="559" xr:uid="{00000000-0005-0000-0000-0000B0030000}"/>
    <cellStyle name="Normal 7 2 3" xfId="409" xr:uid="{00000000-0005-0000-0000-0000B1030000}"/>
    <cellStyle name="Normal 7 3" xfId="375" xr:uid="{00000000-0005-0000-0000-0000B2030000}"/>
    <cellStyle name="Normal 7 3 2" xfId="603" xr:uid="{00000000-0005-0000-0000-0000B3030000}"/>
    <cellStyle name="Normal 7 3 3" xfId="439" xr:uid="{00000000-0005-0000-0000-0000B4030000}"/>
    <cellStyle name="Normal 70" xfId="267" xr:uid="{00000000-0005-0000-0000-0000B5030000}"/>
    <cellStyle name="Normal 71" xfId="245" xr:uid="{00000000-0005-0000-0000-0000B6030000}"/>
    <cellStyle name="Normal 72" xfId="202" xr:uid="{00000000-0005-0000-0000-0000B7030000}"/>
    <cellStyle name="Normal 73" xfId="278" xr:uid="{00000000-0005-0000-0000-0000B8030000}"/>
    <cellStyle name="Normal 74" xfId="271" xr:uid="{00000000-0005-0000-0000-0000B9030000}"/>
    <cellStyle name="Normal 75" xfId="280" xr:uid="{00000000-0005-0000-0000-0000BA030000}"/>
    <cellStyle name="Normal 76" xfId="66" xr:uid="{00000000-0005-0000-0000-0000BB030000}"/>
    <cellStyle name="Normal 77" xfId="275" xr:uid="{00000000-0005-0000-0000-0000BC030000}"/>
    <cellStyle name="Normal 78" xfId="276" xr:uid="{00000000-0005-0000-0000-0000BD030000}"/>
    <cellStyle name="Normal 79" xfId="273" xr:uid="{00000000-0005-0000-0000-0000BE030000}"/>
    <cellStyle name="Normal 8" xfId="85" xr:uid="{00000000-0005-0000-0000-0000BF030000}"/>
    <cellStyle name="Normal 8 2" xfId="83" xr:uid="{00000000-0005-0000-0000-0000C0030000}"/>
    <cellStyle name="Normal 8 2 2" xfId="498" xr:uid="{00000000-0005-0000-0000-0000C1030000}"/>
    <cellStyle name="Normal 8 2 3" xfId="410" xr:uid="{00000000-0005-0000-0000-0000C2030000}"/>
    <cellStyle name="Normal 8 3" xfId="376" xr:uid="{00000000-0005-0000-0000-0000C3030000}"/>
    <cellStyle name="Normal 8 3 2" xfId="604" xr:uid="{00000000-0005-0000-0000-0000C4030000}"/>
    <cellStyle name="Normal 8 3 3" xfId="434" xr:uid="{00000000-0005-0000-0000-0000C5030000}"/>
    <cellStyle name="Normal 80" xfId="279" xr:uid="{00000000-0005-0000-0000-0000C6030000}"/>
    <cellStyle name="Normal 81" xfId="177" xr:uid="{00000000-0005-0000-0000-0000C7030000}"/>
    <cellStyle name="Normal 82" xfId="274" xr:uid="{00000000-0005-0000-0000-0000C8030000}"/>
    <cellStyle name="Normal 83" xfId="255" xr:uid="{00000000-0005-0000-0000-0000C9030000}"/>
    <cellStyle name="Normal 84" xfId="281" xr:uid="{00000000-0005-0000-0000-0000CA030000}"/>
    <cellStyle name="Normal 85" xfId="59" xr:uid="{00000000-0005-0000-0000-0000CB030000}"/>
    <cellStyle name="Normal 86" xfId="283" xr:uid="{00000000-0005-0000-0000-0000CC030000}"/>
    <cellStyle name="Normal 87" xfId="391" xr:uid="{00000000-0005-0000-0000-0000CD030000}"/>
    <cellStyle name="Normal 88" xfId="389" xr:uid="{00000000-0005-0000-0000-0000CE030000}"/>
    <cellStyle name="Normal 89" xfId="463" xr:uid="{00000000-0005-0000-0000-0000CF030000}"/>
    <cellStyle name="Normal 9" xfId="99" xr:uid="{00000000-0005-0000-0000-0000D0030000}"/>
    <cellStyle name="Normal 9 2" xfId="62" xr:uid="{00000000-0005-0000-0000-0000D1030000}"/>
    <cellStyle name="Normal 9 2 2" xfId="488" xr:uid="{00000000-0005-0000-0000-0000D2030000}"/>
    <cellStyle name="Normal 9 2 3" xfId="441" xr:uid="{00000000-0005-0000-0000-0000D3030000}"/>
    <cellStyle name="Normal 9 3" xfId="284" xr:uid="{00000000-0005-0000-0000-0000D4030000}"/>
    <cellStyle name="Normal 90" xfId="481" xr:uid="{00000000-0005-0000-0000-0000D5030000}"/>
    <cellStyle name="Normal 91" xfId="670" xr:uid="{00000000-0005-0000-0000-0000D6030000}"/>
    <cellStyle name="Normal 92" xfId="645" xr:uid="{00000000-0005-0000-0000-0000D7030000}"/>
    <cellStyle name="Normal 93" xfId="658" xr:uid="{00000000-0005-0000-0000-0000D8030000}"/>
    <cellStyle name="Normal 94" xfId="601" xr:uid="{00000000-0005-0000-0000-0000D9030000}"/>
    <cellStyle name="Normal 95" xfId="668" xr:uid="{00000000-0005-0000-0000-0000DA030000}"/>
    <cellStyle name="Normal 96" xfId="638" xr:uid="{00000000-0005-0000-0000-0000DB030000}"/>
    <cellStyle name="Normal 97" xfId="639" xr:uid="{00000000-0005-0000-0000-0000DC030000}"/>
    <cellStyle name="Normal 98" xfId="661" xr:uid="{00000000-0005-0000-0000-0000DD030000}"/>
    <cellStyle name="Normal 99" xfId="622" xr:uid="{00000000-0005-0000-0000-0000DE030000}"/>
    <cellStyle name="Notas" xfId="32" builtinId="10" customBuiltin="1"/>
    <cellStyle name="Notas 2" xfId="203" xr:uid="{00000000-0005-0000-0000-0000E0030000}"/>
    <cellStyle name="Notas 2 2" xfId="377" xr:uid="{00000000-0005-0000-0000-0000E1030000}"/>
    <cellStyle name="Notas 2 3" xfId="548" xr:uid="{00000000-0005-0000-0000-0000E2030000}"/>
    <cellStyle name="Notas 3" xfId="378" xr:uid="{00000000-0005-0000-0000-0000E3030000}"/>
    <cellStyle name="Notas 3 2" xfId="411" xr:uid="{00000000-0005-0000-0000-0000E4030000}"/>
    <cellStyle name="Notas 4" xfId="718" xr:uid="{00000000-0005-0000-0000-0000E5030000}"/>
    <cellStyle name="Porcentaje" xfId="282" builtinId="5"/>
    <cellStyle name="Porcentaje 2" xfId="739" xr:uid="{00000000-0005-0000-0000-0000E7030000}"/>
    <cellStyle name="Porcentaje 2 2" xfId="96" xr:uid="{00000000-0005-0000-0000-0000E8030000}"/>
    <cellStyle name="Porcentaje 2 2 2" xfId="98" xr:uid="{00000000-0005-0000-0000-0000E9030000}"/>
    <cellStyle name="Porcentaje 2 3" xfId="129" xr:uid="{00000000-0005-0000-0000-0000EA030000}"/>
    <cellStyle name="Salida" xfId="27" builtinId="21" customBuiltin="1"/>
    <cellStyle name="Salida 2" xfId="205" xr:uid="{00000000-0005-0000-0000-0000EC030000}"/>
    <cellStyle name="Salida 2 2" xfId="379" xr:uid="{00000000-0005-0000-0000-0000ED030000}"/>
    <cellStyle name="Salida 2 3" xfId="549" xr:uid="{00000000-0005-0000-0000-0000EE030000}"/>
    <cellStyle name="TableStyleLight1" xfId="380" xr:uid="{00000000-0005-0000-0000-0000EF030000}"/>
    <cellStyle name="Texto de advertencia" xfId="31" builtinId="11" customBuiltin="1"/>
    <cellStyle name="Texto de advertencia 2" xfId="249" xr:uid="{00000000-0005-0000-0000-0000F1030000}"/>
    <cellStyle name="Texto de advertencia 2 2" xfId="381" xr:uid="{00000000-0005-0000-0000-0000F2030000}"/>
    <cellStyle name="Texto de advertencia 2 3" xfId="568" xr:uid="{00000000-0005-0000-0000-0000F3030000}"/>
    <cellStyle name="Texto explicativo" xfId="33" builtinId="53" customBuiltin="1"/>
    <cellStyle name="Texto explicativo 2" xfId="252" xr:uid="{00000000-0005-0000-0000-0000F5030000}"/>
    <cellStyle name="Texto explicativo 2 2" xfId="382" xr:uid="{00000000-0005-0000-0000-0000F6030000}"/>
    <cellStyle name="Texto explicativo 2 3" xfId="571" xr:uid="{00000000-0005-0000-0000-0000F7030000}"/>
    <cellStyle name="Título" xfId="394" builtinId="15" customBuiltin="1"/>
    <cellStyle name="Título 1 2" xfId="269" xr:uid="{00000000-0005-0000-0000-0000F9030000}"/>
    <cellStyle name="Título 1 2 2" xfId="383" xr:uid="{00000000-0005-0000-0000-0000FA030000}"/>
    <cellStyle name="Título 1 2 3" xfId="579" xr:uid="{00000000-0005-0000-0000-0000FB030000}"/>
    <cellStyle name="Título 2" xfId="21" builtinId="17" customBuiltin="1"/>
    <cellStyle name="Título 2 2" xfId="65" xr:uid="{00000000-0005-0000-0000-0000FD030000}"/>
    <cellStyle name="Título 2 2 2" xfId="384" xr:uid="{00000000-0005-0000-0000-0000FE030000}"/>
    <cellStyle name="Título 2 2 3" xfId="490" xr:uid="{00000000-0005-0000-0000-0000FF030000}"/>
    <cellStyle name="Título 3" xfId="22" builtinId="18" customBuiltin="1"/>
    <cellStyle name="Título 3 2" xfId="190" xr:uid="{00000000-0005-0000-0000-000001040000}"/>
    <cellStyle name="Título 3 2 2" xfId="385" xr:uid="{00000000-0005-0000-0000-000002040000}"/>
    <cellStyle name="Título 3 2 3" xfId="543" xr:uid="{00000000-0005-0000-0000-000003040000}"/>
    <cellStyle name="Título 4" xfId="64" xr:uid="{00000000-0005-0000-0000-000004040000}"/>
    <cellStyle name="Título 4 2" xfId="386" xr:uid="{00000000-0005-0000-0000-000005040000}"/>
    <cellStyle name="Título 4 3" xfId="489" xr:uid="{00000000-0005-0000-0000-000006040000}"/>
    <cellStyle name="Título 5" xfId="231" xr:uid="{00000000-0005-0000-0000-000007040000}"/>
    <cellStyle name="Total" xfId="34" builtinId="25" customBuiltin="1"/>
    <cellStyle name="Total 2" xfId="220" xr:uid="{00000000-0005-0000-0000-000009040000}"/>
    <cellStyle name="Total 2 2" xfId="387" xr:uid="{00000000-0005-0000-0000-00000A040000}"/>
    <cellStyle name="Total 2 3" xfId="555" xr:uid="{00000000-0005-0000-0000-00000B040000}"/>
  </cellStyles>
  <dxfs count="157">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24-5CC6-11CF-8D67-00AA00BDCE1D}" ax:persistence="persistStream" r:id="rId1"/>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ESTADO DE EJECUCIÓN POAI</a:t>
            </a:r>
          </a:p>
          <a:p>
            <a:pPr>
              <a:defRPr/>
            </a:pPr>
            <a:r>
              <a:rPr lang="es-CO"/>
              <a:t>SECTOR CENTRAL</a:t>
            </a:r>
          </a:p>
          <a:p>
            <a:pPr>
              <a:defRPr/>
            </a:pPr>
            <a:r>
              <a:rPr lang="es-CO" baseline="0"/>
              <a:t>DICIEMBRE 31 DE 2021</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'EJE ESTRATEGICO'!$C$3</c:f>
              <c:strCache>
                <c:ptCount val="1"/>
                <c:pt idx="0">
                  <c:v>Inclusión social y equidad</c:v>
                </c:pt>
              </c:strCache>
            </c:strRef>
          </c:tx>
          <c:spPr>
            <a:solidFill>
              <a:schemeClr val="accent6">
                <a:lumMod val="60000"/>
                <a:lumOff val="40000"/>
              </a:schemeClr>
            </a:solidFill>
            <a:ln>
              <a:noFill/>
            </a:ln>
            <a:effectLst/>
            <a:sp3d/>
          </c:spPr>
          <c:invertIfNegative val="0"/>
          <c:cat>
            <c:strRef>
              <c:f>'EJE ESTRATEGICO'!$D$2:$H$2</c:f>
              <c:strCache>
                <c:ptCount val="5"/>
                <c:pt idx="0">
                  <c:v> PRESUPUESTADO </c:v>
                </c:pt>
                <c:pt idx="1">
                  <c:v> COMPROMISOS </c:v>
                </c:pt>
                <c:pt idx="2">
                  <c:v> % COMPR </c:v>
                </c:pt>
                <c:pt idx="3">
                  <c:v> OBLIGACIONES </c:v>
                </c:pt>
                <c:pt idx="4">
                  <c:v> % OBLIG </c:v>
                </c:pt>
              </c:strCache>
            </c:strRef>
          </c:cat>
          <c:val>
            <c:numRef>
              <c:f>'EJE ESTRATEGICO'!$D$3:$H$3</c:f>
              <c:numCache>
                <c:formatCode>_(* #,##0.00_);_(* \(#,##0.00\);_(* "-"??_);_(@_)</c:formatCode>
                <c:ptCount val="5"/>
                <c:pt idx="0">
                  <c:v>289944507382.05005</c:v>
                </c:pt>
                <c:pt idx="1">
                  <c:v>270593268666.09003</c:v>
                </c:pt>
                <c:pt idx="2" formatCode="0%">
                  <c:v>0.93325881945243561</c:v>
                </c:pt>
                <c:pt idx="3">
                  <c:v>270593268666.09003</c:v>
                </c:pt>
                <c:pt idx="4" formatCode="0.00%">
                  <c:v>1</c:v>
                </c:pt>
              </c:numCache>
            </c:numRef>
          </c:val>
          <c:extLst>
            <c:ext xmlns:c16="http://schemas.microsoft.com/office/drawing/2014/chart" uri="{C3380CC4-5D6E-409C-BE32-E72D297353CC}">
              <c16:uniqueId val="{00000000-193A-4AAF-822B-6C775BAB9851}"/>
            </c:ext>
          </c:extLst>
        </c:ser>
        <c:ser>
          <c:idx val="1"/>
          <c:order val="1"/>
          <c:tx>
            <c:strRef>
              <c:f>'EJE ESTRATEGICO'!$C$4</c:f>
              <c:strCache>
                <c:ptCount val="1"/>
                <c:pt idx="0">
                  <c:v>Productividad y competitividad</c:v>
                </c:pt>
              </c:strCache>
            </c:strRef>
          </c:tx>
          <c:spPr>
            <a:solidFill>
              <a:srgbClr val="C00000"/>
            </a:solidFill>
            <a:ln>
              <a:noFill/>
            </a:ln>
            <a:effectLst/>
            <a:sp3d/>
          </c:spPr>
          <c:invertIfNegative val="0"/>
          <c:cat>
            <c:strRef>
              <c:f>'EJE ESTRATEGICO'!$D$2:$H$2</c:f>
              <c:strCache>
                <c:ptCount val="5"/>
                <c:pt idx="0">
                  <c:v> PRESUPUESTADO </c:v>
                </c:pt>
                <c:pt idx="1">
                  <c:v> COMPROMISOS </c:v>
                </c:pt>
                <c:pt idx="2">
                  <c:v> % COMPR </c:v>
                </c:pt>
                <c:pt idx="3">
                  <c:v> OBLIGACIONES </c:v>
                </c:pt>
                <c:pt idx="4">
                  <c:v> % OBLIG </c:v>
                </c:pt>
              </c:strCache>
            </c:strRef>
          </c:cat>
          <c:val>
            <c:numRef>
              <c:f>'EJE ESTRATEGICO'!$D$4:$H$4</c:f>
              <c:numCache>
                <c:formatCode>_(* #,##0.00_);_(* \(#,##0.00\);_(* "-"??_);_(@_)</c:formatCode>
                <c:ptCount val="5"/>
                <c:pt idx="0">
                  <c:v>5899994710.2399998</c:v>
                </c:pt>
                <c:pt idx="1">
                  <c:v>4757390366.5100002</c:v>
                </c:pt>
                <c:pt idx="2" formatCode="0%">
                  <c:v>0.8063380731940486</c:v>
                </c:pt>
                <c:pt idx="3">
                  <c:v>4757390366.5100002</c:v>
                </c:pt>
                <c:pt idx="4" formatCode="0.00%">
                  <c:v>1</c:v>
                </c:pt>
              </c:numCache>
            </c:numRef>
          </c:val>
          <c:extLst>
            <c:ext xmlns:c16="http://schemas.microsoft.com/office/drawing/2014/chart" uri="{C3380CC4-5D6E-409C-BE32-E72D297353CC}">
              <c16:uniqueId val="{00000001-193A-4AAF-822B-6C775BAB9851}"/>
            </c:ext>
          </c:extLst>
        </c:ser>
        <c:ser>
          <c:idx val="2"/>
          <c:order val="2"/>
          <c:tx>
            <c:strRef>
              <c:f>'EJE ESTRATEGICO'!$C$5</c:f>
              <c:strCache>
                <c:ptCount val="1"/>
                <c:pt idx="0">
                  <c:v>Territorio, ambiente y desarrollo sostenible</c:v>
                </c:pt>
              </c:strCache>
            </c:strRef>
          </c:tx>
          <c:spPr>
            <a:solidFill>
              <a:schemeClr val="accent3"/>
            </a:solidFill>
            <a:ln>
              <a:noFill/>
            </a:ln>
            <a:effectLst/>
            <a:sp3d/>
          </c:spPr>
          <c:invertIfNegative val="0"/>
          <c:cat>
            <c:strRef>
              <c:f>'EJE ESTRATEGICO'!$D$2:$H$2</c:f>
              <c:strCache>
                <c:ptCount val="5"/>
                <c:pt idx="0">
                  <c:v> PRESUPUESTADO </c:v>
                </c:pt>
                <c:pt idx="1">
                  <c:v> COMPROMISOS </c:v>
                </c:pt>
                <c:pt idx="2">
                  <c:v> % COMPR </c:v>
                </c:pt>
                <c:pt idx="3">
                  <c:v> OBLIGACIONES </c:v>
                </c:pt>
                <c:pt idx="4">
                  <c:v> % OBLIG </c:v>
                </c:pt>
              </c:strCache>
            </c:strRef>
          </c:cat>
          <c:val>
            <c:numRef>
              <c:f>'EJE ESTRATEGICO'!$D$5:$H$5</c:f>
              <c:numCache>
                <c:formatCode>_(* #,##0.00_);_(* \(#,##0.00\);_(* "-"??_);_(@_)</c:formatCode>
                <c:ptCount val="5"/>
                <c:pt idx="0">
                  <c:v>16883128288.780001</c:v>
                </c:pt>
                <c:pt idx="1">
                  <c:v>4858397431.4200001</c:v>
                </c:pt>
                <c:pt idx="2" formatCode="0%">
                  <c:v>0.28776642268653135</c:v>
                </c:pt>
                <c:pt idx="3">
                  <c:v>4858397431.4200001</c:v>
                </c:pt>
                <c:pt idx="4" formatCode="0.00%">
                  <c:v>1</c:v>
                </c:pt>
              </c:numCache>
            </c:numRef>
          </c:val>
          <c:extLst>
            <c:ext xmlns:c16="http://schemas.microsoft.com/office/drawing/2014/chart" uri="{C3380CC4-5D6E-409C-BE32-E72D297353CC}">
              <c16:uniqueId val="{00000002-193A-4AAF-822B-6C775BAB9851}"/>
            </c:ext>
          </c:extLst>
        </c:ser>
        <c:ser>
          <c:idx val="3"/>
          <c:order val="3"/>
          <c:tx>
            <c:strRef>
              <c:f>'EJE ESTRATEGICO'!$C$6</c:f>
              <c:strCache>
                <c:ptCount val="1"/>
                <c:pt idx="0">
                  <c:v>Liderazgo, gobernabilidad y transparencia</c:v>
                </c:pt>
              </c:strCache>
            </c:strRef>
          </c:tx>
          <c:spPr>
            <a:solidFill>
              <a:schemeClr val="accent4"/>
            </a:solidFill>
            <a:ln>
              <a:noFill/>
            </a:ln>
            <a:effectLst/>
            <a:sp3d/>
          </c:spPr>
          <c:invertIfNegative val="0"/>
          <c:cat>
            <c:strRef>
              <c:f>'EJE ESTRATEGICO'!$D$2:$H$2</c:f>
              <c:strCache>
                <c:ptCount val="5"/>
                <c:pt idx="0">
                  <c:v> PRESUPUESTADO </c:v>
                </c:pt>
                <c:pt idx="1">
                  <c:v> COMPROMISOS </c:v>
                </c:pt>
                <c:pt idx="2">
                  <c:v> % COMPR </c:v>
                </c:pt>
                <c:pt idx="3">
                  <c:v> OBLIGACIONES </c:v>
                </c:pt>
                <c:pt idx="4">
                  <c:v> % OBLIG </c:v>
                </c:pt>
              </c:strCache>
            </c:strRef>
          </c:cat>
          <c:val>
            <c:numRef>
              <c:f>'EJE ESTRATEGICO'!$D$6:$H$6</c:f>
              <c:numCache>
                <c:formatCode>_(* #,##0.00_);_(* \(#,##0.00\);_(* "-"??_);_(@_)</c:formatCode>
                <c:ptCount val="5"/>
                <c:pt idx="0">
                  <c:v>6762833750.8400002</c:v>
                </c:pt>
                <c:pt idx="1">
                  <c:v>5856182897.5600004</c:v>
                </c:pt>
                <c:pt idx="2" formatCode="0%">
                  <c:v>0.86593624999766017</c:v>
                </c:pt>
                <c:pt idx="3">
                  <c:v>5856182897.5600004</c:v>
                </c:pt>
                <c:pt idx="4" formatCode="0.00%">
                  <c:v>1</c:v>
                </c:pt>
              </c:numCache>
            </c:numRef>
          </c:val>
          <c:extLst>
            <c:ext xmlns:c16="http://schemas.microsoft.com/office/drawing/2014/chart" uri="{C3380CC4-5D6E-409C-BE32-E72D297353CC}">
              <c16:uniqueId val="{00000003-193A-4AAF-822B-6C775BAB9851}"/>
            </c:ext>
          </c:extLst>
        </c:ser>
        <c:ser>
          <c:idx val="4"/>
          <c:order val="4"/>
          <c:tx>
            <c:strRef>
              <c:f>'EJE ESTRATEGICO'!$C$7</c:f>
              <c:strCache>
                <c:ptCount val="1"/>
                <c:pt idx="0">
                  <c:v>TOTAL</c:v>
                </c:pt>
              </c:strCache>
            </c:strRef>
          </c:tx>
          <c:spPr>
            <a:solidFill>
              <a:schemeClr val="tx2">
                <a:lumMod val="60000"/>
                <a:lumOff val="40000"/>
              </a:schemeClr>
            </a:solidFill>
            <a:ln>
              <a:noFill/>
            </a:ln>
            <a:effectLst/>
            <a:sp3d/>
          </c:spPr>
          <c:invertIfNegative val="0"/>
          <c:cat>
            <c:strRef>
              <c:f>'EJE ESTRATEGICO'!$D$2:$H$2</c:f>
              <c:strCache>
                <c:ptCount val="5"/>
                <c:pt idx="0">
                  <c:v> PRESUPUESTADO </c:v>
                </c:pt>
                <c:pt idx="1">
                  <c:v> COMPROMISOS </c:v>
                </c:pt>
                <c:pt idx="2">
                  <c:v> % COMPR </c:v>
                </c:pt>
                <c:pt idx="3">
                  <c:v> OBLIGACIONES </c:v>
                </c:pt>
                <c:pt idx="4">
                  <c:v> % OBLIG </c:v>
                </c:pt>
              </c:strCache>
            </c:strRef>
          </c:cat>
          <c:val>
            <c:numRef>
              <c:f>'EJE ESTRATEGICO'!$D$7:$H$7</c:f>
              <c:numCache>
                <c:formatCode>_(* #,##0.00_);_(* \(#,##0.00\);_(* "-"??_);_(@_)</c:formatCode>
                <c:ptCount val="5"/>
                <c:pt idx="0">
                  <c:v>319490464131.9101</c:v>
                </c:pt>
                <c:pt idx="1">
                  <c:v>286065239361.58002</c:v>
                </c:pt>
                <c:pt idx="2" formatCode="0%">
                  <c:v>0.89537958554991615</c:v>
                </c:pt>
                <c:pt idx="3">
                  <c:v>286065239361.58002</c:v>
                </c:pt>
                <c:pt idx="4" formatCode="0.00%">
                  <c:v>1</c:v>
                </c:pt>
              </c:numCache>
            </c:numRef>
          </c:val>
          <c:extLst>
            <c:ext xmlns:c16="http://schemas.microsoft.com/office/drawing/2014/chart" uri="{C3380CC4-5D6E-409C-BE32-E72D297353CC}">
              <c16:uniqueId val="{00000004-193A-4AAF-822B-6C775BAB9851}"/>
            </c:ext>
          </c:extLst>
        </c:ser>
        <c:dLbls>
          <c:showLegendKey val="0"/>
          <c:showVal val="0"/>
          <c:showCatName val="0"/>
          <c:showSerName val="0"/>
          <c:showPercent val="0"/>
          <c:showBubbleSize val="0"/>
        </c:dLbls>
        <c:gapWidth val="150"/>
        <c:shape val="box"/>
        <c:axId val="180715424"/>
        <c:axId val="180715984"/>
        <c:axId val="0"/>
      </c:bar3DChart>
      <c:catAx>
        <c:axId val="18071542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0715984"/>
        <c:crosses val="autoZero"/>
        <c:auto val="1"/>
        <c:lblAlgn val="ctr"/>
        <c:lblOffset val="100"/>
        <c:noMultiLvlLbl val="0"/>
      </c:catAx>
      <c:valAx>
        <c:axId val="180715984"/>
        <c:scaling>
          <c:orientation val="minMax"/>
        </c:scaling>
        <c:delete val="0"/>
        <c:axPos val="l"/>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07154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ESTADO DE EJECUCIÓN POAI</a:t>
            </a:r>
          </a:p>
          <a:p>
            <a:pPr>
              <a:defRPr/>
            </a:pPr>
            <a:r>
              <a:rPr lang="es-CO"/>
              <a:t>DESCENTRALIZADOS</a:t>
            </a:r>
          </a:p>
          <a:p>
            <a:pPr>
              <a:defRPr/>
            </a:pPr>
            <a:r>
              <a:rPr lang="es-CO"/>
              <a:t>DICIEMBRE 31 </a:t>
            </a:r>
            <a:r>
              <a:rPr lang="es-CO" baseline="0"/>
              <a:t>DE 2021</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'EJE ESTRATEGICO'!$C$16</c:f>
              <c:strCache>
                <c:ptCount val="1"/>
                <c:pt idx="0">
                  <c:v>Liderazgo, gobernabilidad y transparencia</c:v>
                </c:pt>
              </c:strCache>
            </c:strRef>
          </c:tx>
          <c:spPr>
            <a:solidFill>
              <a:schemeClr val="accent6">
                <a:lumMod val="60000"/>
                <a:lumOff val="40000"/>
              </a:schemeClr>
            </a:solidFill>
            <a:ln>
              <a:noFill/>
            </a:ln>
            <a:effectLst/>
            <a:sp3d/>
          </c:spPr>
          <c:invertIfNegative val="0"/>
          <c:cat>
            <c:strRef>
              <c:f>'EJE ESTRATEGICO'!$D$15:$H$15</c:f>
              <c:strCache>
                <c:ptCount val="5"/>
                <c:pt idx="0">
                  <c:v> PRESUPUESTADO </c:v>
                </c:pt>
                <c:pt idx="1">
                  <c:v> COMPROMISOS </c:v>
                </c:pt>
                <c:pt idx="2">
                  <c:v> % COMPR </c:v>
                </c:pt>
                <c:pt idx="3">
                  <c:v> OBLIGACIONES </c:v>
                </c:pt>
                <c:pt idx="4">
                  <c:v> % OBLIG </c:v>
                </c:pt>
              </c:strCache>
            </c:strRef>
          </c:cat>
          <c:val>
            <c:numRef>
              <c:f>'EJE ESTRATEGICO'!$D$16:$H$16</c:f>
              <c:numCache>
                <c:formatCode>_(* #,##0.00_);_(* \(#,##0.00\);_(* "-"??_);_(@_)</c:formatCode>
                <c:ptCount val="5"/>
                <c:pt idx="0">
                  <c:v>8179890631.7399998</c:v>
                </c:pt>
                <c:pt idx="1">
                  <c:v>5647345281.7799997</c:v>
                </c:pt>
                <c:pt idx="2" formatCode="0%">
                  <c:v>0.69039373947946225</c:v>
                </c:pt>
                <c:pt idx="3">
                  <c:v>5626430281.7799997</c:v>
                </c:pt>
                <c:pt idx="4" formatCode="0.00%">
                  <c:v>0.99629648995122044</c:v>
                </c:pt>
              </c:numCache>
            </c:numRef>
          </c:val>
          <c:extLst>
            <c:ext xmlns:c16="http://schemas.microsoft.com/office/drawing/2014/chart" uri="{C3380CC4-5D6E-409C-BE32-E72D297353CC}">
              <c16:uniqueId val="{00000000-206B-4998-B2DA-83EF624BACE3}"/>
            </c:ext>
          </c:extLst>
        </c:ser>
        <c:ser>
          <c:idx val="1"/>
          <c:order val="1"/>
          <c:tx>
            <c:strRef>
              <c:f>'EJE ESTRATEGICO'!$C$17</c:f>
              <c:strCache>
                <c:ptCount val="1"/>
                <c:pt idx="0">
                  <c:v>Territorio, ambiente y desarrollo sostenible</c:v>
                </c:pt>
              </c:strCache>
            </c:strRef>
          </c:tx>
          <c:spPr>
            <a:solidFill>
              <a:srgbClr val="C00000"/>
            </a:solidFill>
            <a:ln>
              <a:noFill/>
            </a:ln>
            <a:effectLst/>
            <a:sp3d/>
          </c:spPr>
          <c:invertIfNegative val="0"/>
          <c:cat>
            <c:strRef>
              <c:f>'EJE ESTRATEGICO'!$D$15:$H$15</c:f>
              <c:strCache>
                <c:ptCount val="5"/>
                <c:pt idx="0">
                  <c:v> PRESUPUESTADO </c:v>
                </c:pt>
                <c:pt idx="1">
                  <c:v> COMPROMISOS </c:v>
                </c:pt>
                <c:pt idx="2">
                  <c:v> % COMPR </c:v>
                </c:pt>
                <c:pt idx="3">
                  <c:v> OBLIGACIONES </c:v>
                </c:pt>
                <c:pt idx="4">
                  <c:v> % OBLIG </c:v>
                </c:pt>
              </c:strCache>
            </c:strRef>
          </c:cat>
          <c:val>
            <c:numRef>
              <c:f>'EJE ESTRATEGICO'!$D$17:$H$17</c:f>
              <c:numCache>
                <c:formatCode>_(* #,##0.00_);_(* \(#,##0.00\);_(* "-"??_);_(@_)</c:formatCode>
                <c:ptCount val="5"/>
                <c:pt idx="0">
                  <c:v>1728023393.23</c:v>
                </c:pt>
                <c:pt idx="1">
                  <c:v>1517155332.4140139</c:v>
                </c:pt>
                <c:pt idx="2" formatCode="0%">
                  <c:v>0.87797152420382796</c:v>
                </c:pt>
                <c:pt idx="3">
                  <c:v>1350245069.4825239</c:v>
                </c:pt>
                <c:pt idx="4" formatCode="0.00%">
                  <c:v>0.88998472380154281</c:v>
                </c:pt>
              </c:numCache>
            </c:numRef>
          </c:val>
          <c:extLst>
            <c:ext xmlns:c16="http://schemas.microsoft.com/office/drawing/2014/chart" uri="{C3380CC4-5D6E-409C-BE32-E72D297353CC}">
              <c16:uniqueId val="{00000001-206B-4998-B2DA-83EF624BACE3}"/>
            </c:ext>
          </c:extLst>
        </c:ser>
        <c:ser>
          <c:idx val="2"/>
          <c:order val="2"/>
          <c:tx>
            <c:strRef>
              <c:f>'EJE ESTRATEGICO'!$C$18</c:f>
              <c:strCache>
                <c:ptCount val="1"/>
                <c:pt idx="0">
                  <c:v>TOTAL</c:v>
                </c:pt>
              </c:strCache>
            </c:strRef>
          </c:tx>
          <c:spPr>
            <a:solidFill>
              <a:schemeClr val="tx2">
                <a:lumMod val="60000"/>
                <a:lumOff val="40000"/>
              </a:schemeClr>
            </a:solidFill>
            <a:ln>
              <a:noFill/>
            </a:ln>
            <a:effectLst/>
            <a:sp3d/>
          </c:spPr>
          <c:invertIfNegative val="0"/>
          <c:cat>
            <c:strRef>
              <c:f>'EJE ESTRATEGICO'!$D$15:$H$15</c:f>
              <c:strCache>
                <c:ptCount val="5"/>
                <c:pt idx="0">
                  <c:v> PRESUPUESTADO </c:v>
                </c:pt>
                <c:pt idx="1">
                  <c:v> COMPROMISOS </c:v>
                </c:pt>
                <c:pt idx="2">
                  <c:v> % COMPR </c:v>
                </c:pt>
                <c:pt idx="3">
                  <c:v> OBLIGACIONES </c:v>
                </c:pt>
                <c:pt idx="4">
                  <c:v> % OBLIG </c:v>
                </c:pt>
              </c:strCache>
            </c:strRef>
          </c:cat>
          <c:val>
            <c:numRef>
              <c:f>'EJE ESTRATEGICO'!$D$18:$H$18</c:f>
              <c:numCache>
                <c:formatCode>_(* #,##0.00_);_(* \(#,##0.00\);_(* "-"??_);_(@_)</c:formatCode>
                <c:ptCount val="5"/>
                <c:pt idx="0">
                  <c:v>9907914024.9699993</c:v>
                </c:pt>
                <c:pt idx="1">
                  <c:v>7164500614.1940136</c:v>
                </c:pt>
                <c:pt idx="2" formatCode="0%">
                  <c:v>0.72310888004659557</c:v>
                </c:pt>
                <c:pt idx="3">
                  <c:v>6976675351.2625237</c:v>
                </c:pt>
                <c:pt idx="4" formatCode="0.00%">
                  <c:v>0.97378390022615413</c:v>
                </c:pt>
              </c:numCache>
            </c:numRef>
          </c:val>
          <c:extLst>
            <c:ext xmlns:c16="http://schemas.microsoft.com/office/drawing/2014/chart" uri="{C3380CC4-5D6E-409C-BE32-E72D297353CC}">
              <c16:uniqueId val="{00000002-206B-4998-B2DA-83EF624BACE3}"/>
            </c:ext>
          </c:extLst>
        </c:ser>
        <c:dLbls>
          <c:showLegendKey val="0"/>
          <c:showVal val="0"/>
          <c:showCatName val="0"/>
          <c:showSerName val="0"/>
          <c:showPercent val="0"/>
          <c:showBubbleSize val="0"/>
        </c:dLbls>
        <c:gapWidth val="150"/>
        <c:shape val="box"/>
        <c:axId val="180720464"/>
        <c:axId val="180721024"/>
        <c:axId val="0"/>
      </c:bar3DChart>
      <c:catAx>
        <c:axId val="1807204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0721024"/>
        <c:crosses val="autoZero"/>
        <c:auto val="1"/>
        <c:lblAlgn val="ctr"/>
        <c:lblOffset val="100"/>
        <c:noMultiLvlLbl val="0"/>
      </c:catAx>
      <c:valAx>
        <c:axId val="180721024"/>
        <c:scaling>
          <c:orientation val="minMax"/>
        </c:scaling>
        <c:delete val="0"/>
        <c:axPos val="l"/>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072046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ESTADO DE EJECUCIÓN POAI</a:t>
            </a:r>
          </a:p>
          <a:p>
            <a:pPr>
              <a:defRPr/>
            </a:pPr>
            <a:r>
              <a:rPr lang="es-CO"/>
              <a:t>DEPARTAMENTO QUINDIO</a:t>
            </a:r>
          </a:p>
          <a:p>
            <a:pPr>
              <a:defRPr/>
            </a:pPr>
            <a:r>
              <a:rPr lang="es-CO"/>
              <a:t>DICIEMBRE 31 DE 2021</a:t>
            </a:r>
          </a:p>
        </c:rich>
      </c:tx>
      <c:layout>
        <c:manualLayout>
          <c:xMode val="edge"/>
          <c:yMode val="edge"/>
          <c:x val="0.46791676913284214"/>
          <c:y val="4.270937753884689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'EJE ESTRATEGICO'!$C$32</c:f>
              <c:strCache>
                <c:ptCount val="1"/>
                <c:pt idx="0">
                  <c:v>Inclusión social y equidad</c:v>
                </c:pt>
              </c:strCache>
            </c:strRef>
          </c:tx>
          <c:spPr>
            <a:solidFill>
              <a:schemeClr val="accent6">
                <a:lumMod val="60000"/>
                <a:lumOff val="40000"/>
              </a:schemeClr>
            </a:solidFill>
            <a:ln>
              <a:noFill/>
            </a:ln>
            <a:effectLst/>
            <a:sp3d/>
          </c:spPr>
          <c:invertIfNegative val="0"/>
          <c:cat>
            <c:strRef>
              <c:f>'EJE ESTRATEGICO'!$D$31:$H$31</c:f>
              <c:strCache>
                <c:ptCount val="5"/>
                <c:pt idx="0">
                  <c:v> PRESUPUESTADO </c:v>
                </c:pt>
                <c:pt idx="1">
                  <c:v> COMPROMISOS </c:v>
                </c:pt>
                <c:pt idx="2">
                  <c:v> % COMPR </c:v>
                </c:pt>
                <c:pt idx="3">
                  <c:v> OBLIGACIONES </c:v>
                </c:pt>
                <c:pt idx="4">
                  <c:v> % OBLIG </c:v>
                </c:pt>
              </c:strCache>
            </c:strRef>
          </c:cat>
          <c:val>
            <c:numRef>
              <c:f>'EJE ESTRATEGICO'!$D$32:$H$32</c:f>
              <c:numCache>
                <c:formatCode>_(* #,##0.00_);_(* \(#,##0.00\);_(* "-"??_);_(@_)</c:formatCode>
                <c:ptCount val="5"/>
                <c:pt idx="0">
                  <c:v>298124398013.79004</c:v>
                </c:pt>
                <c:pt idx="1">
                  <c:v>276240613947.87006</c:v>
                </c:pt>
                <c:pt idx="2" formatCode="0%">
                  <c:v>0.92659512535130473</c:v>
                </c:pt>
                <c:pt idx="3">
                  <c:v>276219698947.87006</c:v>
                </c:pt>
                <c:pt idx="4" formatCode="0.00%">
                  <c:v>0.99992428702028602</c:v>
                </c:pt>
              </c:numCache>
            </c:numRef>
          </c:val>
          <c:extLst>
            <c:ext xmlns:c16="http://schemas.microsoft.com/office/drawing/2014/chart" uri="{C3380CC4-5D6E-409C-BE32-E72D297353CC}">
              <c16:uniqueId val="{00000000-7AD6-4CDD-B170-98AB75964132}"/>
            </c:ext>
          </c:extLst>
        </c:ser>
        <c:ser>
          <c:idx val="1"/>
          <c:order val="1"/>
          <c:tx>
            <c:strRef>
              <c:f>'EJE ESTRATEGICO'!$C$33</c:f>
              <c:strCache>
                <c:ptCount val="1"/>
                <c:pt idx="0">
                  <c:v>Productividad y competitividad</c:v>
                </c:pt>
              </c:strCache>
            </c:strRef>
          </c:tx>
          <c:spPr>
            <a:solidFill>
              <a:srgbClr val="C00000"/>
            </a:solidFill>
            <a:ln>
              <a:noFill/>
            </a:ln>
            <a:effectLst/>
            <a:sp3d/>
          </c:spPr>
          <c:invertIfNegative val="0"/>
          <c:cat>
            <c:strRef>
              <c:f>'EJE ESTRATEGICO'!$D$31:$H$31</c:f>
              <c:strCache>
                <c:ptCount val="5"/>
                <c:pt idx="0">
                  <c:v> PRESUPUESTADO </c:v>
                </c:pt>
                <c:pt idx="1">
                  <c:v> COMPROMISOS </c:v>
                </c:pt>
                <c:pt idx="2">
                  <c:v> % COMPR </c:v>
                </c:pt>
                <c:pt idx="3">
                  <c:v> OBLIGACIONES </c:v>
                </c:pt>
                <c:pt idx="4">
                  <c:v> % OBLIG </c:v>
                </c:pt>
              </c:strCache>
            </c:strRef>
          </c:cat>
          <c:val>
            <c:numRef>
              <c:f>'EJE ESTRATEGICO'!$D$33:$H$33</c:f>
              <c:numCache>
                <c:formatCode>_(* #,##0.00_);_(* \(#,##0.00\);_(* "-"??_);_(@_)</c:formatCode>
                <c:ptCount val="5"/>
                <c:pt idx="0">
                  <c:v>5899994710.2399998</c:v>
                </c:pt>
                <c:pt idx="1">
                  <c:v>4757390366.5100002</c:v>
                </c:pt>
                <c:pt idx="2" formatCode="0%">
                  <c:v>0.8063380731940486</c:v>
                </c:pt>
                <c:pt idx="3">
                  <c:v>4757390366.5100002</c:v>
                </c:pt>
                <c:pt idx="4" formatCode="0.00%">
                  <c:v>1</c:v>
                </c:pt>
              </c:numCache>
            </c:numRef>
          </c:val>
          <c:extLst>
            <c:ext xmlns:c16="http://schemas.microsoft.com/office/drawing/2014/chart" uri="{C3380CC4-5D6E-409C-BE32-E72D297353CC}">
              <c16:uniqueId val="{00000001-7AD6-4CDD-B170-98AB75964132}"/>
            </c:ext>
          </c:extLst>
        </c:ser>
        <c:ser>
          <c:idx val="2"/>
          <c:order val="2"/>
          <c:tx>
            <c:strRef>
              <c:f>'EJE ESTRATEGICO'!$C$34</c:f>
              <c:strCache>
                <c:ptCount val="1"/>
                <c:pt idx="0">
                  <c:v>Territorio, ambiente y desarrollo sostenible</c:v>
                </c:pt>
              </c:strCache>
            </c:strRef>
          </c:tx>
          <c:spPr>
            <a:solidFill>
              <a:schemeClr val="accent3"/>
            </a:solidFill>
            <a:ln>
              <a:noFill/>
            </a:ln>
            <a:effectLst/>
            <a:sp3d/>
          </c:spPr>
          <c:invertIfNegative val="0"/>
          <c:cat>
            <c:strRef>
              <c:f>'EJE ESTRATEGICO'!$D$31:$H$31</c:f>
              <c:strCache>
                <c:ptCount val="5"/>
                <c:pt idx="0">
                  <c:v> PRESUPUESTADO </c:v>
                </c:pt>
                <c:pt idx="1">
                  <c:v> COMPROMISOS </c:v>
                </c:pt>
                <c:pt idx="2">
                  <c:v> % COMPR </c:v>
                </c:pt>
                <c:pt idx="3">
                  <c:v> OBLIGACIONES </c:v>
                </c:pt>
                <c:pt idx="4">
                  <c:v> % OBLIG </c:v>
                </c:pt>
              </c:strCache>
            </c:strRef>
          </c:cat>
          <c:val>
            <c:numRef>
              <c:f>'EJE ESTRATEGICO'!$D$34:$H$34</c:f>
              <c:numCache>
                <c:formatCode>_(* #,##0.00_);_(* \(#,##0.00\);_(* "-"??_);_(@_)</c:formatCode>
                <c:ptCount val="5"/>
                <c:pt idx="0">
                  <c:v>18611151682.010002</c:v>
                </c:pt>
                <c:pt idx="1">
                  <c:v>6375552763.8340139</c:v>
                </c:pt>
                <c:pt idx="2" formatCode="0%">
                  <c:v>0.34256626740605101</c:v>
                </c:pt>
                <c:pt idx="3">
                  <c:v>6208642500.902524</c:v>
                </c:pt>
                <c:pt idx="4" formatCode="0.00%">
                  <c:v>0.9738202679651079</c:v>
                </c:pt>
              </c:numCache>
            </c:numRef>
          </c:val>
          <c:extLst>
            <c:ext xmlns:c16="http://schemas.microsoft.com/office/drawing/2014/chart" uri="{C3380CC4-5D6E-409C-BE32-E72D297353CC}">
              <c16:uniqueId val="{00000002-7AD6-4CDD-B170-98AB75964132}"/>
            </c:ext>
          </c:extLst>
        </c:ser>
        <c:ser>
          <c:idx val="3"/>
          <c:order val="3"/>
          <c:tx>
            <c:strRef>
              <c:f>'EJE ESTRATEGICO'!$C$35</c:f>
              <c:strCache>
                <c:ptCount val="1"/>
                <c:pt idx="0">
                  <c:v>Liderazgo, gobernabilidad y transparencia</c:v>
                </c:pt>
              </c:strCache>
            </c:strRef>
          </c:tx>
          <c:spPr>
            <a:solidFill>
              <a:schemeClr val="accent4"/>
            </a:solidFill>
            <a:ln>
              <a:noFill/>
            </a:ln>
            <a:effectLst/>
            <a:sp3d/>
          </c:spPr>
          <c:invertIfNegative val="0"/>
          <c:cat>
            <c:strRef>
              <c:f>'EJE ESTRATEGICO'!$D$31:$H$31</c:f>
              <c:strCache>
                <c:ptCount val="5"/>
                <c:pt idx="0">
                  <c:v> PRESUPUESTADO </c:v>
                </c:pt>
                <c:pt idx="1">
                  <c:v> COMPROMISOS </c:v>
                </c:pt>
                <c:pt idx="2">
                  <c:v> % COMPR </c:v>
                </c:pt>
                <c:pt idx="3">
                  <c:v> OBLIGACIONES </c:v>
                </c:pt>
                <c:pt idx="4">
                  <c:v> % OBLIG </c:v>
                </c:pt>
              </c:strCache>
            </c:strRef>
          </c:cat>
          <c:val>
            <c:numRef>
              <c:f>'EJE ESTRATEGICO'!$D$35:$H$35</c:f>
              <c:numCache>
                <c:formatCode>_(* #,##0.00_);_(* \(#,##0.00\);_(* "-"??_);_(@_)</c:formatCode>
                <c:ptCount val="5"/>
                <c:pt idx="0">
                  <c:v>6762833750.8400002</c:v>
                </c:pt>
                <c:pt idx="1">
                  <c:v>5856182897.5600004</c:v>
                </c:pt>
                <c:pt idx="2" formatCode="0%">
                  <c:v>0.86593624999766017</c:v>
                </c:pt>
                <c:pt idx="3">
                  <c:v>5856182897.5600004</c:v>
                </c:pt>
                <c:pt idx="4" formatCode="0.00%">
                  <c:v>1</c:v>
                </c:pt>
              </c:numCache>
            </c:numRef>
          </c:val>
          <c:extLst>
            <c:ext xmlns:c16="http://schemas.microsoft.com/office/drawing/2014/chart" uri="{C3380CC4-5D6E-409C-BE32-E72D297353CC}">
              <c16:uniqueId val="{00000003-7AD6-4CDD-B170-98AB75964132}"/>
            </c:ext>
          </c:extLst>
        </c:ser>
        <c:ser>
          <c:idx val="4"/>
          <c:order val="4"/>
          <c:tx>
            <c:strRef>
              <c:f>'EJE ESTRATEGICO'!$C$36</c:f>
              <c:strCache>
                <c:ptCount val="1"/>
                <c:pt idx="0">
                  <c:v>TOTAL</c:v>
                </c:pt>
              </c:strCache>
            </c:strRef>
          </c:tx>
          <c:spPr>
            <a:solidFill>
              <a:schemeClr val="tx2">
                <a:lumMod val="60000"/>
                <a:lumOff val="40000"/>
              </a:schemeClr>
            </a:solidFill>
            <a:ln>
              <a:noFill/>
            </a:ln>
            <a:effectLst/>
            <a:sp3d/>
          </c:spPr>
          <c:invertIfNegative val="0"/>
          <c:cat>
            <c:strRef>
              <c:f>'EJE ESTRATEGICO'!$D$31:$H$31</c:f>
              <c:strCache>
                <c:ptCount val="5"/>
                <c:pt idx="0">
                  <c:v> PRESUPUESTADO </c:v>
                </c:pt>
                <c:pt idx="1">
                  <c:v> COMPROMISOS </c:v>
                </c:pt>
                <c:pt idx="2">
                  <c:v> % COMPR </c:v>
                </c:pt>
                <c:pt idx="3">
                  <c:v> OBLIGACIONES </c:v>
                </c:pt>
                <c:pt idx="4">
                  <c:v> % OBLIG </c:v>
                </c:pt>
              </c:strCache>
            </c:strRef>
          </c:cat>
          <c:val>
            <c:numRef>
              <c:f>'EJE ESTRATEGICO'!$D$36:$H$36</c:f>
              <c:numCache>
                <c:formatCode>_(* #,##0.00_);_(* \(#,##0.00\);_(* "-"??_);_(@_)</c:formatCode>
                <c:ptCount val="5"/>
                <c:pt idx="0">
                  <c:v>329398378156.88007</c:v>
                </c:pt>
                <c:pt idx="1">
                  <c:v>293229739975.77405</c:v>
                </c:pt>
                <c:pt idx="2" formatCode="0%">
                  <c:v>0.890197886269251</c:v>
                </c:pt>
                <c:pt idx="3">
                  <c:v>293041914712.84259</c:v>
                </c:pt>
                <c:pt idx="4" formatCode="0.00%">
                  <c:v>0.99935946039120394</c:v>
                </c:pt>
              </c:numCache>
            </c:numRef>
          </c:val>
          <c:extLst>
            <c:ext xmlns:c16="http://schemas.microsoft.com/office/drawing/2014/chart" uri="{C3380CC4-5D6E-409C-BE32-E72D297353CC}">
              <c16:uniqueId val="{00000004-7AD6-4CDD-B170-98AB75964132}"/>
            </c:ext>
          </c:extLst>
        </c:ser>
        <c:dLbls>
          <c:showLegendKey val="0"/>
          <c:showVal val="0"/>
          <c:showCatName val="0"/>
          <c:showSerName val="0"/>
          <c:showPercent val="0"/>
          <c:showBubbleSize val="0"/>
        </c:dLbls>
        <c:gapWidth val="150"/>
        <c:shape val="box"/>
        <c:axId val="181301120"/>
        <c:axId val="181301680"/>
        <c:axId val="0"/>
      </c:bar3DChart>
      <c:catAx>
        <c:axId val="1813011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301680"/>
        <c:crosses val="autoZero"/>
        <c:auto val="1"/>
        <c:lblAlgn val="ctr"/>
        <c:lblOffset val="100"/>
        <c:noMultiLvlLbl val="0"/>
      </c:catAx>
      <c:valAx>
        <c:axId val="181301680"/>
        <c:scaling>
          <c:orientation val="minMax"/>
        </c:scaling>
        <c:delete val="0"/>
        <c:axPos val="l"/>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30112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baseline="0">
                <a:latin typeface="Arial" panose="020B0604020202020204" pitchFamily="34" charset="0"/>
                <a:cs typeface="Arial" panose="020B0604020202020204" pitchFamily="34" charset="0"/>
              </a:rPr>
              <a:t>Estado de Ejecución  Sector Central</a:t>
            </a:r>
          </a:p>
          <a:p>
            <a:pPr>
              <a:defRPr sz="1200" b="1">
                <a:latin typeface="Arial" panose="020B0604020202020204" pitchFamily="34" charset="0"/>
                <a:cs typeface="Arial" panose="020B0604020202020204" pitchFamily="34" charset="0"/>
              </a:defRPr>
            </a:pPr>
            <a:r>
              <a:rPr lang="es-CO" sz="1200" b="1" baseline="0">
                <a:latin typeface="Arial" panose="020B0604020202020204" pitchFamily="34" charset="0"/>
                <a:cs typeface="Arial" panose="020B0604020202020204" pitchFamily="34" charset="0"/>
              </a:rPr>
              <a:t>Gastos de Inversión con corte al 31 de diciembre de 2021</a:t>
            </a:r>
            <a:endParaRPr lang="es-CO" sz="1200" b="1">
              <a:latin typeface="Arial" panose="020B0604020202020204" pitchFamily="34" charset="0"/>
              <a:cs typeface="Arial" panose="020B0604020202020204" pitchFamily="34" charset="0"/>
            </a:endParaRPr>
          </a:p>
        </c:rich>
      </c:tx>
      <c:layout>
        <c:manualLayout>
          <c:xMode val="edge"/>
          <c:yMode val="edge"/>
          <c:x val="0.30090106814323747"/>
          <c:y val="8.664423424037955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0.13410779548565621"/>
          <c:y val="0.15784037952389388"/>
          <c:w val="0.85302418680714087"/>
          <c:h val="0.71588350508700771"/>
        </c:manualLayout>
      </c:layout>
      <c:barChart>
        <c:barDir val="col"/>
        <c:grouping val="clustered"/>
        <c:varyColors val="0"/>
        <c:ser>
          <c:idx val="0"/>
          <c:order val="0"/>
          <c:tx>
            <c:strRef>
              <c:f>'CONSOLIDADO UNIDADES'!$C$23</c:f>
              <c:strCache>
                <c:ptCount val="1"/>
                <c:pt idx="0">
                  <c:v>Valor</c:v>
                </c:pt>
              </c:strCache>
            </c:strRef>
          </c:tx>
          <c:spPr>
            <a:solidFill>
              <a:srgbClr val="002060"/>
            </a:solidFill>
            <a:ln>
              <a:noFill/>
            </a:ln>
            <a:effectLst/>
          </c:spPr>
          <c:invertIfNegative val="0"/>
          <c:dPt>
            <c:idx val="1"/>
            <c:invertIfNegative val="0"/>
            <c:bubble3D val="0"/>
            <c:spPr>
              <a:solidFill>
                <a:srgbClr val="C00000"/>
              </a:solidFill>
              <a:ln>
                <a:noFill/>
              </a:ln>
              <a:effectLst/>
            </c:spPr>
            <c:extLst>
              <c:ext xmlns:c16="http://schemas.microsoft.com/office/drawing/2014/chart" uri="{C3380CC4-5D6E-409C-BE32-E72D297353CC}">
                <c16:uniqueId val="{00000003-3960-46AD-8AEB-A9264092E8AD}"/>
              </c:ext>
            </c:extLst>
          </c:dPt>
          <c:dPt>
            <c:idx val="2"/>
            <c:invertIfNegative val="0"/>
            <c:bubble3D val="0"/>
            <c:spPr>
              <a:solidFill>
                <a:srgbClr val="00B0F0"/>
              </a:solidFill>
              <a:ln>
                <a:noFill/>
              </a:ln>
              <a:effectLst/>
            </c:spPr>
            <c:extLst>
              <c:ext xmlns:c16="http://schemas.microsoft.com/office/drawing/2014/chart" uri="{C3380CC4-5D6E-409C-BE32-E72D297353CC}">
                <c16:uniqueId val="{00000006-3960-46AD-8AEB-A9264092E8AD}"/>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9-3960-46AD-8AEB-A9264092E8AD}"/>
              </c:ext>
            </c:extLst>
          </c:dPt>
          <c:dPt>
            <c:idx val="4"/>
            <c:invertIfNegative val="0"/>
            <c:bubble3D val="0"/>
            <c:spPr>
              <a:solidFill>
                <a:srgbClr val="92D050"/>
              </a:solidFill>
              <a:ln>
                <a:noFill/>
              </a:ln>
              <a:effectLst/>
            </c:spPr>
            <c:extLst>
              <c:ext xmlns:c16="http://schemas.microsoft.com/office/drawing/2014/chart" uri="{C3380CC4-5D6E-409C-BE32-E72D297353CC}">
                <c16:uniqueId val="{0000000E-3960-46AD-8AEB-A9264092E8AD}"/>
              </c:ext>
            </c:extLst>
          </c:dPt>
          <c:dPt>
            <c:idx val="5"/>
            <c:invertIfNegative val="0"/>
            <c:bubble3D val="0"/>
            <c:spPr>
              <a:solidFill>
                <a:srgbClr val="FFFF00"/>
              </a:solidFill>
              <a:ln>
                <a:noFill/>
              </a:ln>
              <a:effectLst/>
            </c:spPr>
            <c:extLst>
              <c:ext xmlns:c16="http://schemas.microsoft.com/office/drawing/2014/chart" uri="{C3380CC4-5D6E-409C-BE32-E72D297353CC}">
                <c16:uniqueId val="{00000012-3960-46AD-8AEB-A9264092E8AD}"/>
              </c:ext>
            </c:extLst>
          </c:dPt>
          <c:cat>
            <c:strRef>
              <c:f>'CONSOLIDADO UNIDADES'!$B$24:$B$29</c:f>
              <c:strCache>
                <c:ptCount val="6"/>
                <c:pt idx="0">
                  <c:v>Sector Central</c:v>
                </c:pt>
                <c:pt idx="1">
                  <c:v>Disponibilidades </c:v>
                </c:pt>
                <c:pt idx="2">
                  <c:v>Compromisos</c:v>
                </c:pt>
                <c:pt idx="3">
                  <c:v>Obligaciones</c:v>
                </c:pt>
                <c:pt idx="4">
                  <c:v>Pagos </c:v>
                </c:pt>
                <c:pt idx="5">
                  <c:v> Disponible </c:v>
                </c:pt>
              </c:strCache>
            </c:strRef>
          </c:cat>
          <c:val>
            <c:numRef>
              <c:f>'CONSOLIDADO UNIDADES'!$C$24:$C$29</c:f>
              <c:numCache>
                <c:formatCode>_(* #,##0_);_(* \(#,##0\);_(* "-"??_);_(@_)</c:formatCode>
                <c:ptCount val="6"/>
                <c:pt idx="0">
                  <c:v>319490464131.91003</c:v>
                </c:pt>
                <c:pt idx="1">
                  <c:v>286065239361.54999</c:v>
                </c:pt>
                <c:pt idx="2">
                  <c:v>286065239361.58002</c:v>
                </c:pt>
                <c:pt idx="3">
                  <c:v>286065239361.58002</c:v>
                </c:pt>
                <c:pt idx="4">
                  <c:v>285435942243.58002</c:v>
                </c:pt>
                <c:pt idx="5">
                  <c:v>33425224770.360085</c:v>
                </c:pt>
              </c:numCache>
            </c:numRef>
          </c:val>
          <c:extLst>
            <c:ext xmlns:c16="http://schemas.microsoft.com/office/drawing/2014/chart" uri="{C3380CC4-5D6E-409C-BE32-E72D297353CC}">
              <c16:uniqueId val="{00000000-3960-46AD-8AEB-A9264092E8AD}"/>
            </c:ext>
          </c:extLst>
        </c:ser>
        <c:ser>
          <c:idx val="1"/>
          <c:order val="1"/>
          <c:tx>
            <c:strRef>
              <c:f>'CONSOLIDADO UNIDADES'!$D$23</c:f>
              <c:strCache>
                <c:ptCount val="1"/>
                <c:pt idx="0">
                  <c:v>%</c:v>
                </c:pt>
              </c:strCache>
            </c:strRef>
          </c:tx>
          <c:spPr>
            <a:solidFill>
              <a:schemeClr val="accent2"/>
            </a:solidFill>
            <a:ln>
              <a:noFill/>
            </a:ln>
            <a:effectLst/>
          </c:spPr>
          <c:invertIfNegative val="0"/>
          <c:cat>
            <c:strRef>
              <c:f>'CONSOLIDADO UNIDADES'!$B$24:$B$29</c:f>
              <c:strCache>
                <c:ptCount val="6"/>
                <c:pt idx="0">
                  <c:v>Sector Central</c:v>
                </c:pt>
                <c:pt idx="1">
                  <c:v>Disponibilidades </c:v>
                </c:pt>
                <c:pt idx="2">
                  <c:v>Compromisos</c:v>
                </c:pt>
                <c:pt idx="3">
                  <c:v>Obligaciones</c:v>
                </c:pt>
                <c:pt idx="4">
                  <c:v>Pagos </c:v>
                </c:pt>
                <c:pt idx="5">
                  <c:v> Disponible </c:v>
                </c:pt>
              </c:strCache>
            </c:strRef>
          </c:cat>
          <c:val>
            <c:numRef>
              <c:f>'CONSOLIDADO UNIDADES'!$D$24:$D$29</c:f>
              <c:numCache>
                <c:formatCode>0.00%</c:formatCode>
                <c:ptCount val="6"/>
                <c:pt idx="0" formatCode="0%">
                  <c:v>1</c:v>
                </c:pt>
                <c:pt idx="1">
                  <c:v>0.89537958554982233</c:v>
                </c:pt>
                <c:pt idx="2">
                  <c:v>0.89537958554991637</c:v>
                </c:pt>
                <c:pt idx="3">
                  <c:v>1</c:v>
                </c:pt>
                <c:pt idx="4">
                  <c:v>0.99780016223080992</c:v>
                </c:pt>
                <c:pt idx="5">
                  <c:v>0.10462041445017778</c:v>
                </c:pt>
              </c:numCache>
            </c:numRef>
          </c:val>
          <c:extLst>
            <c:ext xmlns:c16="http://schemas.microsoft.com/office/drawing/2014/chart" uri="{C3380CC4-5D6E-409C-BE32-E72D297353CC}">
              <c16:uniqueId val="{00000001-3960-46AD-8AEB-A9264092E8AD}"/>
            </c:ext>
          </c:extLst>
        </c:ser>
        <c:dLbls>
          <c:showLegendKey val="0"/>
          <c:showVal val="0"/>
          <c:showCatName val="0"/>
          <c:showSerName val="0"/>
          <c:showPercent val="0"/>
          <c:showBubbleSize val="0"/>
        </c:dLbls>
        <c:gapWidth val="219"/>
        <c:overlap val="-27"/>
        <c:axId val="181518960"/>
        <c:axId val="181519520"/>
      </c:barChart>
      <c:catAx>
        <c:axId val="181518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519520"/>
        <c:crosses val="autoZero"/>
        <c:auto val="1"/>
        <c:lblAlgn val="ctr"/>
        <c:lblOffset val="100"/>
        <c:noMultiLvlLbl val="0"/>
      </c:catAx>
      <c:valAx>
        <c:axId val="181519520"/>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5189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a:latin typeface="Arial" panose="020B0604020202020204" pitchFamily="34" charset="0"/>
                <a:cs typeface="Arial" panose="020B0604020202020204" pitchFamily="34" charset="0"/>
              </a:rPr>
              <a:t>Estado de Ejecución Entes</a:t>
            </a:r>
            <a:r>
              <a:rPr lang="es-CO" sz="1200" b="1" baseline="0">
                <a:latin typeface="Arial" panose="020B0604020202020204" pitchFamily="34" charset="0"/>
                <a:cs typeface="Arial" panose="020B0604020202020204" pitchFamily="34" charset="0"/>
              </a:rPr>
              <a:t> Descentralizados</a:t>
            </a:r>
          </a:p>
          <a:p>
            <a:pPr>
              <a:defRPr sz="1200" b="1">
                <a:latin typeface="Arial" panose="020B0604020202020204" pitchFamily="34" charset="0"/>
                <a:cs typeface="Arial" panose="020B0604020202020204" pitchFamily="34" charset="0"/>
              </a:defRPr>
            </a:pPr>
            <a:r>
              <a:rPr lang="es-CO" sz="1200" b="1" baseline="0">
                <a:latin typeface="Arial" panose="020B0604020202020204" pitchFamily="34" charset="0"/>
                <a:cs typeface="Arial" panose="020B0604020202020204" pitchFamily="34" charset="0"/>
              </a:rPr>
              <a:t>Gastos de Inversión con corte al 31 de diciembre de 2021</a:t>
            </a:r>
            <a:endParaRPr lang="es-CO" sz="12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1-4880-4938-84D7-1118D55666C7}"/>
              </c:ext>
            </c:extLst>
          </c:dPt>
          <c:dPt>
            <c:idx val="5"/>
            <c:invertIfNegative val="0"/>
            <c:bubble3D val="0"/>
            <c:spPr>
              <a:solidFill>
                <a:srgbClr val="FFFF00"/>
              </a:solidFill>
              <a:ln>
                <a:noFill/>
              </a:ln>
              <a:effectLst/>
            </c:spPr>
            <c:extLst>
              <c:ext xmlns:c16="http://schemas.microsoft.com/office/drawing/2014/chart" uri="{C3380CC4-5D6E-409C-BE32-E72D297353CC}">
                <c16:uniqueId val="{00000003-4880-4938-84D7-1118D55666C7}"/>
              </c:ext>
            </c:extLst>
          </c:dPt>
          <c:cat>
            <c:strRef>
              <c:f>'CONSOLIDADO UNIDADES'!$B$33:$B$38</c:f>
              <c:strCache>
                <c:ptCount val="6"/>
                <c:pt idx="0">
                  <c:v>Descentralizados</c:v>
                </c:pt>
                <c:pt idx="1">
                  <c:v>Disponibilidades </c:v>
                </c:pt>
                <c:pt idx="2">
                  <c:v>Compromisos</c:v>
                </c:pt>
                <c:pt idx="3">
                  <c:v>Obligaciones</c:v>
                </c:pt>
                <c:pt idx="4">
                  <c:v>Pagos </c:v>
                </c:pt>
                <c:pt idx="5">
                  <c:v> Disponible </c:v>
                </c:pt>
              </c:strCache>
            </c:strRef>
          </c:cat>
          <c:val>
            <c:numRef>
              <c:f>'CONSOLIDADO UNIDADES'!$C$33:$C$38</c:f>
              <c:numCache>
                <c:formatCode>_(* #,##0_);_(* \(#,##0\);_(* "-"??_);_(@_)</c:formatCode>
                <c:ptCount val="6"/>
                <c:pt idx="0">
                  <c:v>9907914024.9700012</c:v>
                </c:pt>
                <c:pt idx="1">
                  <c:v>7164500614.1940126</c:v>
                </c:pt>
                <c:pt idx="2">
                  <c:v>7164500614.1940126</c:v>
                </c:pt>
                <c:pt idx="3">
                  <c:v>6976675351.2625227</c:v>
                </c:pt>
                <c:pt idx="4">
                  <c:v>6976675351.2625237</c:v>
                </c:pt>
                <c:pt idx="5">
                  <c:v>2743413410.7759881</c:v>
                </c:pt>
              </c:numCache>
            </c:numRef>
          </c:val>
          <c:extLst>
            <c:ext xmlns:c16="http://schemas.microsoft.com/office/drawing/2014/chart" uri="{C3380CC4-5D6E-409C-BE32-E72D297353CC}">
              <c16:uniqueId val="{00000004-4880-4938-84D7-1118D55666C7}"/>
            </c:ext>
          </c:extLst>
        </c:ser>
        <c:ser>
          <c:idx val="1"/>
          <c:order val="1"/>
          <c:spPr>
            <a:solidFill>
              <a:schemeClr val="accent2"/>
            </a:solidFill>
            <a:ln>
              <a:noFill/>
            </a:ln>
            <a:effectLst/>
          </c:spPr>
          <c:invertIfNegative val="0"/>
          <c:cat>
            <c:strRef>
              <c:f>'CONSOLIDADO UNIDADES'!$B$33:$B$38</c:f>
              <c:strCache>
                <c:ptCount val="6"/>
                <c:pt idx="0">
                  <c:v>Descentralizados</c:v>
                </c:pt>
                <c:pt idx="1">
                  <c:v>Disponibilidades </c:v>
                </c:pt>
                <c:pt idx="2">
                  <c:v>Compromisos</c:v>
                </c:pt>
                <c:pt idx="3">
                  <c:v>Obligaciones</c:v>
                </c:pt>
                <c:pt idx="4">
                  <c:v>Pagos </c:v>
                </c:pt>
                <c:pt idx="5">
                  <c:v> Disponible </c:v>
                </c:pt>
              </c:strCache>
            </c:strRef>
          </c:cat>
          <c:val>
            <c:numRef>
              <c:f>'CONSOLIDADO UNIDADES'!$D$33:$D$38</c:f>
              <c:numCache>
                <c:formatCode>0.00%</c:formatCode>
                <c:ptCount val="6"/>
                <c:pt idx="0" formatCode="0%">
                  <c:v>1</c:v>
                </c:pt>
                <c:pt idx="1">
                  <c:v>0.72310888004659535</c:v>
                </c:pt>
                <c:pt idx="2">
                  <c:v>0.72310888004659535</c:v>
                </c:pt>
                <c:pt idx="3">
                  <c:v>0.97378390022615413</c:v>
                </c:pt>
                <c:pt idx="4">
                  <c:v>0.97378390022615435</c:v>
                </c:pt>
                <c:pt idx="5">
                  <c:v>0.2768911199534046</c:v>
                </c:pt>
              </c:numCache>
            </c:numRef>
          </c:val>
          <c:extLst>
            <c:ext xmlns:c16="http://schemas.microsoft.com/office/drawing/2014/chart" uri="{C3380CC4-5D6E-409C-BE32-E72D297353CC}">
              <c16:uniqueId val="{00000005-4880-4938-84D7-1118D55666C7}"/>
            </c:ext>
          </c:extLst>
        </c:ser>
        <c:dLbls>
          <c:showLegendKey val="0"/>
          <c:showVal val="0"/>
          <c:showCatName val="0"/>
          <c:showSerName val="0"/>
          <c:showPercent val="0"/>
          <c:showBubbleSize val="0"/>
        </c:dLbls>
        <c:gapWidth val="219"/>
        <c:overlap val="-27"/>
        <c:axId val="181523440"/>
        <c:axId val="181524000"/>
      </c:barChart>
      <c:catAx>
        <c:axId val="181523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524000"/>
        <c:crosses val="autoZero"/>
        <c:auto val="1"/>
        <c:lblAlgn val="ctr"/>
        <c:lblOffset val="100"/>
        <c:noMultiLvlLbl val="0"/>
      </c:catAx>
      <c:valAx>
        <c:axId val="181524000"/>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52344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i="0" baseline="0">
                <a:effectLst/>
                <a:latin typeface="Arial" panose="020B0604020202020204" pitchFamily="34" charset="0"/>
                <a:cs typeface="Arial" panose="020B0604020202020204" pitchFamily="34" charset="0"/>
              </a:rPr>
              <a:t>Estado de Ejecución Departamento Quindiío</a:t>
            </a:r>
            <a:endParaRPr lang="es-CO" sz="1200" b="1">
              <a:effectLst/>
              <a:latin typeface="Arial" panose="020B0604020202020204" pitchFamily="34" charset="0"/>
              <a:cs typeface="Arial" panose="020B0604020202020204" pitchFamily="34" charset="0"/>
            </a:endParaRPr>
          </a:p>
          <a:p>
            <a:pPr>
              <a:defRPr sz="1200" b="1">
                <a:latin typeface="Arial" panose="020B0604020202020204" pitchFamily="34" charset="0"/>
                <a:cs typeface="Arial" panose="020B0604020202020204" pitchFamily="34" charset="0"/>
              </a:defRPr>
            </a:pPr>
            <a:r>
              <a:rPr lang="es-CO" sz="1200" b="1" i="0" baseline="0">
                <a:effectLst/>
                <a:latin typeface="Arial" panose="020B0604020202020204" pitchFamily="34" charset="0"/>
                <a:cs typeface="Arial" panose="020B0604020202020204" pitchFamily="34" charset="0"/>
              </a:rPr>
              <a:t>Gastos de Inversión con corte al 31 de diciembre de 2021</a:t>
            </a:r>
            <a:endParaRPr lang="es-CO" sz="1200" b="1">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1-206E-4B7B-8B49-00214891761A}"/>
              </c:ext>
            </c:extLst>
          </c:dPt>
          <c:dPt>
            <c:idx val="1"/>
            <c:invertIfNegative val="0"/>
            <c:bubble3D val="0"/>
            <c:spPr>
              <a:solidFill>
                <a:srgbClr val="C00000"/>
              </a:solidFill>
              <a:ln>
                <a:noFill/>
              </a:ln>
              <a:effectLst/>
            </c:spPr>
            <c:extLst>
              <c:ext xmlns:c16="http://schemas.microsoft.com/office/drawing/2014/chart" uri="{C3380CC4-5D6E-409C-BE32-E72D297353CC}">
                <c16:uniqueId val="{00000003-206E-4B7B-8B49-00214891761A}"/>
              </c:ext>
            </c:extLst>
          </c:dPt>
          <c:dPt>
            <c:idx val="2"/>
            <c:invertIfNegative val="0"/>
            <c:bubble3D val="0"/>
            <c:spPr>
              <a:solidFill>
                <a:srgbClr val="00B0F0"/>
              </a:solidFill>
              <a:ln>
                <a:noFill/>
              </a:ln>
              <a:effectLst/>
            </c:spPr>
            <c:extLst>
              <c:ext xmlns:c16="http://schemas.microsoft.com/office/drawing/2014/chart" uri="{C3380CC4-5D6E-409C-BE32-E72D297353CC}">
                <c16:uniqueId val="{00000005-206E-4B7B-8B49-00214891761A}"/>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7-206E-4B7B-8B49-00214891761A}"/>
              </c:ext>
            </c:extLst>
          </c:dPt>
          <c:dPt>
            <c:idx val="4"/>
            <c:invertIfNegative val="0"/>
            <c:bubble3D val="0"/>
            <c:spPr>
              <a:solidFill>
                <a:srgbClr val="92D050"/>
              </a:solidFill>
              <a:ln>
                <a:noFill/>
              </a:ln>
              <a:effectLst/>
            </c:spPr>
            <c:extLst>
              <c:ext xmlns:c16="http://schemas.microsoft.com/office/drawing/2014/chart" uri="{C3380CC4-5D6E-409C-BE32-E72D297353CC}">
                <c16:uniqueId val="{00000009-206E-4B7B-8B49-00214891761A}"/>
              </c:ext>
            </c:extLst>
          </c:dPt>
          <c:dPt>
            <c:idx val="5"/>
            <c:invertIfNegative val="0"/>
            <c:bubble3D val="0"/>
            <c:spPr>
              <a:solidFill>
                <a:srgbClr val="FFFF00"/>
              </a:solidFill>
              <a:ln>
                <a:noFill/>
              </a:ln>
              <a:effectLst/>
            </c:spPr>
            <c:extLst>
              <c:ext xmlns:c16="http://schemas.microsoft.com/office/drawing/2014/chart" uri="{C3380CC4-5D6E-409C-BE32-E72D297353CC}">
                <c16:uniqueId val="{0000000B-206E-4B7B-8B49-00214891761A}"/>
              </c:ext>
            </c:extLst>
          </c:dPt>
          <c:cat>
            <c:strRef>
              <c:f>'CONSOLIDADO UNIDADES'!$B$47:$B$52</c:f>
              <c:strCache>
                <c:ptCount val="6"/>
                <c:pt idx="0">
                  <c:v>Departamento Quindío</c:v>
                </c:pt>
                <c:pt idx="1">
                  <c:v>Disponibilidades </c:v>
                </c:pt>
                <c:pt idx="2">
                  <c:v>Compromisos</c:v>
                </c:pt>
                <c:pt idx="3">
                  <c:v>Obligaciones</c:v>
                </c:pt>
                <c:pt idx="4">
                  <c:v>Pagos </c:v>
                </c:pt>
                <c:pt idx="5">
                  <c:v> Disponible </c:v>
                </c:pt>
              </c:strCache>
            </c:strRef>
          </c:cat>
          <c:val>
            <c:numRef>
              <c:f>'CONSOLIDADO UNIDADES'!$C$47:$C$52</c:f>
              <c:numCache>
                <c:formatCode>_(* #,##0_);_(* \(#,##0\);_(* "-"??_);_(@_)</c:formatCode>
                <c:ptCount val="6"/>
                <c:pt idx="0">
                  <c:v>329398378156.88</c:v>
                </c:pt>
                <c:pt idx="1">
                  <c:v>293229739975.74402</c:v>
                </c:pt>
                <c:pt idx="2">
                  <c:v>293229739975.77405</c:v>
                </c:pt>
                <c:pt idx="3">
                  <c:v>293041914712.84253</c:v>
                </c:pt>
                <c:pt idx="4">
                  <c:v>292412617594.84253</c:v>
                </c:pt>
                <c:pt idx="5">
                  <c:v>36168638181.13607</c:v>
                </c:pt>
              </c:numCache>
            </c:numRef>
          </c:val>
          <c:extLst>
            <c:ext xmlns:c16="http://schemas.microsoft.com/office/drawing/2014/chart" uri="{C3380CC4-5D6E-409C-BE32-E72D297353CC}">
              <c16:uniqueId val="{0000000C-206E-4B7B-8B49-00214891761A}"/>
            </c:ext>
          </c:extLst>
        </c:ser>
        <c:ser>
          <c:idx val="1"/>
          <c:order val="1"/>
          <c:spPr>
            <a:solidFill>
              <a:schemeClr val="accent2"/>
            </a:solidFill>
            <a:ln>
              <a:noFill/>
            </a:ln>
            <a:effectLst/>
          </c:spPr>
          <c:invertIfNegative val="0"/>
          <c:cat>
            <c:strRef>
              <c:f>'CONSOLIDADO UNIDADES'!$B$47:$B$52</c:f>
              <c:strCache>
                <c:ptCount val="6"/>
                <c:pt idx="0">
                  <c:v>Departamento Quindío</c:v>
                </c:pt>
                <c:pt idx="1">
                  <c:v>Disponibilidades </c:v>
                </c:pt>
                <c:pt idx="2">
                  <c:v>Compromisos</c:v>
                </c:pt>
                <c:pt idx="3">
                  <c:v>Obligaciones</c:v>
                </c:pt>
                <c:pt idx="4">
                  <c:v>Pagos </c:v>
                </c:pt>
                <c:pt idx="5">
                  <c:v> Disponible </c:v>
                </c:pt>
              </c:strCache>
            </c:strRef>
          </c:cat>
          <c:val>
            <c:numRef>
              <c:f>'CONSOLIDADO UNIDADES'!$D$47:$D$52</c:f>
              <c:numCache>
                <c:formatCode>0.00%</c:formatCode>
                <c:ptCount val="6"/>
                <c:pt idx="0" formatCode="0%">
                  <c:v>1</c:v>
                </c:pt>
                <c:pt idx="1">
                  <c:v>0.89019788626915997</c:v>
                </c:pt>
                <c:pt idx="2">
                  <c:v>0.89019788626925112</c:v>
                </c:pt>
                <c:pt idx="3">
                  <c:v>0.99935946039120371</c:v>
                </c:pt>
                <c:pt idx="4">
                  <c:v>0.997213371396097</c:v>
                </c:pt>
                <c:pt idx="5">
                  <c:v>0.10980211373084027</c:v>
                </c:pt>
              </c:numCache>
            </c:numRef>
          </c:val>
          <c:extLst>
            <c:ext xmlns:c16="http://schemas.microsoft.com/office/drawing/2014/chart" uri="{C3380CC4-5D6E-409C-BE32-E72D297353CC}">
              <c16:uniqueId val="{0000000D-206E-4B7B-8B49-00214891761A}"/>
            </c:ext>
          </c:extLst>
        </c:ser>
        <c:dLbls>
          <c:showLegendKey val="0"/>
          <c:showVal val="0"/>
          <c:showCatName val="0"/>
          <c:showSerName val="0"/>
          <c:showPercent val="0"/>
          <c:showBubbleSize val="0"/>
        </c:dLbls>
        <c:gapWidth val="219"/>
        <c:overlap val="-27"/>
        <c:axId val="182053808"/>
        <c:axId val="182054368"/>
      </c:barChart>
      <c:catAx>
        <c:axId val="182053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2054368"/>
        <c:crosses val="autoZero"/>
        <c:auto val="1"/>
        <c:lblAlgn val="ctr"/>
        <c:lblOffset val="100"/>
        <c:noMultiLvlLbl val="0"/>
      </c:catAx>
      <c:valAx>
        <c:axId val="182054368"/>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20538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800" b="1">
                <a:effectLst/>
              </a:rPr>
              <a:t>COMPARATIVO  DISPONIBILIDADES  Vs. REGISTROS PRESUPUESTALES </a:t>
            </a:r>
            <a:endParaRPr lang="es-CO">
              <a:effectLst/>
            </a:endParaRPr>
          </a:p>
          <a:p>
            <a:pPr>
              <a:defRPr/>
            </a:pPr>
            <a:r>
              <a:rPr lang="es-CO" sz="1800" b="1">
                <a:effectLst/>
              </a:rPr>
              <a:t>PLAN OPERATIVO ANUAL DE INVERSIONES POAI   CON CORTE AL 31 DE DICIEMBRE DE 2021 </a:t>
            </a:r>
          </a:p>
          <a:p>
            <a:pPr>
              <a:defRPr/>
            </a:pPr>
            <a:r>
              <a:rPr lang="es-CO" sz="1800" b="1">
                <a:effectLst/>
              </a:rPr>
              <a:t>POR UNIDADES EJECUTORAS</a:t>
            </a:r>
            <a:endParaRPr lang="es-CO">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'CONSOLIDADO UNIDADES'!$D$2</c:f>
              <c:strCache>
                <c:ptCount val="1"/>
                <c:pt idx="0">
                  <c:v> % PD </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'CONSOLIDADO UNIDADES'!$B$3:$B$22</c15:sqref>
                  </c15:fullRef>
                </c:ext>
              </c:extLst>
              <c:f>('CONSOLIDADO UNIDADES'!$B$3:$B$15,'CONSOLIDADO UNIDADES'!$B$17:$B$19,'CONSOLIDADO UNIDADES'!$B$22)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Oficina Privada</c:v>
                </c:pt>
                <c:pt idx="9">
                  <c:v>Educación</c:v>
                </c:pt>
                <c:pt idx="10">
                  <c:v>Familia</c:v>
                </c:pt>
                <c:pt idx="11">
                  <c:v>Salud</c:v>
                </c:pt>
                <c:pt idx="12">
                  <c:v>Tecnología de la Información y las Comunicaciones</c:v>
                </c:pt>
                <c:pt idx="13">
                  <c:v>Indeportes</c:v>
                </c:pt>
                <c:pt idx="14">
                  <c:v>Promotora</c:v>
                </c:pt>
                <c:pt idx="15">
                  <c:v>Instituto Departamental de Transito</c:v>
                </c:pt>
                <c:pt idx="16">
                  <c:v>TOTAL DEPARTAMENTO</c:v>
                </c:pt>
              </c:strCache>
            </c:strRef>
          </c:cat>
          <c:val>
            <c:numRef>
              <c:extLst>
                <c:ext xmlns:c15="http://schemas.microsoft.com/office/drawing/2012/chart" uri="{02D57815-91ED-43cb-92C2-25804820EDAC}">
                  <c15:fullRef>
                    <c15:sqref>'CONSOLIDADO UNIDADES'!$D$3:$D$22</c15:sqref>
                  </c15:fullRef>
                </c:ext>
              </c:extLst>
              <c:f>('CONSOLIDADO UNIDADES'!$D$3:$D$15,'CONSOLIDADO UNIDADES'!$D$17:$D$19,'CONSOLIDADO UNIDADES'!$D$22)</c:f>
              <c:numCache>
                <c:formatCode>0%</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extLst>
            <c:ext xmlns:c16="http://schemas.microsoft.com/office/drawing/2014/chart" uri="{C3380CC4-5D6E-409C-BE32-E72D297353CC}">
              <c16:uniqueId val="{00000000-FCAC-40E9-A580-28F5882046CC}"/>
            </c:ext>
          </c:extLst>
        </c:ser>
        <c:ser>
          <c:idx val="1"/>
          <c:order val="1"/>
          <c:tx>
            <c:strRef>
              <c:f>'CONSOLIDADO UNIDADES'!$F$2</c:f>
              <c:strCache>
                <c:ptCount val="1"/>
                <c:pt idx="0">
                  <c:v> % CD </c:v>
                </c:pt>
              </c:strCache>
            </c:strRef>
          </c:tx>
          <c:spPr>
            <a:solidFill>
              <a:schemeClr val="accent4">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'CONSOLIDADO UNIDADES'!$B$3:$B$22</c15:sqref>
                  </c15:fullRef>
                </c:ext>
              </c:extLst>
              <c:f>('CONSOLIDADO UNIDADES'!$B$3:$B$15,'CONSOLIDADO UNIDADES'!$B$17:$B$19,'CONSOLIDADO UNIDADES'!$B$22)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Oficina Privada</c:v>
                </c:pt>
                <c:pt idx="9">
                  <c:v>Educación</c:v>
                </c:pt>
                <c:pt idx="10">
                  <c:v>Familia</c:v>
                </c:pt>
                <c:pt idx="11">
                  <c:v>Salud</c:v>
                </c:pt>
                <c:pt idx="12">
                  <c:v>Tecnología de la Información y las Comunicaciones</c:v>
                </c:pt>
                <c:pt idx="13">
                  <c:v>Indeportes</c:v>
                </c:pt>
                <c:pt idx="14">
                  <c:v>Promotora</c:v>
                </c:pt>
                <c:pt idx="15">
                  <c:v>Instituto Departamental de Transito</c:v>
                </c:pt>
                <c:pt idx="16">
                  <c:v>TOTAL DEPARTAMENTO</c:v>
                </c:pt>
              </c:strCache>
            </c:strRef>
          </c:cat>
          <c:val>
            <c:numRef>
              <c:extLst>
                <c:ext xmlns:c15="http://schemas.microsoft.com/office/drawing/2012/chart" uri="{02D57815-91ED-43cb-92C2-25804820EDAC}">
                  <c15:fullRef>
                    <c15:sqref>'CONSOLIDADO UNIDADES'!$F$3:$F$22</c15:sqref>
                  </c15:fullRef>
                </c:ext>
              </c:extLst>
              <c:f>('CONSOLIDADO UNIDADES'!$F$3:$F$15,'CONSOLIDADO UNIDADES'!$F$17:$F$19,'CONSOLIDADO UNIDADES'!$F$22)</c:f>
              <c:numCache>
                <c:formatCode>0%</c:formatCode>
                <c:ptCount val="17"/>
                <c:pt idx="0">
                  <c:v>0.92147290326949161</c:v>
                </c:pt>
                <c:pt idx="1">
                  <c:v>0.96366562191361571</c:v>
                </c:pt>
                <c:pt idx="2">
                  <c:v>0.78143375747048593</c:v>
                </c:pt>
                <c:pt idx="3">
                  <c:v>0.25074521533160732</c:v>
                </c:pt>
                <c:pt idx="4">
                  <c:v>0.4009010438114019</c:v>
                </c:pt>
                <c:pt idx="5">
                  <c:v>0.85215344146474281</c:v>
                </c:pt>
                <c:pt idx="6">
                  <c:v>0.82352954141855728</c:v>
                </c:pt>
                <c:pt idx="7">
                  <c:v>0.60155701603807477</c:v>
                </c:pt>
                <c:pt idx="8">
                  <c:v>0.99852052330501262</c:v>
                </c:pt>
                <c:pt idx="9">
                  <c:v>0.97745793548076387</c:v>
                </c:pt>
                <c:pt idx="10">
                  <c:v>0.78909873842127687</c:v>
                </c:pt>
                <c:pt idx="11">
                  <c:v>0.92930984606065081</c:v>
                </c:pt>
                <c:pt idx="12">
                  <c:v>0.88386868471571911</c:v>
                </c:pt>
                <c:pt idx="13">
                  <c:v>0.6526147299307089</c:v>
                </c:pt>
                <c:pt idx="14">
                  <c:v>0.90388007007143811</c:v>
                </c:pt>
                <c:pt idx="15">
                  <c:v>0.97737047454858905</c:v>
                </c:pt>
                <c:pt idx="16">
                  <c:v>0.89019788626915997</c:v>
                </c:pt>
              </c:numCache>
            </c:numRef>
          </c:val>
          <c:extLst>
            <c:ext xmlns:c16="http://schemas.microsoft.com/office/drawing/2014/chart" uri="{C3380CC4-5D6E-409C-BE32-E72D297353CC}">
              <c16:uniqueId val="{00000001-FCAC-40E9-A580-28F5882046CC}"/>
            </c:ext>
          </c:extLst>
        </c:ser>
        <c:ser>
          <c:idx val="2"/>
          <c:order val="2"/>
          <c:tx>
            <c:strRef>
              <c:f>'CONSOLIDADO UNIDADES'!$H$2</c:f>
              <c:strCache>
                <c:ptCount val="1"/>
                <c:pt idx="0">
                  <c:v> % RP </c:v>
                </c:pt>
              </c:strCache>
            </c:strRef>
          </c:tx>
          <c:spPr>
            <a:solidFill>
              <a:srgbClr val="FFC000"/>
            </a:solidFill>
            <a:ln>
              <a:noFill/>
            </a:ln>
            <a:effectLst/>
          </c:spPr>
          <c:invertIfNegative val="0"/>
          <c:dLbls>
            <c:dLbl>
              <c:idx val="0"/>
              <c:layout>
                <c:manualLayout>
                  <c:x val="3.3096929178304886E-3"/>
                  <c:y val="-4.20136445099827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AC-40E9-A580-28F5882046CC}"/>
                </c:ext>
              </c:extLst>
            </c:dLbl>
            <c:dLbl>
              <c:idx val="9"/>
              <c:layout>
                <c:manualLayout>
                  <c:x val="3.3096929178304886E-3"/>
                  <c:y val="-3.57115978334854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CAC-40E9-A580-28F5882046CC}"/>
                </c:ext>
              </c:extLst>
            </c:dLbl>
            <c:dLbl>
              <c:idx val="13"/>
              <c:layout>
                <c:manualLayout>
                  <c:x val="6.6193858356610579E-3"/>
                  <c:y val="-3.781228005898458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CAC-40E9-A580-28F5882046CC}"/>
                </c:ext>
              </c:extLst>
            </c:dLbl>
            <c:dLbl>
              <c:idx val="14"/>
              <c:layout>
                <c:manualLayout>
                  <c:x val="1.1032309726101627E-3"/>
                  <c:y val="-3.36109156079863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CAC-40E9-A580-28F5882046CC}"/>
                </c:ext>
              </c:extLst>
            </c:dLbl>
            <c:dLbl>
              <c:idx val="15"/>
              <c:layout>
                <c:manualLayout>
                  <c:x val="1.1032309726101629E-2"/>
                  <c:y val="-4.20136445099827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CAC-40E9-A580-28F5882046C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'CONSOLIDADO UNIDADES'!$B$3:$B$22</c15:sqref>
                  </c15:fullRef>
                </c:ext>
              </c:extLst>
              <c:f>('CONSOLIDADO UNIDADES'!$B$3:$B$15,'CONSOLIDADO UNIDADES'!$B$17:$B$19,'CONSOLIDADO UNIDADES'!$B$22)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Oficina Privada</c:v>
                </c:pt>
                <c:pt idx="9">
                  <c:v>Educación</c:v>
                </c:pt>
                <c:pt idx="10">
                  <c:v>Familia</c:v>
                </c:pt>
                <c:pt idx="11">
                  <c:v>Salud</c:v>
                </c:pt>
                <c:pt idx="12">
                  <c:v>Tecnología de la Información y las Comunicaciones</c:v>
                </c:pt>
                <c:pt idx="13">
                  <c:v>Indeportes</c:v>
                </c:pt>
                <c:pt idx="14">
                  <c:v>Promotora</c:v>
                </c:pt>
                <c:pt idx="15">
                  <c:v>Instituto Departamental de Transito</c:v>
                </c:pt>
                <c:pt idx="16">
                  <c:v>TOTAL DEPARTAMENTO</c:v>
                </c:pt>
              </c:strCache>
            </c:strRef>
          </c:cat>
          <c:val>
            <c:numRef>
              <c:extLst>
                <c:ext xmlns:c15="http://schemas.microsoft.com/office/drawing/2012/chart" uri="{02D57815-91ED-43cb-92C2-25804820EDAC}">
                  <c15:fullRef>
                    <c15:sqref>'CONSOLIDADO UNIDADES'!$H$3:$H$22</c15:sqref>
                  </c15:fullRef>
                </c:ext>
              </c:extLst>
              <c:f>('CONSOLIDADO UNIDADES'!$H$3:$H$15,'CONSOLIDADO UNIDADES'!$H$17:$H$19,'CONSOLIDADO UNIDADES'!$H$22)</c:f>
              <c:numCache>
                <c:formatCode>0%</c:formatCode>
                <c:ptCount val="17"/>
                <c:pt idx="0">
                  <c:v>0.92147290326949161</c:v>
                </c:pt>
                <c:pt idx="1">
                  <c:v>0.96366562191361571</c:v>
                </c:pt>
                <c:pt idx="2">
                  <c:v>0.78143375747048616</c:v>
                </c:pt>
                <c:pt idx="3">
                  <c:v>0.25074521533160732</c:v>
                </c:pt>
                <c:pt idx="4">
                  <c:v>0.4009010438114019</c:v>
                </c:pt>
                <c:pt idx="5">
                  <c:v>0.85215344146474281</c:v>
                </c:pt>
                <c:pt idx="6">
                  <c:v>0.82352954141855728</c:v>
                </c:pt>
                <c:pt idx="7">
                  <c:v>0.60155701603807477</c:v>
                </c:pt>
                <c:pt idx="8">
                  <c:v>0.99852052330501262</c:v>
                </c:pt>
                <c:pt idx="9">
                  <c:v>0.97745793548076387</c:v>
                </c:pt>
                <c:pt idx="10">
                  <c:v>0.78909873842127687</c:v>
                </c:pt>
                <c:pt idx="11">
                  <c:v>0.92930984606104994</c:v>
                </c:pt>
                <c:pt idx="12">
                  <c:v>0.88386868471571911</c:v>
                </c:pt>
                <c:pt idx="13">
                  <c:v>0.6526147299307089</c:v>
                </c:pt>
                <c:pt idx="14">
                  <c:v>0.90388007007143811</c:v>
                </c:pt>
                <c:pt idx="15">
                  <c:v>0.97737047454858905</c:v>
                </c:pt>
                <c:pt idx="16">
                  <c:v>0.89019788626925112</c:v>
                </c:pt>
              </c:numCache>
            </c:numRef>
          </c:val>
          <c:extLst>
            <c:ext xmlns:c15="http://schemas.microsoft.com/office/drawing/2012/chart" uri="{02D57815-91ED-43cb-92C2-25804820EDAC}">
              <c15:categoryFilterExceptions>
                <c15:categoryFilterException>
                  <c15:sqref>'CONSOLIDADO UNIDADES'!$H$20</c15:sqref>
                  <c15:dLbl>
                    <c:idx val="15"/>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0-BC8D-464C-BB82-F559FAED24AD}"/>
                      </c:ext>
                    </c:extLst>
                  </c15:dLbl>
                </c15:categoryFilterException>
              </c15:categoryFilterExceptions>
            </c:ext>
            <c:ext xmlns:c16="http://schemas.microsoft.com/office/drawing/2014/chart" uri="{C3380CC4-5D6E-409C-BE32-E72D297353CC}">
              <c16:uniqueId val="{00000007-FCAC-40E9-A580-28F5882046CC}"/>
            </c:ext>
          </c:extLst>
        </c:ser>
        <c:dLbls>
          <c:dLblPos val="outEnd"/>
          <c:showLegendKey val="0"/>
          <c:showVal val="1"/>
          <c:showCatName val="0"/>
          <c:showSerName val="0"/>
          <c:showPercent val="0"/>
          <c:showBubbleSize val="0"/>
        </c:dLbls>
        <c:gapWidth val="219"/>
        <c:overlap val="-27"/>
        <c:axId val="182058288"/>
        <c:axId val="182058848"/>
      </c:barChart>
      <c:catAx>
        <c:axId val="182058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2058848"/>
        <c:crosses val="autoZero"/>
        <c:auto val="1"/>
        <c:lblAlgn val="ctr"/>
        <c:lblOffset val="100"/>
        <c:noMultiLvlLbl val="0"/>
      </c:catAx>
      <c:valAx>
        <c:axId val="18205884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2058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63</xdr:col>
          <xdr:colOff>1817914</xdr:colOff>
          <xdr:row>304</xdr:row>
          <xdr:rowOff>176893</xdr:rowOff>
        </xdr:from>
        <xdr:to>
          <xdr:col>64</xdr:col>
          <xdr:colOff>193221</xdr:colOff>
          <xdr:row>304</xdr:row>
          <xdr:rowOff>510268</xdr:rowOff>
        </xdr:to>
        <xdr:sp macro="" textlink="">
          <xdr:nvSpPr>
            <xdr:cNvPr id="1032" name="Control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oneCellAnchor>
    <xdr:from>
      <xdr:col>0</xdr:col>
      <xdr:colOff>421822</xdr:colOff>
      <xdr:row>0</xdr:row>
      <xdr:rowOff>0</xdr:rowOff>
    </xdr:from>
    <xdr:ext cx="984249" cy="825500"/>
    <xdr:pic>
      <xdr:nvPicPr>
        <xdr:cNvPr id="3" name="Imagen 2" descr="C:\Users\AUXPLANEACION03\Desktop\Gobernacion_del_quindio.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1822" y="0"/>
          <a:ext cx="984249" cy="82550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9</xdr:col>
      <xdr:colOff>440531</xdr:colOff>
      <xdr:row>0</xdr:row>
      <xdr:rowOff>265509</xdr:rowOff>
    </xdr:from>
    <xdr:to>
      <xdr:col>22</xdr:col>
      <xdr:colOff>714375</xdr:colOff>
      <xdr:row>18</xdr:row>
      <xdr:rowOff>59531</xdr:rowOff>
    </xdr:to>
    <xdr:graphicFrame macro="">
      <xdr:nvGraphicFramePr>
        <xdr:cNvPr id="5" name="Gráfico 4">
          <a:extLst>
            <a:ext uri="{FF2B5EF4-FFF2-40B4-BE49-F238E27FC236}">
              <a16:creationId xmlns:a16="http://schemas.microsoft.com/office/drawing/2014/main" id="{00000000-0008-0000-05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631031</xdr:colOff>
      <xdr:row>20</xdr:row>
      <xdr:rowOff>3570</xdr:rowOff>
    </xdr:from>
    <xdr:to>
      <xdr:col>22</xdr:col>
      <xdr:colOff>726281</xdr:colOff>
      <xdr:row>33</xdr:row>
      <xdr:rowOff>71436</xdr:rowOff>
    </xdr:to>
    <xdr:graphicFrame macro="">
      <xdr:nvGraphicFramePr>
        <xdr:cNvPr id="6" name="Gráfico 5">
          <a:extLst>
            <a:ext uri="{FF2B5EF4-FFF2-40B4-BE49-F238E27FC236}">
              <a16:creationId xmlns:a16="http://schemas.microsoft.com/office/drawing/2014/main" id="{00000000-0008-0000-0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750092</xdr:colOff>
      <xdr:row>37</xdr:row>
      <xdr:rowOff>27384</xdr:rowOff>
    </xdr:from>
    <xdr:to>
      <xdr:col>24</xdr:col>
      <xdr:colOff>83344</xdr:colOff>
      <xdr:row>58</xdr:row>
      <xdr:rowOff>107156</xdr:rowOff>
    </xdr:to>
    <xdr:graphicFrame macro="">
      <xdr:nvGraphicFramePr>
        <xdr:cNvPr id="7" name="Gráfico 6">
          <a:extLst>
            <a:ext uri="{FF2B5EF4-FFF2-40B4-BE49-F238E27FC236}">
              <a16:creationId xmlns:a16="http://schemas.microsoft.com/office/drawing/2014/main" id="{00000000-0008-0000-05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276225</xdr:colOff>
      <xdr:row>23</xdr:row>
      <xdr:rowOff>4158</xdr:rowOff>
    </xdr:from>
    <xdr:to>
      <xdr:col>13</xdr:col>
      <xdr:colOff>1224642</xdr:colOff>
      <xdr:row>39</xdr:row>
      <xdr:rowOff>95252</xdr:rowOff>
    </xdr:to>
    <xdr:graphicFrame macro="">
      <xdr:nvGraphicFramePr>
        <xdr:cNvPr id="2" name="Gráfico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326571</xdr:colOff>
      <xdr:row>41</xdr:row>
      <xdr:rowOff>159202</xdr:rowOff>
    </xdr:from>
    <xdr:to>
      <xdr:col>13</xdr:col>
      <xdr:colOff>1455964</xdr:colOff>
      <xdr:row>57</xdr:row>
      <xdr:rowOff>27214</xdr:rowOff>
    </xdr:to>
    <xdr:graphicFrame macro="">
      <xdr:nvGraphicFramePr>
        <xdr:cNvPr id="4" name="Gráfico 3">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340179</xdr:colOff>
      <xdr:row>59</xdr:row>
      <xdr:rowOff>145596</xdr:rowOff>
    </xdr:from>
    <xdr:to>
      <xdr:col>14</xdr:col>
      <xdr:colOff>40821</xdr:colOff>
      <xdr:row>79</xdr:row>
      <xdr:rowOff>40822</xdr:rowOff>
    </xdr:to>
    <xdr:graphicFrame macro="">
      <xdr:nvGraphicFramePr>
        <xdr:cNvPr id="5" name="Gráfico 4">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54429</xdr:colOff>
      <xdr:row>0</xdr:row>
      <xdr:rowOff>853166</xdr:rowOff>
    </xdr:from>
    <xdr:to>
      <xdr:col>32</xdr:col>
      <xdr:colOff>353785</xdr:colOff>
      <xdr:row>29</xdr:row>
      <xdr:rowOff>81643</xdr:rowOff>
    </xdr:to>
    <xdr:graphicFrame macro="">
      <xdr:nvGraphicFramePr>
        <xdr:cNvPr id="6" name="Gráfico 5">
          <a:extLst>
            <a:ext uri="{FF2B5EF4-FFF2-40B4-BE49-F238E27FC236}">
              <a16:creationId xmlns:a16="http://schemas.microsoft.com/office/drawing/2014/main" id="{00000000-0008-0000-07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obernaci&#243;n%202021/SGTO%20PDD%202021/SGTO%20DIC%202021%20TRABAJO/ejecucion%202021%20indeport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uperado_Hoja1"/>
    </sheetNames>
    <sheetDataSet>
      <sheetData sheetId="0">
        <row r="204">
          <cell r="J204">
            <v>517196936.83999997</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DF316"/>
  <sheetViews>
    <sheetView showGridLines="0" zoomScale="70" zoomScaleNormal="70" workbookViewId="0"/>
  </sheetViews>
  <sheetFormatPr baseColWidth="10" defaultColWidth="11.42578125" defaultRowHeight="15" x14ac:dyDescent="0.2"/>
  <cols>
    <col min="1" max="1" width="11.42578125" style="10" customWidth="1"/>
    <col min="2" max="2" width="24.5703125" style="1" customWidth="1"/>
    <col min="3" max="3" width="10.7109375" style="8" customWidth="1"/>
    <col min="4" max="4" width="20.28515625" style="8" customWidth="1"/>
    <col min="5" max="5" width="10.85546875" style="8" customWidth="1"/>
    <col min="6" max="6" width="17.85546875" style="8" customWidth="1"/>
    <col min="7" max="7" width="11.5703125" style="9" customWidth="1"/>
    <col min="8" max="8" width="39" style="10" customWidth="1"/>
    <col min="9" max="9" width="16.85546875" style="10" customWidth="1"/>
    <col min="10" max="10" width="37.140625" style="10" customWidth="1"/>
    <col min="11" max="11" width="44" style="11" customWidth="1"/>
    <col min="12" max="12" width="15.7109375" style="11" customWidth="1"/>
    <col min="13" max="13" width="18.5703125" style="11" customWidth="1"/>
    <col min="14" max="14" width="13.28515625" style="9" customWidth="1"/>
    <col min="15" max="15" width="23.28515625" style="11" customWidth="1"/>
    <col min="16" max="16" width="16.28515625" style="11" customWidth="1"/>
    <col min="17" max="17" width="26" style="13" customWidth="1"/>
    <col min="18" max="18" width="13.42578125" style="12" customWidth="1"/>
    <col min="19" max="19" width="27.140625" style="13" customWidth="1"/>
    <col min="20" max="20" width="18.7109375" style="10" customWidth="1"/>
    <col min="21" max="21" width="12.42578125" style="12" customWidth="1"/>
    <col min="22" max="22" width="11.85546875" style="12" customWidth="1"/>
    <col min="23" max="23" width="24.140625" style="389" customWidth="1"/>
    <col min="24" max="24" width="37.7109375" style="13" customWidth="1"/>
    <col min="25" max="25" width="64.140625" style="13" customWidth="1"/>
    <col min="26" max="26" width="31.7109375" style="1" customWidth="1"/>
    <col min="27" max="28" width="28.85546875" style="1" customWidth="1"/>
    <col min="29" max="31" width="27.7109375" style="1" customWidth="1"/>
    <col min="32" max="34" width="24.42578125" style="1" customWidth="1"/>
    <col min="35" max="37" width="28.28515625" style="1" customWidth="1"/>
    <col min="38" max="40" width="29.140625" style="1" customWidth="1"/>
    <col min="41" max="42" width="30.7109375" style="1" customWidth="1"/>
    <col min="43" max="43" width="30.140625" style="1" customWidth="1"/>
    <col min="44" max="44" width="24.85546875" style="2" customWidth="1"/>
    <col min="45" max="45" width="24.28515625" style="2" customWidth="1"/>
    <col min="46" max="46" width="26" style="2" customWidth="1"/>
    <col min="47" max="47" width="24.85546875" style="2" customWidth="1"/>
    <col min="48" max="48" width="24.28515625" style="2" customWidth="1"/>
    <col min="49" max="49" width="22" style="2" customWidth="1"/>
    <col min="50" max="50" width="24.85546875" style="1" customWidth="1"/>
    <col min="51" max="51" width="24.28515625" style="1" customWidth="1"/>
    <col min="52" max="52" width="22" style="1" customWidth="1"/>
    <col min="53" max="53" width="24.85546875" style="1" customWidth="1"/>
    <col min="54" max="54" width="24.28515625" style="1" customWidth="1"/>
    <col min="55" max="55" width="22" style="1" customWidth="1"/>
    <col min="56" max="56" width="24.85546875" style="15" customWidth="1"/>
    <col min="57" max="58" width="29.7109375" style="15" customWidth="1"/>
    <col min="59" max="61" width="28.7109375" style="1" customWidth="1"/>
    <col min="62" max="67" width="28.42578125" style="1" customWidth="1"/>
    <col min="68" max="70" width="24.7109375" style="2" customWidth="1"/>
    <col min="71" max="71" width="43.42578125" style="40" customWidth="1"/>
    <col min="72" max="72" width="23.42578125" style="2" customWidth="1"/>
    <col min="73" max="73" width="25.140625" style="2" customWidth="1"/>
    <col min="74" max="110" width="11.42578125" style="2"/>
    <col min="111" max="16384" width="11.42578125" style="1"/>
  </cols>
  <sheetData>
    <row r="1" spans="1:110" ht="24" customHeight="1" x14ac:dyDescent="0.2">
      <c r="C1" s="560" t="s">
        <v>1642</v>
      </c>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c r="AL1" s="561"/>
      <c r="AM1" s="561"/>
      <c r="AN1" s="561"/>
      <c r="AO1" s="561"/>
      <c r="AP1" s="561"/>
      <c r="AQ1" s="561"/>
      <c r="AR1" s="561"/>
      <c r="AS1" s="561"/>
      <c r="AT1" s="561"/>
      <c r="AU1" s="561"/>
      <c r="AV1" s="561"/>
      <c r="AW1" s="561"/>
      <c r="AX1" s="561"/>
      <c r="AY1" s="561"/>
      <c r="AZ1" s="561"/>
      <c r="BA1" s="561"/>
      <c r="BB1" s="561"/>
      <c r="BC1" s="561"/>
      <c r="BD1" s="561"/>
      <c r="BE1" s="561"/>
      <c r="BF1" s="561"/>
      <c r="BG1" s="561"/>
      <c r="BH1" s="561"/>
      <c r="BI1" s="561"/>
      <c r="BJ1" s="561"/>
      <c r="BK1" s="561"/>
      <c r="BL1" s="561"/>
      <c r="BM1" s="561"/>
      <c r="BN1" s="561"/>
      <c r="BO1" s="561"/>
      <c r="BP1" s="561"/>
      <c r="BQ1" s="562"/>
      <c r="BR1" s="243" t="s">
        <v>0</v>
      </c>
      <c r="BS1" s="262" t="s">
        <v>1493</v>
      </c>
    </row>
    <row r="2" spans="1:110" ht="17.25" customHeight="1" x14ac:dyDescent="0.2">
      <c r="C2" s="563" t="s">
        <v>1686</v>
      </c>
      <c r="D2" s="565"/>
      <c r="E2" s="565"/>
      <c r="F2" s="565"/>
      <c r="G2" s="565"/>
      <c r="H2" s="565"/>
      <c r="I2" s="565"/>
      <c r="J2" s="565"/>
      <c r="K2" s="565"/>
      <c r="L2" s="565"/>
      <c r="M2" s="565"/>
      <c r="N2" s="565"/>
      <c r="O2" s="565"/>
      <c r="P2" s="565"/>
      <c r="Q2" s="565"/>
      <c r="R2" s="565"/>
      <c r="S2" s="565"/>
      <c r="T2" s="565"/>
      <c r="U2" s="565"/>
      <c r="V2" s="565"/>
      <c r="W2" s="565"/>
      <c r="X2" s="565"/>
      <c r="Y2" s="565"/>
      <c r="Z2" s="565"/>
      <c r="AA2" s="565"/>
      <c r="AB2" s="565"/>
      <c r="AC2" s="565"/>
      <c r="AD2" s="565"/>
      <c r="AE2" s="565"/>
      <c r="AF2" s="565"/>
      <c r="AG2" s="565"/>
      <c r="AH2" s="565"/>
      <c r="AI2" s="565"/>
      <c r="AJ2" s="565"/>
      <c r="AK2" s="565"/>
      <c r="AL2" s="565"/>
      <c r="AM2" s="565"/>
      <c r="AN2" s="565"/>
      <c r="AO2" s="565"/>
      <c r="AP2" s="565"/>
      <c r="AQ2" s="565"/>
      <c r="AR2" s="565"/>
      <c r="AS2" s="565"/>
      <c r="AT2" s="565"/>
      <c r="AU2" s="565"/>
      <c r="AV2" s="565"/>
      <c r="AW2" s="565"/>
      <c r="AX2" s="565"/>
      <c r="AY2" s="565"/>
      <c r="AZ2" s="565"/>
      <c r="BA2" s="565"/>
      <c r="BB2" s="565"/>
      <c r="BC2" s="565"/>
      <c r="BD2" s="565"/>
      <c r="BE2" s="565"/>
      <c r="BF2" s="565"/>
      <c r="BG2" s="565"/>
      <c r="BH2" s="565"/>
      <c r="BI2" s="565"/>
      <c r="BJ2" s="565"/>
      <c r="BK2" s="565"/>
      <c r="BL2" s="565"/>
      <c r="BM2" s="565"/>
      <c r="BN2" s="565"/>
      <c r="BO2" s="565"/>
      <c r="BP2" s="565"/>
      <c r="BQ2" s="565"/>
      <c r="BR2" s="244" t="s">
        <v>1</v>
      </c>
      <c r="BS2" s="263">
        <v>3</v>
      </c>
    </row>
    <row r="3" spans="1:110" ht="17.25" customHeight="1" x14ac:dyDescent="0.2">
      <c r="C3" s="563" t="s">
        <v>1643</v>
      </c>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c r="AH3" s="564"/>
      <c r="AI3" s="564"/>
      <c r="AJ3" s="564"/>
      <c r="AK3" s="564"/>
      <c r="AL3" s="564"/>
      <c r="AM3" s="564"/>
      <c r="AN3" s="564"/>
      <c r="AO3" s="564"/>
      <c r="AP3" s="564"/>
      <c r="AQ3" s="564"/>
      <c r="AR3" s="564"/>
      <c r="AS3" s="564"/>
      <c r="AT3" s="564"/>
      <c r="AU3" s="564"/>
      <c r="AV3" s="564"/>
      <c r="AW3" s="564"/>
      <c r="AX3" s="564"/>
      <c r="AY3" s="564"/>
      <c r="AZ3" s="564"/>
      <c r="BA3" s="564"/>
      <c r="BB3" s="564"/>
      <c r="BC3" s="564"/>
      <c r="BD3" s="564"/>
      <c r="BE3" s="564"/>
      <c r="BF3" s="564"/>
      <c r="BG3" s="564"/>
      <c r="BH3" s="564"/>
      <c r="BI3" s="564"/>
      <c r="BJ3" s="564"/>
      <c r="BK3" s="564"/>
      <c r="BL3" s="564"/>
      <c r="BM3" s="564"/>
      <c r="BN3" s="564"/>
      <c r="BO3" s="564"/>
      <c r="BP3" s="564"/>
      <c r="BQ3" s="564"/>
      <c r="BR3" s="243" t="s">
        <v>2</v>
      </c>
      <c r="BS3" s="264">
        <v>44469</v>
      </c>
    </row>
    <row r="4" spans="1:110" ht="17.25" customHeight="1" x14ac:dyDescent="0.2">
      <c r="C4" s="563" t="s">
        <v>1687</v>
      </c>
      <c r="D4" s="564"/>
      <c r="E4" s="564"/>
      <c r="F4" s="564"/>
      <c r="G4" s="564"/>
      <c r="H4" s="564"/>
      <c r="I4" s="564"/>
      <c r="J4" s="564"/>
      <c r="K4" s="564"/>
      <c r="L4" s="564"/>
      <c r="M4" s="564"/>
      <c r="N4" s="564"/>
      <c r="O4" s="564"/>
      <c r="P4" s="564"/>
      <c r="Q4" s="564"/>
      <c r="R4" s="564"/>
      <c r="S4" s="564"/>
      <c r="T4" s="564"/>
      <c r="U4" s="564"/>
      <c r="V4" s="564"/>
      <c r="W4" s="564"/>
      <c r="X4" s="564"/>
      <c r="Y4" s="564"/>
      <c r="Z4" s="564"/>
      <c r="AA4" s="564"/>
      <c r="AB4" s="564"/>
      <c r="AC4" s="564"/>
      <c r="AD4" s="564"/>
      <c r="AE4" s="564"/>
      <c r="AF4" s="564"/>
      <c r="AG4" s="564"/>
      <c r="AH4" s="564"/>
      <c r="AI4" s="564"/>
      <c r="AJ4" s="564"/>
      <c r="AK4" s="564"/>
      <c r="AL4" s="564"/>
      <c r="AM4" s="564"/>
      <c r="AN4" s="564"/>
      <c r="AO4" s="564"/>
      <c r="AP4" s="564"/>
      <c r="AQ4" s="564"/>
      <c r="AR4" s="564"/>
      <c r="AS4" s="564"/>
      <c r="AT4" s="564"/>
      <c r="AU4" s="564"/>
      <c r="AV4" s="564"/>
      <c r="AW4" s="564"/>
      <c r="AX4" s="564"/>
      <c r="AY4" s="564"/>
      <c r="AZ4" s="564"/>
      <c r="BA4" s="564"/>
      <c r="BB4" s="564"/>
      <c r="BC4" s="564"/>
      <c r="BD4" s="564"/>
      <c r="BE4" s="564"/>
      <c r="BF4" s="564"/>
      <c r="BG4" s="564"/>
      <c r="BH4" s="564"/>
      <c r="BI4" s="564"/>
      <c r="BJ4" s="564"/>
      <c r="BK4" s="564"/>
      <c r="BL4" s="564"/>
      <c r="BM4" s="564"/>
      <c r="BN4" s="564"/>
      <c r="BO4" s="564"/>
      <c r="BP4" s="564"/>
      <c r="BQ4" s="564"/>
      <c r="BR4" s="243" t="s">
        <v>3</v>
      </c>
      <c r="BS4" s="265" t="s">
        <v>1494</v>
      </c>
    </row>
    <row r="5" spans="1:110" s="4" customFormat="1" ht="24.75" customHeight="1" x14ac:dyDescent="0.25">
      <c r="A5" s="583" t="s">
        <v>4</v>
      </c>
      <c r="B5" s="584"/>
      <c r="C5" s="587" t="s">
        <v>5</v>
      </c>
      <c r="D5" s="587"/>
      <c r="E5" s="587" t="s">
        <v>6</v>
      </c>
      <c r="F5" s="587"/>
      <c r="G5" s="577" t="s">
        <v>7</v>
      </c>
      <c r="H5" s="578"/>
      <c r="I5" s="578"/>
      <c r="J5" s="578"/>
      <c r="K5" s="579"/>
      <c r="L5" s="587" t="s">
        <v>9</v>
      </c>
      <c r="M5" s="587"/>
      <c r="N5" s="587"/>
      <c r="O5" s="577"/>
      <c r="P5" s="587" t="s">
        <v>10</v>
      </c>
      <c r="Q5" s="587"/>
      <c r="R5" s="587"/>
      <c r="S5" s="577"/>
      <c r="T5" s="577" t="s">
        <v>1637</v>
      </c>
      <c r="U5" s="578"/>
      <c r="V5" s="579"/>
      <c r="W5" s="587" t="s">
        <v>11</v>
      </c>
      <c r="X5" s="587"/>
      <c r="Y5" s="587"/>
      <c r="Z5" s="580" t="s">
        <v>1639</v>
      </c>
      <c r="AA5" s="581"/>
      <c r="AB5" s="581"/>
      <c r="AC5" s="581"/>
      <c r="AD5" s="581"/>
      <c r="AE5" s="581"/>
      <c r="AF5" s="581"/>
      <c r="AG5" s="581"/>
      <c r="AH5" s="581"/>
      <c r="AI5" s="581"/>
      <c r="AJ5" s="581"/>
      <c r="AK5" s="581"/>
      <c r="AL5" s="581"/>
      <c r="AM5" s="581"/>
      <c r="AN5" s="581"/>
      <c r="AO5" s="581"/>
      <c r="AP5" s="581"/>
      <c r="AQ5" s="581"/>
      <c r="AR5" s="581"/>
      <c r="AS5" s="581"/>
      <c r="AT5" s="581"/>
      <c r="AU5" s="581"/>
      <c r="AV5" s="581"/>
      <c r="AW5" s="581"/>
      <c r="AX5" s="581"/>
      <c r="AY5" s="581"/>
      <c r="AZ5" s="581"/>
      <c r="BA5" s="581"/>
      <c r="BB5" s="581"/>
      <c r="BC5" s="581"/>
      <c r="BD5" s="581"/>
      <c r="BE5" s="581"/>
      <c r="BF5" s="581"/>
      <c r="BG5" s="581"/>
      <c r="BH5" s="581"/>
      <c r="BI5" s="581"/>
      <c r="BJ5" s="581"/>
      <c r="BK5" s="581"/>
      <c r="BL5" s="581"/>
      <c r="BM5" s="581"/>
      <c r="BN5" s="581"/>
      <c r="BO5" s="582"/>
      <c r="BP5" s="240"/>
      <c r="BQ5" s="241"/>
      <c r="BR5" s="242"/>
      <c r="BS5" s="242"/>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row>
    <row r="6" spans="1:110" s="4" customFormat="1" ht="58.5" customHeight="1" x14ac:dyDescent="0.25">
      <c r="A6" s="573" t="s">
        <v>14</v>
      </c>
      <c r="B6" s="573" t="s">
        <v>15</v>
      </c>
      <c r="C6" s="571" t="s">
        <v>14</v>
      </c>
      <c r="D6" s="571" t="s">
        <v>15</v>
      </c>
      <c r="E6" s="585" t="s">
        <v>14</v>
      </c>
      <c r="F6" s="585" t="s">
        <v>15</v>
      </c>
      <c r="G6" s="571" t="s">
        <v>1633</v>
      </c>
      <c r="H6" s="571" t="s">
        <v>1634</v>
      </c>
      <c r="I6" s="571" t="s">
        <v>1635</v>
      </c>
      <c r="J6" s="571" t="s">
        <v>1636</v>
      </c>
      <c r="K6" s="569" t="s">
        <v>8</v>
      </c>
      <c r="L6" s="571" t="s">
        <v>16</v>
      </c>
      <c r="M6" s="571" t="s">
        <v>17</v>
      </c>
      <c r="N6" s="571" t="s">
        <v>18</v>
      </c>
      <c r="O6" s="571" t="s">
        <v>19</v>
      </c>
      <c r="P6" s="569" t="s">
        <v>16</v>
      </c>
      <c r="Q6" s="569" t="s">
        <v>20</v>
      </c>
      <c r="R6" s="569" t="s">
        <v>21</v>
      </c>
      <c r="S6" s="569" t="s">
        <v>22</v>
      </c>
      <c r="T6" s="571" t="s">
        <v>1672</v>
      </c>
      <c r="U6" s="571" t="s">
        <v>1638</v>
      </c>
      <c r="V6" s="571" t="s">
        <v>1676</v>
      </c>
      <c r="W6" s="573" t="s">
        <v>23</v>
      </c>
      <c r="X6" s="574" t="s">
        <v>24</v>
      </c>
      <c r="Y6" s="574" t="s">
        <v>25</v>
      </c>
      <c r="Z6" s="566" t="s">
        <v>1664</v>
      </c>
      <c r="AA6" s="567"/>
      <c r="AB6" s="568"/>
      <c r="AC6" s="566" t="s">
        <v>26</v>
      </c>
      <c r="AD6" s="567"/>
      <c r="AE6" s="568"/>
      <c r="AF6" s="566" t="s">
        <v>27</v>
      </c>
      <c r="AG6" s="567"/>
      <c r="AH6" s="568"/>
      <c r="AI6" s="566" t="s">
        <v>28</v>
      </c>
      <c r="AJ6" s="567"/>
      <c r="AK6" s="568"/>
      <c r="AL6" s="566" t="s">
        <v>29</v>
      </c>
      <c r="AM6" s="567"/>
      <c r="AN6" s="568"/>
      <c r="AO6" s="566" t="s">
        <v>1667</v>
      </c>
      <c r="AP6" s="567"/>
      <c r="AQ6" s="568"/>
      <c r="AR6" s="566" t="s">
        <v>1669</v>
      </c>
      <c r="AS6" s="567"/>
      <c r="AT6" s="568"/>
      <c r="AU6" s="566" t="s">
        <v>30</v>
      </c>
      <c r="AV6" s="567"/>
      <c r="AW6" s="568"/>
      <c r="AX6" s="566" t="s">
        <v>31</v>
      </c>
      <c r="AY6" s="567"/>
      <c r="AZ6" s="568"/>
      <c r="BA6" s="566" t="s">
        <v>32</v>
      </c>
      <c r="BB6" s="567"/>
      <c r="BC6" s="568"/>
      <c r="BD6" s="566" t="s">
        <v>33</v>
      </c>
      <c r="BE6" s="567"/>
      <c r="BF6" s="568"/>
      <c r="BG6" s="566" t="s">
        <v>34</v>
      </c>
      <c r="BH6" s="567"/>
      <c r="BI6" s="568"/>
      <c r="BJ6" s="566" t="s">
        <v>35</v>
      </c>
      <c r="BK6" s="567"/>
      <c r="BL6" s="568"/>
      <c r="BM6" s="566" t="s">
        <v>1553</v>
      </c>
      <c r="BN6" s="567"/>
      <c r="BO6" s="568"/>
      <c r="BP6" s="566" t="s">
        <v>1640</v>
      </c>
      <c r="BQ6" s="567"/>
      <c r="BR6" s="568"/>
      <c r="BS6" s="575" t="s">
        <v>13</v>
      </c>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row>
    <row r="7" spans="1:110" s="77" customFormat="1" ht="24" customHeight="1" x14ac:dyDescent="0.25">
      <c r="A7" s="573"/>
      <c r="B7" s="573"/>
      <c r="C7" s="572"/>
      <c r="D7" s="572"/>
      <c r="E7" s="586"/>
      <c r="F7" s="586"/>
      <c r="G7" s="572"/>
      <c r="H7" s="572"/>
      <c r="I7" s="572"/>
      <c r="J7" s="572"/>
      <c r="K7" s="570"/>
      <c r="L7" s="572"/>
      <c r="M7" s="572"/>
      <c r="N7" s="572"/>
      <c r="O7" s="572"/>
      <c r="P7" s="570"/>
      <c r="Q7" s="570"/>
      <c r="R7" s="570"/>
      <c r="S7" s="570"/>
      <c r="T7" s="572"/>
      <c r="U7" s="572"/>
      <c r="V7" s="572"/>
      <c r="W7" s="573"/>
      <c r="X7" s="574"/>
      <c r="Y7" s="574"/>
      <c r="Z7" s="261" t="s">
        <v>1641</v>
      </c>
      <c r="AA7" s="261" t="s">
        <v>1490</v>
      </c>
      <c r="AB7" s="261" t="s">
        <v>1491</v>
      </c>
      <c r="AC7" s="261" t="s">
        <v>1641</v>
      </c>
      <c r="AD7" s="261" t="s">
        <v>1490</v>
      </c>
      <c r="AE7" s="261" t="s">
        <v>1491</v>
      </c>
      <c r="AF7" s="261" t="s">
        <v>1641</v>
      </c>
      <c r="AG7" s="261" t="s">
        <v>1490</v>
      </c>
      <c r="AH7" s="261" t="s">
        <v>1491</v>
      </c>
      <c r="AI7" s="261" t="s">
        <v>1641</v>
      </c>
      <c r="AJ7" s="261" t="s">
        <v>1495</v>
      </c>
      <c r="AK7" s="261" t="s">
        <v>1496</v>
      </c>
      <c r="AL7" s="261" t="s">
        <v>1641</v>
      </c>
      <c r="AM7" s="261" t="s">
        <v>1495</v>
      </c>
      <c r="AN7" s="261" t="s">
        <v>1496</v>
      </c>
      <c r="AO7" s="261" t="s">
        <v>1641</v>
      </c>
      <c r="AP7" s="261" t="s">
        <v>1495</v>
      </c>
      <c r="AQ7" s="261" t="s">
        <v>1496</v>
      </c>
      <c r="AR7" s="261" t="s">
        <v>1641</v>
      </c>
      <c r="AS7" s="261" t="s">
        <v>1495</v>
      </c>
      <c r="AT7" s="261" t="s">
        <v>1496</v>
      </c>
      <c r="AU7" s="261" t="s">
        <v>1641</v>
      </c>
      <c r="AV7" s="261" t="s">
        <v>1495</v>
      </c>
      <c r="AW7" s="261" t="s">
        <v>1496</v>
      </c>
      <c r="AX7" s="261" t="s">
        <v>1641</v>
      </c>
      <c r="AY7" s="261" t="s">
        <v>1495</v>
      </c>
      <c r="AZ7" s="261" t="s">
        <v>1496</v>
      </c>
      <c r="BA7" s="261" t="s">
        <v>1641</v>
      </c>
      <c r="BB7" s="261" t="s">
        <v>1495</v>
      </c>
      <c r="BC7" s="261" t="s">
        <v>1496</v>
      </c>
      <c r="BD7" s="261" t="s">
        <v>1641</v>
      </c>
      <c r="BE7" s="261" t="s">
        <v>1495</v>
      </c>
      <c r="BF7" s="261" t="s">
        <v>1496</v>
      </c>
      <c r="BG7" s="261" t="s">
        <v>1641</v>
      </c>
      <c r="BH7" s="261" t="s">
        <v>1495</v>
      </c>
      <c r="BI7" s="261" t="s">
        <v>1496</v>
      </c>
      <c r="BJ7" s="261" t="s">
        <v>1641</v>
      </c>
      <c r="BK7" s="261" t="s">
        <v>1495</v>
      </c>
      <c r="BL7" s="261" t="s">
        <v>1496</v>
      </c>
      <c r="BM7" s="261" t="s">
        <v>1641</v>
      </c>
      <c r="BN7" s="261" t="s">
        <v>1495</v>
      </c>
      <c r="BO7" s="261" t="s">
        <v>1496</v>
      </c>
      <c r="BP7" s="261" t="s">
        <v>1641</v>
      </c>
      <c r="BQ7" s="261" t="s">
        <v>1495</v>
      </c>
      <c r="BR7" s="261" t="s">
        <v>1496</v>
      </c>
      <c r="BS7" s="576"/>
    </row>
    <row r="8" spans="1:110" s="27" customFormat="1" ht="165.75" customHeight="1" x14ac:dyDescent="0.2">
      <c r="A8" s="217">
        <v>304</v>
      </c>
      <c r="B8" s="287" t="s">
        <v>1611</v>
      </c>
      <c r="C8" s="213">
        <v>4</v>
      </c>
      <c r="D8" s="287" t="s">
        <v>1612</v>
      </c>
      <c r="E8" s="213">
        <v>45</v>
      </c>
      <c r="F8" s="216" t="s">
        <v>38</v>
      </c>
      <c r="G8" s="213" t="s">
        <v>41</v>
      </c>
      <c r="H8" s="216" t="s">
        <v>1570</v>
      </c>
      <c r="I8" s="213">
        <v>4599</v>
      </c>
      <c r="J8" s="216" t="s">
        <v>1571</v>
      </c>
      <c r="K8" s="216" t="s">
        <v>40</v>
      </c>
      <c r="L8" s="213" t="s">
        <v>41</v>
      </c>
      <c r="M8" s="216" t="s">
        <v>42</v>
      </c>
      <c r="N8" s="213">
        <v>4599023</v>
      </c>
      <c r="O8" s="216" t="s">
        <v>43</v>
      </c>
      <c r="P8" s="213" t="s">
        <v>41</v>
      </c>
      <c r="Q8" s="216" t="s">
        <v>44</v>
      </c>
      <c r="R8" s="213">
        <v>459902300</v>
      </c>
      <c r="S8" s="216" t="s">
        <v>45</v>
      </c>
      <c r="T8" s="236" t="s">
        <v>1671</v>
      </c>
      <c r="U8" s="288">
        <v>5</v>
      </c>
      <c r="V8" s="288">
        <v>5</v>
      </c>
      <c r="W8" s="236" t="s">
        <v>46</v>
      </c>
      <c r="X8" s="216" t="s">
        <v>47</v>
      </c>
      <c r="Y8" s="216" t="s">
        <v>48</v>
      </c>
      <c r="Z8" s="289"/>
      <c r="AA8" s="289"/>
      <c r="AB8" s="289"/>
      <c r="AC8" s="289"/>
      <c r="AD8" s="289"/>
      <c r="AE8" s="289"/>
      <c r="AF8" s="289"/>
      <c r="AG8" s="289"/>
      <c r="AH8" s="289"/>
      <c r="AI8" s="289"/>
      <c r="AJ8" s="289"/>
      <c r="AK8" s="289"/>
      <c r="AL8" s="289"/>
      <c r="AM8" s="289"/>
      <c r="AN8" s="289"/>
      <c r="AO8" s="289"/>
      <c r="AP8" s="289"/>
      <c r="AQ8" s="289"/>
      <c r="AR8" s="289"/>
      <c r="AS8" s="289"/>
      <c r="AT8" s="289"/>
      <c r="AU8" s="289"/>
      <c r="AV8" s="289"/>
      <c r="AW8" s="289"/>
      <c r="AX8" s="289"/>
      <c r="AY8" s="289"/>
      <c r="AZ8" s="289"/>
      <c r="BA8" s="289"/>
      <c r="BB8" s="289"/>
      <c r="BC8" s="289"/>
      <c r="BD8" s="266">
        <f>36000000+5000000+138885000</f>
        <v>179885000</v>
      </c>
      <c r="BE8" s="290">
        <v>167290817</v>
      </c>
      <c r="BF8" s="290">
        <v>167290817</v>
      </c>
      <c r="BG8" s="289"/>
      <c r="BH8" s="289"/>
      <c r="BI8" s="289"/>
      <c r="BJ8" s="289"/>
      <c r="BK8" s="289"/>
      <c r="BL8" s="289"/>
      <c r="BM8" s="289"/>
      <c r="BN8" s="289"/>
      <c r="BO8" s="289"/>
      <c r="BP8" s="273">
        <f t="shared" ref="BP8:BR10" si="0">+Z8+AC8+AF8+AI8+AL8+AO8+AR8+AU8+AX8+BA8+BD8+BG8+BJ8</f>
        <v>179885000</v>
      </c>
      <c r="BQ8" s="273">
        <f t="shared" si="0"/>
        <v>167290817</v>
      </c>
      <c r="BR8" s="273">
        <f t="shared" si="0"/>
        <v>167290817</v>
      </c>
      <c r="BS8" s="245" t="s">
        <v>1644</v>
      </c>
      <c r="BT8" s="233"/>
    </row>
    <row r="9" spans="1:110" s="27" customFormat="1" ht="158.25" customHeight="1" x14ac:dyDescent="0.2">
      <c r="A9" s="217">
        <v>304</v>
      </c>
      <c r="B9" s="287" t="s">
        <v>1611</v>
      </c>
      <c r="C9" s="213">
        <v>4</v>
      </c>
      <c r="D9" s="216" t="s">
        <v>1612</v>
      </c>
      <c r="E9" s="213">
        <v>45</v>
      </c>
      <c r="F9" s="216" t="s">
        <v>38</v>
      </c>
      <c r="G9" s="213" t="s">
        <v>41</v>
      </c>
      <c r="H9" s="216" t="s">
        <v>1570</v>
      </c>
      <c r="I9" s="213">
        <v>4599</v>
      </c>
      <c r="J9" s="216" t="s">
        <v>1571</v>
      </c>
      <c r="K9" s="216" t="s">
        <v>40</v>
      </c>
      <c r="L9" s="213" t="s">
        <v>41</v>
      </c>
      <c r="M9" s="216" t="s">
        <v>49</v>
      </c>
      <c r="N9" s="213">
        <v>4599002</v>
      </c>
      <c r="O9" s="216" t="s">
        <v>50</v>
      </c>
      <c r="P9" s="213" t="s">
        <v>41</v>
      </c>
      <c r="Q9" s="216" t="s">
        <v>51</v>
      </c>
      <c r="R9" s="213">
        <v>459900200</v>
      </c>
      <c r="S9" s="216" t="s">
        <v>1470</v>
      </c>
      <c r="T9" s="236" t="s">
        <v>1671</v>
      </c>
      <c r="U9" s="288">
        <v>4</v>
      </c>
      <c r="V9" s="288">
        <v>4</v>
      </c>
      <c r="W9" s="236" t="s">
        <v>52</v>
      </c>
      <c r="X9" s="216" t="s">
        <v>53</v>
      </c>
      <c r="Y9" s="216" t="s">
        <v>54</v>
      </c>
      <c r="Z9" s="289"/>
      <c r="AA9" s="289"/>
      <c r="AB9" s="289"/>
      <c r="AC9" s="289"/>
      <c r="AD9" s="289"/>
      <c r="AE9" s="289"/>
      <c r="AF9" s="289"/>
      <c r="AG9" s="289"/>
      <c r="AH9" s="289"/>
      <c r="AI9" s="289"/>
      <c r="AJ9" s="289"/>
      <c r="AK9" s="289"/>
      <c r="AL9" s="289"/>
      <c r="AM9" s="289"/>
      <c r="AN9" s="289"/>
      <c r="AO9" s="289"/>
      <c r="AP9" s="289"/>
      <c r="AQ9" s="289"/>
      <c r="AR9" s="289"/>
      <c r="AS9" s="289"/>
      <c r="AT9" s="289"/>
      <c r="AU9" s="289"/>
      <c r="AV9" s="289"/>
      <c r="AW9" s="289"/>
      <c r="AX9" s="289"/>
      <c r="AY9" s="289"/>
      <c r="AZ9" s="289"/>
      <c r="BA9" s="289"/>
      <c r="BB9" s="289"/>
      <c r="BC9" s="289"/>
      <c r="BD9" s="266">
        <v>154285400</v>
      </c>
      <c r="BE9" s="239">
        <v>145062829</v>
      </c>
      <c r="BF9" s="239">
        <v>145062829</v>
      </c>
      <c r="BG9" s="289"/>
      <c r="BH9" s="289"/>
      <c r="BI9" s="289"/>
      <c r="BJ9" s="289"/>
      <c r="BK9" s="289"/>
      <c r="BL9" s="289"/>
      <c r="BM9" s="289"/>
      <c r="BN9" s="289"/>
      <c r="BO9" s="289"/>
      <c r="BP9" s="273">
        <f t="shared" si="0"/>
        <v>154285400</v>
      </c>
      <c r="BQ9" s="273">
        <f t="shared" si="0"/>
        <v>145062829</v>
      </c>
      <c r="BR9" s="273">
        <f t="shared" si="0"/>
        <v>145062829</v>
      </c>
      <c r="BS9" s="245" t="s">
        <v>1644</v>
      </c>
      <c r="BT9" s="233"/>
    </row>
    <row r="10" spans="1:110" s="27" customFormat="1" ht="196.5" customHeight="1" x14ac:dyDescent="0.2">
      <c r="A10" s="217">
        <v>304</v>
      </c>
      <c r="B10" s="287" t="s">
        <v>1611</v>
      </c>
      <c r="C10" s="213">
        <v>4</v>
      </c>
      <c r="D10" s="216" t="s">
        <v>1612</v>
      </c>
      <c r="E10" s="213">
        <v>45</v>
      </c>
      <c r="F10" s="216" t="s">
        <v>38</v>
      </c>
      <c r="G10" s="213" t="s">
        <v>41</v>
      </c>
      <c r="H10" s="216" t="s">
        <v>1570</v>
      </c>
      <c r="I10" s="213">
        <v>4599</v>
      </c>
      <c r="J10" s="216" t="s">
        <v>1571</v>
      </c>
      <c r="K10" s="216" t="s">
        <v>40</v>
      </c>
      <c r="L10" s="213" t="s">
        <v>41</v>
      </c>
      <c r="M10" s="216" t="s">
        <v>55</v>
      </c>
      <c r="N10" s="213">
        <v>4599023</v>
      </c>
      <c r="O10" s="216" t="s">
        <v>43</v>
      </c>
      <c r="P10" s="213" t="s">
        <v>41</v>
      </c>
      <c r="Q10" s="216" t="s">
        <v>56</v>
      </c>
      <c r="R10" s="213">
        <v>459902301</v>
      </c>
      <c r="S10" s="216" t="s">
        <v>57</v>
      </c>
      <c r="T10" s="236" t="s">
        <v>1671</v>
      </c>
      <c r="U10" s="288">
        <v>1</v>
      </c>
      <c r="V10" s="288">
        <v>1</v>
      </c>
      <c r="W10" s="236" t="s">
        <v>58</v>
      </c>
      <c r="X10" s="214" t="s">
        <v>59</v>
      </c>
      <c r="Y10" s="216" t="s">
        <v>1512</v>
      </c>
      <c r="Z10" s="289"/>
      <c r="AA10" s="289"/>
      <c r="AB10" s="289"/>
      <c r="AC10" s="289"/>
      <c r="AD10" s="289"/>
      <c r="AE10" s="289"/>
      <c r="AF10" s="289"/>
      <c r="AG10" s="289"/>
      <c r="AH10" s="289"/>
      <c r="AI10" s="289"/>
      <c r="AJ10" s="289"/>
      <c r="AK10" s="289"/>
      <c r="AL10" s="289"/>
      <c r="AM10" s="289"/>
      <c r="AN10" s="289"/>
      <c r="AO10" s="289"/>
      <c r="AP10" s="289"/>
      <c r="AQ10" s="289"/>
      <c r="AR10" s="289"/>
      <c r="AS10" s="289"/>
      <c r="AT10" s="289"/>
      <c r="AU10" s="289"/>
      <c r="AV10" s="289"/>
      <c r="AW10" s="289"/>
      <c r="AX10" s="289"/>
      <c r="AY10" s="289"/>
      <c r="AZ10" s="289"/>
      <c r="BA10" s="289"/>
      <c r="BB10" s="289"/>
      <c r="BC10" s="289"/>
      <c r="BD10" s="239">
        <f>50000000-7188826</f>
        <v>42811174</v>
      </c>
      <c r="BE10" s="239">
        <v>42811174</v>
      </c>
      <c r="BF10" s="239">
        <v>42811174</v>
      </c>
      <c r="BG10" s="289"/>
      <c r="BH10" s="289"/>
      <c r="BI10" s="289"/>
      <c r="BJ10" s="289"/>
      <c r="BK10" s="289"/>
      <c r="BL10" s="289"/>
      <c r="BM10" s="289"/>
      <c r="BN10" s="289"/>
      <c r="BO10" s="289"/>
      <c r="BP10" s="273">
        <f t="shared" si="0"/>
        <v>42811174</v>
      </c>
      <c r="BQ10" s="273">
        <f t="shared" si="0"/>
        <v>42811174</v>
      </c>
      <c r="BR10" s="273">
        <f t="shared" si="0"/>
        <v>42811174</v>
      </c>
      <c r="BS10" s="245" t="s">
        <v>1644</v>
      </c>
      <c r="BT10" s="233"/>
    </row>
    <row r="11" spans="1:110" s="27" customFormat="1" ht="121.5" customHeight="1" x14ac:dyDescent="0.2">
      <c r="A11" s="217">
        <v>304</v>
      </c>
      <c r="B11" s="287" t="s">
        <v>1611</v>
      </c>
      <c r="C11" s="213">
        <v>4</v>
      </c>
      <c r="D11" s="216" t="s">
        <v>1612</v>
      </c>
      <c r="E11" s="213">
        <v>45</v>
      </c>
      <c r="F11" s="216" t="s">
        <v>38</v>
      </c>
      <c r="G11" s="213" t="s">
        <v>41</v>
      </c>
      <c r="H11" s="216" t="s">
        <v>1566</v>
      </c>
      <c r="I11" s="213">
        <v>4502</v>
      </c>
      <c r="J11" s="216" t="s">
        <v>1567</v>
      </c>
      <c r="K11" s="216" t="s">
        <v>61</v>
      </c>
      <c r="L11" s="213" t="s">
        <v>41</v>
      </c>
      <c r="M11" s="216" t="s">
        <v>62</v>
      </c>
      <c r="N11" s="213">
        <v>4502033</v>
      </c>
      <c r="O11" s="216" t="s">
        <v>63</v>
      </c>
      <c r="P11" s="213" t="s">
        <v>41</v>
      </c>
      <c r="Q11" s="291" t="s">
        <v>64</v>
      </c>
      <c r="R11" s="292">
        <v>450203300</v>
      </c>
      <c r="S11" s="291" t="s">
        <v>65</v>
      </c>
      <c r="T11" s="236" t="s">
        <v>1671</v>
      </c>
      <c r="U11" s="288">
        <v>1</v>
      </c>
      <c r="V11" s="288">
        <v>1</v>
      </c>
      <c r="W11" s="236" t="s">
        <v>66</v>
      </c>
      <c r="X11" s="214" t="s">
        <v>67</v>
      </c>
      <c r="Y11" s="216" t="s">
        <v>68</v>
      </c>
      <c r="Z11" s="289"/>
      <c r="AA11" s="289"/>
      <c r="AB11" s="289"/>
      <c r="AC11" s="289"/>
      <c r="AD11" s="289"/>
      <c r="AE11" s="289"/>
      <c r="AF11" s="289"/>
      <c r="AG11" s="289"/>
      <c r="AH11" s="289"/>
      <c r="AI11" s="289"/>
      <c r="AJ11" s="289"/>
      <c r="AK11" s="289"/>
      <c r="AL11" s="289"/>
      <c r="AM11" s="289"/>
      <c r="AN11" s="289"/>
      <c r="AO11" s="289"/>
      <c r="AP11" s="289"/>
      <c r="AQ11" s="289"/>
      <c r="AR11" s="289"/>
      <c r="AS11" s="289"/>
      <c r="AT11" s="289"/>
      <c r="AU11" s="289"/>
      <c r="AV11" s="289"/>
      <c r="AW11" s="289"/>
      <c r="AX11" s="289"/>
      <c r="AY11" s="289"/>
      <c r="AZ11" s="289"/>
      <c r="BA11" s="289"/>
      <c r="BB11" s="289"/>
      <c r="BC11" s="289"/>
      <c r="BD11" s="266">
        <v>80543366</v>
      </c>
      <c r="BE11" s="293">
        <v>66432014.780000001</v>
      </c>
      <c r="BF11" s="293">
        <v>66432014.780000001</v>
      </c>
      <c r="BG11" s="289"/>
      <c r="BH11" s="289"/>
      <c r="BI11" s="289"/>
      <c r="BJ11" s="289"/>
      <c r="BK11" s="289"/>
      <c r="BL11" s="289"/>
      <c r="BM11" s="289"/>
      <c r="BN11" s="289"/>
      <c r="BO11" s="289"/>
      <c r="BP11" s="273">
        <f>+Z11+AC11+AF11+AI11+AL11+AO11+AR11+AU11+AX11+BA11+BD11+BG11+BJ11</f>
        <v>80543366</v>
      </c>
      <c r="BQ11" s="273">
        <f>+AA11+AD11+AG11+AJ11+AM11+AP11+AS11+AV11+AY11+BB11+BE11+BH11+BK11</f>
        <v>66432014.780000001</v>
      </c>
      <c r="BR11" s="273">
        <f>+AB11+AE11+AH11+AK11+AN11+AQ11+AT11+AW11+AZ11+BC11+BF11+BI11+BL11</f>
        <v>66432014.780000001</v>
      </c>
      <c r="BS11" s="245" t="s">
        <v>1644</v>
      </c>
      <c r="BT11" s="233"/>
    </row>
    <row r="12" spans="1:110" s="27" customFormat="1" ht="165" customHeight="1" x14ac:dyDescent="0.2">
      <c r="A12" s="217">
        <v>305</v>
      </c>
      <c r="B12" s="287" t="s">
        <v>1613</v>
      </c>
      <c r="C12" s="213">
        <v>4</v>
      </c>
      <c r="D12" s="216" t="s">
        <v>1612</v>
      </c>
      <c r="E12" s="213">
        <v>45</v>
      </c>
      <c r="F12" s="216" t="s">
        <v>38</v>
      </c>
      <c r="G12" s="213">
        <v>4502</v>
      </c>
      <c r="H12" s="216" t="s">
        <v>1566</v>
      </c>
      <c r="I12" s="213">
        <v>4502</v>
      </c>
      <c r="J12" s="216" t="s">
        <v>1567</v>
      </c>
      <c r="K12" s="216" t="s">
        <v>70</v>
      </c>
      <c r="L12" s="213" t="s">
        <v>41</v>
      </c>
      <c r="M12" s="216" t="s">
        <v>71</v>
      </c>
      <c r="N12" s="213">
        <v>4502001</v>
      </c>
      <c r="O12" s="216" t="s">
        <v>72</v>
      </c>
      <c r="P12" s="213" t="s">
        <v>41</v>
      </c>
      <c r="Q12" s="291" t="s">
        <v>73</v>
      </c>
      <c r="R12" s="292">
        <v>450200100</v>
      </c>
      <c r="S12" s="291" t="s">
        <v>74</v>
      </c>
      <c r="T12" s="236" t="s">
        <v>1671</v>
      </c>
      <c r="U12" s="288">
        <v>1</v>
      </c>
      <c r="V12" s="288">
        <v>1</v>
      </c>
      <c r="W12" s="236" t="s">
        <v>75</v>
      </c>
      <c r="X12" s="216" t="s">
        <v>76</v>
      </c>
      <c r="Y12" s="216" t="s">
        <v>77</v>
      </c>
      <c r="Z12" s="289"/>
      <c r="AA12" s="289"/>
      <c r="AB12" s="289"/>
      <c r="AC12" s="289"/>
      <c r="AD12" s="289"/>
      <c r="AE12" s="289"/>
      <c r="AF12" s="289"/>
      <c r="AG12" s="289"/>
      <c r="AH12" s="289"/>
      <c r="AI12" s="289"/>
      <c r="AJ12" s="289"/>
      <c r="AK12" s="289"/>
      <c r="AL12" s="289"/>
      <c r="AM12" s="289"/>
      <c r="AN12" s="289"/>
      <c r="AO12" s="289"/>
      <c r="AP12" s="289"/>
      <c r="AQ12" s="289"/>
      <c r="AR12" s="289"/>
      <c r="AS12" s="289"/>
      <c r="AT12" s="289"/>
      <c r="AU12" s="289"/>
      <c r="AV12" s="289"/>
      <c r="AW12" s="289"/>
      <c r="AX12" s="289"/>
      <c r="AY12" s="289"/>
      <c r="AZ12" s="289"/>
      <c r="BA12" s="289"/>
      <c r="BB12" s="289"/>
      <c r="BC12" s="289"/>
      <c r="BD12" s="234">
        <v>110600000</v>
      </c>
      <c r="BE12" s="294">
        <v>87108467</v>
      </c>
      <c r="BF12" s="294">
        <v>87108467</v>
      </c>
      <c r="BG12" s="289"/>
      <c r="BH12" s="289"/>
      <c r="BI12" s="289"/>
      <c r="BJ12" s="289"/>
      <c r="BK12" s="289"/>
      <c r="BL12" s="289"/>
      <c r="BM12" s="289"/>
      <c r="BN12" s="289"/>
      <c r="BO12" s="289"/>
      <c r="BP12" s="273">
        <f>+Z12+AC12+AF12+AI12+AL12+AO12+AR12+AU12+AX12+BA12+BD12+BG12+BJ12</f>
        <v>110600000</v>
      </c>
      <c r="BQ12" s="273">
        <f t="shared" ref="BP12:BR13" si="1">+AA12+AD12+AG12+AJ12+AM12+AP12+AS12+AV12+AY12+BB12+BE12+BH12+BK12</f>
        <v>87108467</v>
      </c>
      <c r="BR12" s="273">
        <f t="shared" si="1"/>
        <v>87108467</v>
      </c>
      <c r="BS12" s="246" t="s">
        <v>1645</v>
      </c>
      <c r="BT12" s="233"/>
    </row>
    <row r="13" spans="1:110" s="27" customFormat="1" ht="107.25" customHeight="1" x14ac:dyDescent="0.2">
      <c r="A13" s="217">
        <v>305</v>
      </c>
      <c r="B13" s="287" t="s">
        <v>1613</v>
      </c>
      <c r="C13" s="213">
        <v>4</v>
      </c>
      <c r="D13" s="216" t="s">
        <v>1612</v>
      </c>
      <c r="E13" s="213">
        <v>45</v>
      </c>
      <c r="F13" s="216" t="s">
        <v>38</v>
      </c>
      <c r="G13" s="213">
        <v>4502</v>
      </c>
      <c r="H13" s="216" t="s">
        <v>1566</v>
      </c>
      <c r="I13" s="213">
        <v>4502</v>
      </c>
      <c r="J13" s="216" t="s">
        <v>1567</v>
      </c>
      <c r="K13" s="216" t="s">
        <v>61</v>
      </c>
      <c r="L13" s="213" t="s">
        <v>41</v>
      </c>
      <c r="M13" s="295" t="s">
        <v>78</v>
      </c>
      <c r="N13" s="292">
        <v>4502001</v>
      </c>
      <c r="O13" s="295" t="s">
        <v>72</v>
      </c>
      <c r="P13" s="213" t="s">
        <v>41</v>
      </c>
      <c r="Q13" s="291" t="s">
        <v>79</v>
      </c>
      <c r="R13" s="292">
        <v>450200101</v>
      </c>
      <c r="S13" s="291" t="s">
        <v>1471</v>
      </c>
      <c r="T13" s="236" t="s">
        <v>1671</v>
      </c>
      <c r="U13" s="288">
        <v>12</v>
      </c>
      <c r="V13" s="288">
        <v>12</v>
      </c>
      <c r="W13" s="236" t="s">
        <v>80</v>
      </c>
      <c r="X13" s="216" t="s">
        <v>81</v>
      </c>
      <c r="Y13" s="216" t="s">
        <v>82</v>
      </c>
      <c r="Z13" s="289"/>
      <c r="AA13" s="289"/>
      <c r="AB13" s="289"/>
      <c r="AC13" s="289"/>
      <c r="AD13" s="289"/>
      <c r="AE13" s="289"/>
      <c r="AF13" s="289"/>
      <c r="AG13" s="289"/>
      <c r="AH13" s="289"/>
      <c r="AI13" s="289"/>
      <c r="AJ13" s="289"/>
      <c r="AK13" s="289"/>
      <c r="AL13" s="289"/>
      <c r="AM13" s="289"/>
      <c r="AN13" s="289"/>
      <c r="AO13" s="289"/>
      <c r="AP13" s="289"/>
      <c r="AQ13" s="289"/>
      <c r="AR13" s="289"/>
      <c r="AS13" s="289"/>
      <c r="AT13" s="289"/>
      <c r="AU13" s="289"/>
      <c r="AV13" s="289"/>
      <c r="AW13" s="289"/>
      <c r="AX13" s="289"/>
      <c r="AY13" s="289"/>
      <c r="AZ13" s="289"/>
      <c r="BA13" s="289"/>
      <c r="BB13" s="289"/>
      <c r="BC13" s="289"/>
      <c r="BD13" s="234">
        <v>14925000</v>
      </c>
      <c r="BE13" s="294">
        <v>14925000</v>
      </c>
      <c r="BF13" s="294">
        <v>14925000</v>
      </c>
      <c r="BG13" s="289"/>
      <c r="BH13" s="289"/>
      <c r="BI13" s="289"/>
      <c r="BJ13" s="289"/>
      <c r="BK13" s="289"/>
      <c r="BL13" s="289"/>
      <c r="BM13" s="289"/>
      <c r="BN13" s="289"/>
      <c r="BO13" s="289"/>
      <c r="BP13" s="273">
        <f t="shared" si="1"/>
        <v>14925000</v>
      </c>
      <c r="BQ13" s="273">
        <f t="shared" si="1"/>
        <v>14925000</v>
      </c>
      <c r="BR13" s="273">
        <f t="shared" si="1"/>
        <v>14925000</v>
      </c>
      <c r="BS13" s="246" t="s">
        <v>1645</v>
      </c>
      <c r="BT13" s="233"/>
    </row>
    <row r="14" spans="1:110" s="27" customFormat="1" ht="198.75" customHeight="1" x14ac:dyDescent="0.2">
      <c r="A14" s="217">
        <v>305</v>
      </c>
      <c r="B14" s="287" t="s">
        <v>1613</v>
      </c>
      <c r="C14" s="213">
        <v>4</v>
      </c>
      <c r="D14" s="216" t="s">
        <v>1612</v>
      </c>
      <c r="E14" s="213">
        <v>45</v>
      </c>
      <c r="F14" s="216" t="s">
        <v>38</v>
      </c>
      <c r="G14" s="213" t="s">
        <v>41</v>
      </c>
      <c r="H14" s="216" t="s">
        <v>1570</v>
      </c>
      <c r="I14" s="213">
        <v>4599</v>
      </c>
      <c r="J14" s="216" t="s">
        <v>1571</v>
      </c>
      <c r="K14" s="216" t="s">
        <v>40</v>
      </c>
      <c r="L14" s="213" t="s">
        <v>41</v>
      </c>
      <c r="M14" s="216" t="s">
        <v>83</v>
      </c>
      <c r="N14" s="213">
        <v>4599018</v>
      </c>
      <c r="O14" s="216" t="s">
        <v>84</v>
      </c>
      <c r="P14" s="213" t="s">
        <v>41</v>
      </c>
      <c r="Q14" s="216" t="s">
        <v>85</v>
      </c>
      <c r="R14" s="213">
        <v>459901800</v>
      </c>
      <c r="S14" s="216" t="s">
        <v>86</v>
      </c>
      <c r="T14" s="236" t="s">
        <v>1671</v>
      </c>
      <c r="U14" s="213">
        <v>5</v>
      </c>
      <c r="V14" s="213">
        <v>3.41</v>
      </c>
      <c r="W14" s="236" t="s">
        <v>87</v>
      </c>
      <c r="X14" s="216" t="s">
        <v>88</v>
      </c>
      <c r="Y14" s="216" t="s">
        <v>89</v>
      </c>
      <c r="Z14" s="289"/>
      <c r="AA14" s="289"/>
      <c r="AB14" s="289"/>
      <c r="AC14" s="289"/>
      <c r="AD14" s="289"/>
      <c r="AE14" s="289"/>
      <c r="AF14" s="289"/>
      <c r="AG14" s="289"/>
      <c r="AH14" s="289"/>
      <c r="AI14" s="289"/>
      <c r="AJ14" s="289"/>
      <c r="AK14" s="289"/>
      <c r="AL14" s="289"/>
      <c r="AM14" s="289"/>
      <c r="AN14" s="289"/>
      <c r="AO14" s="289"/>
      <c r="AP14" s="289"/>
      <c r="AQ14" s="289"/>
      <c r="AR14" s="289"/>
      <c r="AS14" s="289"/>
      <c r="AT14" s="289"/>
      <c r="AU14" s="289"/>
      <c r="AV14" s="289"/>
      <c r="AW14" s="289"/>
      <c r="AX14" s="289"/>
      <c r="AY14" s="289"/>
      <c r="AZ14" s="289"/>
      <c r="BA14" s="289"/>
      <c r="BB14" s="289"/>
      <c r="BC14" s="289"/>
      <c r="BD14" s="266">
        <v>220682500</v>
      </c>
      <c r="BE14" s="273">
        <v>216173985</v>
      </c>
      <c r="BF14" s="273">
        <v>216173985</v>
      </c>
      <c r="BG14" s="289"/>
      <c r="BH14" s="289"/>
      <c r="BI14" s="289"/>
      <c r="BJ14" s="289"/>
      <c r="BK14" s="289"/>
      <c r="BL14" s="289"/>
      <c r="BM14" s="289"/>
      <c r="BN14" s="289"/>
      <c r="BO14" s="289"/>
      <c r="BP14" s="273">
        <f t="shared" ref="BP14:BP23" si="2">+Z14+AC14+AF14+AI14+AL14+AO14+AR14+AU14+AX14+BA14+BD14+BG14+BJ14</f>
        <v>220682500</v>
      </c>
      <c r="BQ14" s="273">
        <f t="shared" ref="BQ14:BQ23" si="3">+AA14+AD14+AG14+AJ14+AM14+AP14+AS14+AV14+AY14+BB14+BE14+BH14+BK14</f>
        <v>216173985</v>
      </c>
      <c r="BR14" s="273">
        <f t="shared" ref="BR14:BR23" si="4">+AB14+AE14+AH14+AK14+AN14+AQ14+AT14+AW14+AZ14+BC14+BF14+BI14+BL14</f>
        <v>216173985</v>
      </c>
      <c r="BS14" s="246" t="s">
        <v>1645</v>
      </c>
      <c r="BT14" s="233"/>
    </row>
    <row r="15" spans="1:110" s="27" customFormat="1" ht="143.25" customHeight="1" x14ac:dyDescent="0.2">
      <c r="A15" s="217">
        <v>305</v>
      </c>
      <c r="B15" s="287" t="s">
        <v>1613</v>
      </c>
      <c r="C15" s="213">
        <v>4</v>
      </c>
      <c r="D15" s="216" t="s">
        <v>1612</v>
      </c>
      <c r="E15" s="213">
        <v>45</v>
      </c>
      <c r="F15" s="216" t="s">
        <v>38</v>
      </c>
      <c r="G15" s="213" t="s">
        <v>41</v>
      </c>
      <c r="H15" s="216" t="s">
        <v>1570</v>
      </c>
      <c r="I15" s="213">
        <v>4599</v>
      </c>
      <c r="J15" s="216" t="s">
        <v>1571</v>
      </c>
      <c r="K15" s="216" t="s">
        <v>40</v>
      </c>
      <c r="L15" s="213" t="s">
        <v>41</v>
      </c>
      <c r="M15" s="216" t="s">
        <v>90</v>
      </c>
      <c r="N15" s="213">
        <v>4599025</v>
      </c>
      <c r="O15" s="216" t="s">
        <v>91</v>
      </c>
      <c r="P15" s="213" t="s">
        <v>41</v>
      </c>
      <c r="Q15" s="216" t="s">
        <v>92</v>
      </c>
      <c r="R15" s="213">
        <v>459902500</v>
      </c>
      <c r="S15" s="216" t="s">
        <v>93</v>
      </c>
      <c r="T15" s="236" t="s">
        <v>1671</v>
      </c>
      <c r="U15" s="213">
        <v>1</v>
      </c>
      <c r="V15" s="213">
        <v>1</v>
      </c>
      <c r="W15" s="236" t="s">
        <v>94</v>
      </c>
      <c r="X15" s="216" t="s">
        <v>95</v>
      </c>
      <c r="Y15" s="216" t="s">
        <v>96</v>
      </c>
      <c r="Z15" s="289"/>
      <c r="AA15" s="289"/>
      <c r="AB15" s="289"/>
      <c r="AC15" s="289"/>
      <c r="AD15" s="289"/>
      <c r="AE15" s="289"/>
      <c r="AF15" s="289"/>
      <c r="AG15" s="289"/>
      <c r="AH15" s="289"/>
      <c r="AI15" s="289"/>
      <c r="AJ15" s="289"/>
      <c r="AK15" s="289"/>
      <c r="AL15" s="289"/>
      <c r="AM15" s="289"/>
      <c r="AN15" s="289"/>
      <c r="AO15" s="289"/>
      <c r="AP15" s="289"/>
      <c r="AQ15" s="289"/>
      <c r="AR15" s="289"/>
      <c r="AS15" s="289"/>
      <c r="AT15" s="289"/>
      <c r="AU15" s="289"/>
      <c r="AV15" s="289"/>
      <c r="AW15" s="289"/>
      <c r="AX15" s="289"/>
      <c r="AY15" s="289"/>
      <c r="AZ15" s="289"/>
      <c r="BA15" s="289"/>
      <c r="BB15" s="289"/>
      <c r="BC15" s="289"/>
      <c r="BD15" s="266">
        <v>50776000</v>
      </c>
      <c r="BE15" s="273">
        <v>50776000</v>
      </c>
      <c r="BF15" s="273">
        <v>50776000</v>
      </c>
      <c r="BG15" s="289"/>
      <c r="BH15" s="289"/>
      <c r="BI15" s="289"/>
      <c r="BJ15" s="289"/>
      <c r="BK15" s="289"/>
      <c r="BL15" s="289"/>
      <c r="BM15" s="289"/>
      <c r="BN15" s="289"/>
      <c r="BO15" s="289"/>
      <c r="BP15" s="273">
        <f>+Z15+AC15+AF15+AI15+AL15+AO15+AR15+AU15+AX15+BA15+BD15+BG15+BJ15</f>
        <v>50776000</v>
      </c>
      <c r="BQ15" s="273">
        <f t="shared" si="3"/>
        <v>50776000</v>
      </c>
      <c r="BR15" s="273">
        <f t="shared" si="4"/>
        <v>50776000</v>
      </c>
      <c r="BS15" s="246" t="s">
        <v>1645</v>
      </c>
      <c r="BT15" s="233"/>
    </row>
    <row r="16" spans="1:110" s="27" customFormat="1" ht="178.5" customHeight="1" x14ac:dyDescent="0.2">
      <c r="A16" s="217">
        <v>305</v>
      </c>
      <c r="B16" s="287" t="s">
        <v>1613</v>
      </c>
      <c r="C16" s="213">
        <v>4</v>
      </c>
      <c r="D16" s="216" t="s">
        <v>1612</v>
      </c>
      <c r="E16" s="213">
        <v>45</v>
      </c>
      <c r="F16" s="216" t="s">
        <v>38</v>
      </c>
      <c r="G16" s="213" t="s">
        <v>41</v>
      </c>
      <c r="H16" s="216" t="s">
        <v>1570</v>
      </c>
      <c r="I16" s="213">
        <v>4599</v>
      </c>
      <c r="J16" s="216" t="s">
        <v>1571</v>
      </c>
      <c r="K16" s="216" t="s">
        <v>40</v>
      </c>
      <c r="L16" s="213" t="s">
        <v>41</v>
      </c>
      <c r="M16" s="216" t="s">
        <v>1497</v>
      </c>
      <c r="N16" s="213">
        <v>4599025</v>
      </c>
      <c r="O16" s="216" t="s">
        <v>91</v>
      </c>
      <c r="P16" s="213" t="s">
        <v>41</v>
      </c>
      <c r="Q16" s="216" t="s">
        <v>97</v>
      </c>
      <c r="R16" s="213">
        <v>459902500</v>
      </c>
      <c r="S16" s="216" t="s">
        <v>93</v>
      </c>
      <c r="T16" s="236" t="s">
        <v>1671</v>
      </c>
      <c r="U16" s="213">
        <v>1</v>
      </c>
      <c r="V16" s="213">
        <v>1</v>
      </c>
      <c r="W16" s="236" t="s">
        <v>98</v>
      </c>
      <c r="X16" s="216" t="s">
        <v>99</v>
      </c>
      <c r="Y16" s="216" t="s">
        <v>100</v>
      </c>
      <c r="Z16" s="289"/>
      <c r="AA16" s="289"/>
      <c r="AB16" s="289"/>
      <c r="AC16" s="289"/>
      <c r="AD16" s="289"/>
      <c r="AE16" s="289"/>
      <c r="AF16" s="289"/>
      <c r="AG16" s="289"/>
      <c r="AH16" s="289"/>
      <c r="AI16" s="289"/>
      <c r="AJ16" s="289"/>
      <c r="AK16" s="289"/>
      <c r="AL16" s="289"/>
      <c r="AM16" s="289"/>
      <c r="AN16" s="289"/>
      <c r="AO16" s="289"/>
      <c r="AP16" s="289"/>
      <c r="AQ16" s="289"/>
      <c r="AR16" s="289"/>
      <c r="AS16" s="289"/>
      <c r="AT16" s="289"/>
      <c r="AU16" s="289"/>
      <c r="AV16" s="289"/>
      <c r="AW16" s="289"/>
      <c r="AX16" s="289"/>
      <c r="AY16" s="289"/>
      <c r="AZ16" s="289"/>
      <c r="BA16" s="289"/>
      <c r="BB16" s="289"/>
      <c r="BC16" s="289"/>
      <c r="BD16" s="266">
        <v>298084000</v>
      </c>
      <c r="BE16" s="273">
        <v>293946671</v>
      </c>
      <c r="BF16" s="273">
        <v>293946671</v>
      </c>
      <c r="BG16" s="289"/>
      <c r="BH16" s="289"/>
      <c r="BI16" s="289"/>
      <c r="BJ16" s="289"/>
      <c r="BK16" s="289"/>
      <c r="BL16" s="289"/>
      <c r="BM16" s="289"/>
      <c r="BN16" s="289"/>
      <c r="BO16" s="289"/>
      <c r="BP16" s="273">
        <f>+Z16+AC16+AF16+AI16+AL16+AO16+AR16+AU16+AX16+BA16+BD16+BG16+BJ16</f>
        <v>298084000</v>
      </c>
      <c r="BQ16" s="273">
        <f t="shared" si="3"/>
        <v>293946671</v>
      </c>
      <c r="BR16" s="273">
        <f t="shared" si="4"/>
        <v>293946671</v>
      </c>
      <c r="BS16" s="246" t="s">
        <v>1645</v>
      </c>
      <c r="BT16" s="233"/>
    </row>
    <row r="17" spans="1:72" s="27" customFormat="1" ht="153.75" customHeight="1" x14ac:dyDescent="0.2">
      <c r="A17" s="217">
        <v>305</v>
      </c>
      <c r="B17" s="287" t="s">
        <v>1613</v>
      </c>
      <c r="C17" s="213">
        <v>4</v>
      </c>
      <c r="D17" s="216" t="s">
        <v>1612</v>
      </c>
      <c r="E17" s="213">
        <v>45</v>
      </c>
      <c r="F17" s="216" t="s">
        <v>38</v>
      </c>
      <c r="G17" s="213" t="s">
        <v>41</v>
      </c>
      <c r="H17" s="216" t="s">
        <v>1570</v>
      </c>
      <c r="I17" s="213">
        <v>4599</v>
      </c>
      <c r="J17" s="216" t="s">
        <v>1571</v>
      </c>
      <c r="K17" s="216" t="s">
        <v>101</v>
      </c>
      <c r="L17" s="213" t="s">
        <v>41</v>
      </c>
      <c r="M17" s="216" t="s">
        <v>102</v>
      </c>
      <c r="N17" s="213">
        <v>4599031</v>
      </c>
      <c r="O17" s="216" t="s">
        <v>103</v>
      </c>
      <c r="P17" s="213" t="s">
        <v>41</v>
      </c>
      <c r="Q17" s="216" t="s">
        <v>104</v>
      </c>
      <c r="R17" s="213">
        <v>459903101</v>
      </c>
      <c r="S17" s="216" t="s">
        <v>105</v>
      </c>
      <c r="T17" s="236" t="s">
        <v>1671</v>
      </c>
      <c r="U17" s="213">
        <v>12</v>
      </c>
      <c r="V17" s="213">
        <v>12</v>
      </c>
      <c r="W17" s="236" t="s">
        <v>106</v>
      </c>
      <c r="X17" s="216" t="s">
        <v>107</v>
      </c>
      <c r="Y17" s="216" t="s">
        <v>108</v>
      </c>
      <c r="Z17" s="289"/>
      <c r="AA17" s="289"/>
      <c r="AB17" s="289"/>
      <c r="AC17" s="289"/>
      <c r="AD17" s="289"/>
      <c r="AE17" s="289"/>
      <c r="AF17" s="289"/>
      <c r="AG17" s="289"/>
      <c r="AH17" s="289"/>
      <c r="AI17" s="289"/>
      <c r="AJ17" s="289"/>
      <c r="AK17" s="289"/>
      <c r="AL17" s="289"/>
      <c r="AM17" s="289"/>
      <c r="AN17" s="289"/>
      <c r="AO17" s="289"/>
      <c r="AP17" s="289"/>
      <c r="AQ17" s="289"/>
      <c r="AR17" s="289"/>
      <c r="AS17" s="289"/>
      <c r="AT17" s="289"/>
      <c r="AU17" s="289"/>
      <c r="AV17" s="289"/>
      <c r="AW17" s="289"/>
      <c r="AX17" s="289"/>
      <c r="AY17" s="289"/>
      <c r="AZ17" s="289"/>
      <c r="BA17" s="289"/>
      <c r="BB17" s="289"/>
      <c r="BC17" s="289"/>
      <c r="BD17" s="234">
        <f>10*3600000*1-12460000</f>
        <v>23540000</v>
      </c>
      <c r="BE17" s="273">
        <v>23540000</v>
      </c>
      <c r="BF17" s="273">
        <v>23540000</v>
      </c>
      <c r="BG17" s="289"/>
      <c r="BH17" s="289"/>
      <c r="BI17" s="289"/>
      <c r="BJ17" s="289"/>
      <c r="BK17" s="289"/>
      <c r="BL17" s="289"/>
      <c r="BM17" s="289"/>
      <c r="BN17" s="289"/>
      <c r="BO17" s="289"/>
      <c r="BP17" s="273">
        <f t="shared" si="2"/>
        <v>23540000</v>
      </c>
      <c r="BQ17" s="273">
        <f t="shared" si="3"/>
        <v>23540000</v>
      </c>
      <c r="BR17" s="273">
        <f t="shared" si="4"/>
        <v>23540000</v>
      </c>
      <c r="BS17" s="246" t="s">
        <v>1645</v>
      </c>
      <c r="BT17" s="233"/>
    </row>
    <row r="18" spans="1:72" s="27" customFormat="1" ht="106.5" customHeight="1" x14ac:dyDescent="0.2">
      <c r="A18" s="217">
        <v>305</v>
      </c>
      <c r="B18" s="287" t="s">
        <v>1613</v>
      </c>
      <c r="C18" s="213">
        <v>4</v>
      </c>
      <c r="D18" s="216" t="s">
        <v>1612</v>
      </c>
      <c r="E18" s="213">
        <v>45</v>
      </c>
      <c r="F18" s="216" t="s">
        <v>38</v>
      </c>
      <c r="G18" s="213" t="s">
        <v>41</v>
      </c>
      <c r="H18" s="216" t="s">
        <v>1570</v>
      </c>
      <c r="I18" s="213">
        <v>4599</v>
      </c>
      <c r="J18" s="216" t="s">
        <v>1571</v>
      </c>
      <c r="K18" s="216" t="s">
        <v>101</v>
      </c>
      <c r="L18" s="213" t="s">
        <v>41</v>
      </c>
      <c r="M18" s="216" t="s">
        <v>109</v>
      </c>
      <c r="N18" s="213">
        <v>4599031</v>
      </c>
      <c r="O18" s="216" t="s">
        <v>103</v>
      </c>
      <c r="P18" s="213" t="s">
        <v>41</v>
      </c>
      <c r="Q18" s="216" t="s">
        <v>110</v>
      </c>
      <c r="R18" s="213">
        <v>459903101</v>
      </c>
      <c r="S18" s="216" t="s">
        <v>105</v>
      </c>
      <c r="T18" s="236" t="s">
        <v>1671</v>
      </c>
      <c r="U18" s="213">
        <v>12</v>
      </c>
      <c r="V18" s="213">
        <v>12</v>
      </c>
      <c r="W18" s="236" t="s">
        <v>106</v>
      </c>
      <c r="X18" s="216" t="s">
        <v>107</v>
      </c>
      <c r="Y18" s="216" t="s">
        <v>108</v>
      </c>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66">
        <f>10*3600000*1-10035000</f>
        <v>25965000</v>
      </c>
      <c r="BE18" s="294">
        <v>25965000</v>
      </c>
      <c r="BF18" s="294">
        <v>25965000</v>
      </c>
      <c r="BG18" s="289"/>
      <c r="BH18" s="289"/>
      <c r="BI18" s="289"/>
      <c r="BJ18" s="289"/>
      <c r="BK18" s="289"/>
      <c r="BL18" s="289"/>
      <c r="BM18" s="289"/>
      <c r="BN18" s="289"/>
      <c r="BO18" s="289"/>
      <c r="BP18" s="273">
        <f t="shared" si="2"/>
        <v>25965000</v>
      </c>
      <c r="BQ18" s="273">
        <f t="shared" si="3"/>
        <v>25965000</v>
      </c>
      <c r="BR18" s="273">
        <f t="shared" si="4"/>
        <v>25965000</v>
      </c>
      <c r="BS18" s="246" t="s">
        <v>1645</v>
      </c>
      <c r="BT18" s="233"/>
    </row>
    <row r="19" spans="1:72" s="27" customFormat="1" ht="111" customHeight="1" x14ac:dyDescent="0.2">
      <c r="A19" s="217">
        <v>305</v>
      </c>
      <c r="B19" s="287" t="s">
        <v>1613</v>
      </c>
      <c r="C19" s="213">
        <v>4</v>
      </c>
      <c r="D19" s="216" t="s">
        <v>1612</v>
      </c>
      <c r="E19" s="213">
        <v>45</v>
      </c>
      <c r="F19" s="216" t="s">
        <v>38</v>
      </c>
      <c r="G19" s="213" t="s">
        <v>41</v>
      </c>
      <c r="H19" s="216" t="s">
        <v>1570</v>
      </c>
      <c r="I19" s="213">
        <v>4599</v>
      </c>
      <c r="J19" s="216" t="s">
        <v>1571</v>
      </c>
      <c r="K19" s="216" t="s">
        <v>101</v>
      </c>
      <c r="L19" s="213" t="s">
        <v>41</v>
      </c>
      <c r="M19" s="216" t="s">
        <v>111</v>
      </c>
      <c r="N19" s="213">
        <v>4599031</v>
      </c>
      <c r="O19" s="216" t="s">
        <v>103</v>
      </c>
      <c r="P19" s="213" t="s">
        <v>41</v>
      </c>
      <c r="Q19" s="214" t="s">
        <v>112</v>
      </c>
      <c r="R19" s="213">
        <v>459903101</v>
      </c>
      <c r="S19" s="214" t="s">
        <v>105</v>
      </c>
      <c r="T19" s="236" t="s">
        <v>1671</v>
      </c>
      <c r="U19" s="213">
        <v>12</v>
      </c>
      <c r="V19" s="213">
        <v>12</v>
      </c>
      <c r="W19" s="236" t="s">
        <v>106</v>
      </c>
      <c r="X19" s="216" t="s">
        <v>107</v>
      </c>
      <c r="Y19" s="216" t="s">
        <v>108</v>
      </c>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289"/>
      <c r="AX19" s="289"/>
      <c r="AY19" s="289"/>
      <c r="AZ19" s="289"/>
      <c r="BA19" s="289"/>
      <c r="BB19" s="289"/>
      <c r="BC19" s="289"/>
      <c r="BD19" s="266">
        <v>24465000</v>
      </c>
      <c r="BE19" s="294">
        <v>24426333</v>
      </c>
      <c r="BF19" s="294">
        <v>24426333</v>
      </c>
      <c r="BG19" s="289"/>
      <c r="BH19" s="289"/>
      <c r="BI19" s="289"/>
      <c r="BJ19" s="289"/>
      <c r="BK19" s="289"/>
      <c r="BL19" s="289"/>
      <c r="BM19" s="289"/>
      <c r="BN19" s="289"/>
      <c r="BO19" s="289"/>
      <c r="BP19" s="273">
        <f t="shared" si="2"/>
        <v>24465000</v>
      </c>
      <c r="BQ19" s="273">
        <f t="shared" si="3"/>
        <v>24426333</v>
      </c>
      <c r="BR19" s="273">
        <f t="shared" si="4"/>
        <v>24426333</v>
      </c>
      <c r="BS19" s="246" t="s">
        <v>1645</v>
      </c>
      <c r="BT19" s="233"/>
    </row>
    <row r="20" spans="1:72" s="27" customFormat="1" ht="136.5" customHeight="1" x14ac:dyDescent="0.2">
      <c r="A20" s="217">
        <v>305</v>
      </c>
      <c r="B20" s="287" t="s">
        <v>1613</v>
      </c>
      <c r="C20" s="213">
        <v>4</v>
      </c>
      <c r="D20" s="216" t="s">
        <v>1612</v>
      </c>
      <c r="E20" s="213">
        <v>45</v>
      </c>
      <c r="F20" s="216" t="s">
        <v>38</v>
      </c>
      <c r="G20" s="213" t="s">
        <v>41</v>
      </c>
      <c r="H20" s="216" t="s">
        <v>1570</v>
      </c>
      <c r="I20" s="213">
        <v>4599</v>
      </c>
      <c r="J20" s="216" t="s">
        <v>1571</v>
      </c>
      <c r="K20" s="216" t="s">
        <v>101</v>
      </c>
      <c r="L20" s="213" t="s">
        <v>41</v>
      </c>
      <c r="M20" s="216" t="s">
        <v>113</v>
      </c>
      <c r="N20" s="213">
        <v>4599031</v>
      </c>
      <c r="O20" s="216" t="s">
        <v>103</v>
      </c>
      <c r="P20" s="213" t="s">
        <v>41</v>
      </c>
      <c r="Q20" s="291" t="s">
        <v>112</v>
      </c>
      <c r="R20" s="213">
        <v>459903101</v>
      </c>
      <c r="S20" s="214" t="s">
        <v>105</v>
      </c>
      <c r="T20" s="236" t="s">
        <v>1671</v>
      </c>
      <c r="U20" s="213">
        <v>12</v>
      </c>
      <c r="V20" s="213">
        <v>12</v>
      </c>
      <c r="W20" s="236" t="s">
        <v>106</v>
      </c>
      <c r="X20" s="216" t="s">
        <v>107</v>
      </c>
      <c r="Y20" s="216" t="s">
        <v>108</v>
      </c>
      <c r="Z20" s="289"/>
      <c r="AA20" s="289"/>
      <c r="AB20" s="289"/>
      <c r="AC20" s="289"/>
      <c r="AD20" s="289"/>
      <c r="AE20" s="289"/>
      <c r="AF20" s="289"/>
      <c r="AG20" s="289"/>
      <c r="AH20" s="289"/>
      <c r="AI20" s="289"/>
      <c r="AJ20" s="289"/>
      <c r="AK20" s="289"/>
      <c r="AL20" s="289"/>
      <c r="AM20" s="289"/>
      <c r="AN20" s="289"/>
      <c r="AO20" s="289"/>
      <c r="AP20" s="289"/>
      <c r="AQ20" s="289"/>
      <c r="AR20" s="289"/>
      <c r="AS20" s="289"/>
      <c r="AT20" s="289"/>
      <c r="AU20" s="289"/>
      <c r="AV20" s="289"/>
      <c r="AW20" s="289"/>
      <c r="AX20" s="289"/>
      <c r="AY20" s="289"/>
      <c r="AZ20" s="289"/>
      <c r="BA20" s="289"/>
      <c r="BB20" s="289"/>
      <c r="BC20" s="289"/>
      <c r="BD20" s="266">
        <f>10*3600000*1+24000000-24000000-11477500</f>
        <v>24522500</v>
      </c>
      <c r="BE20" s="273">
        <v>24522500</v>
      </c>
      <c r="BF20" s="273">
        <v>24522500</v>
      </c>
      <c r="BG20" s="289"/>
      <c r="BH20" s="289"/>
      <c r="BI20" s="289"/>
      <c r="BJ20" s="289"/>
      <c r="BK20" s="289"/>
      <c r="BL20" s="289"/>
      <c r="BM20" s="289"/>
      <c r="BN20" s="289"/>
      <c r="BO20" s="289"/>
      <c r="BP20" s="273">
        <f t="shared" si="2"/>
        <v>24522500</v>
      </c>
      <c r="BQ20" s="273">
        <f t="shared" si="3"/>
        <v>24522500</v>
      </c>
      <c r="BR20" s="273">
        <f t="shared" si="4"/>
        <v>24522500</v>
      </c>
      <c r="BS20" s="246" t="s">
        <v>1645</v>
      </c>
      <c r="BT20" s="233"/>
    </row>
    <row r="21" spans="1:72" s="27" customFormat="1" ht="144" customHeight="1" x14ac:dyDescent="0.2">
      <c r="A21" s="217">
        <v>305</v>
      </c>
      <c r="B21" s="287" t="s">
        <v>1613</v>
      </c>
      <c r="C21" s="213">
        <v>4</v>
      </c>
      <c r="D21" s="216" t="s">
        <v>1612</v>
      </c>
      <c r="E21" s="213">
        <v>45</v>
      </c>
      <c r="F21" s="216" t="s">
        <v>38</v>
      </c>
      <c r="G21" s="213" t="s">
        <v>41</v>
      </c>
      <c r="H21" s="216" t="s">
        <v>1570</v>
      </c>
      <c r="I21" s="213">
        <v>4599</v>
      </c>
      <c r="J21" s="216" t="s">
        <v>1571</v>
      </c>
      <c r="K21" s="216" t="s">
        <v>101</v>
      </c>
      <c r="L21" s="213" t="s">
        <v>41</v>
      </c>
      <c r="M21" s="216" t="s">
        <v>114</v>
      </c>
      <c r="N21" s="213">
        <v>4599031</v>
      </c>
      <c r="O21" s="216" t="s">
        <v>103</v>
      </c>
      <c r="P21" s="213" t="s">
        <v>41</v>
      </c>
      <c r="Q21" s="216" t="s">
        <v>112</v>
      </c>
      <c r="R21" s="213">
        <v>459903101</v>
      </c>
      <c r="S21" s="216" t="s">
        <v>105</v>
      </c>
      <c r="T21" s="236" t="s">
        <v>1671</v>
      </c>
      <c r="U21" s="213">
        <v>12</v>
      </c>
      <c r="V21" s="213">
        <v>12</v>
      </c>
      <c r="W21" s="236" t="s">
        <v>106</v>
      </c>
      <c r="X21" s="216" t="s">
        <v>107</v>
      </c>
      <c r="Y21" s="216" t="s">
        <v>108</v>
      </c>
      <c r="Z21" s="289"/>
      <c r="AA21" s="289"/>
      <c r="AB21" s="289"/>
      <c r="AC21" s="289"/>
      <c r="AD21" s="289"/>
      <c r="AE21" s="289"/>
      <c r="AF21" s="289"/>
      <c r="AG21" s="289"/>
      <c r="AH21" s="289"/>
      <c r="AI21" s="289"/>
      <c r="AJ21" s="289"/>
      <c r="AK21" s="289"/>
      <c r="AL21" s="289"/>
      <c r="AM21" s="289"/>
      <c r="AN21" s="289"/>
      <c r="AO21" s="289"/>
      <c r="AP21" s="289"/>
      <c r="AQ21" s="289"/>
      <c r="AR21" s="289"/>
      <c r="AS21" s="289"/>
      <c r="AT21" s="289"/>
      <c r="AU21" s="289"/>
      <c r="AV21" s="289"/>
      <c r="AW21" s="289"/>
      <c r="AX21" s="289"/>
      <c r="AY21" s="289"/>
      <c r="AZ21" s="289"/>
      <c r="BA21" s="289"/>
      <c r="BB21" s="289"/>
      <c r="BC21" s="289"/>
      <c r="BD21" s="266">
        <f>10*3600000*1+24000000-33000000</f>
        <v>27000000</v>
      </c>
      <c r="BE21" s="294">
        <v>27000000</v>
      </c>
      <c r="BF21" s="294">
        <v>27000000</v>
      </c>
      <c r="BG21" s="289"/>
      <c r="BH21" s="289"/>
      <c r="BI21" s="289"/>
      <c r="BJ21" s="289"/>
      <c r="BK21" s="289"/>
      <c r="BL21" s="289"/>
      <c r="BM21" s="289"/>
      <c r="BN21" s="289"/>
      <c r="BO21" s="289"/>
      <c r="BP21" s="273">
        <f t="shared" si="2"/>
        <v>27000000</v>
      </c>
      <c r="BQ21" s="273">
        <f t="shared" si="3"/>
        <v>27000000</v>
      </c>
      <c r="BR21" s="273">
        <f t="shared" si="4"/>
        <v>27000000</v>
      </c>
      <c r="BS21" s="246" t="s">
        <v>1645</v>
      </c>
      <c r="BT21" s="233"/>
    </row>
    <row r="22" spans="1:72" s="27" customFormat="1" ht="135" customHeight="1" x14ac:dyDescent="0.2">
      <c r="A22" s="217">
        <v>305</v>
      </c>
      <c r="B22" s="287" t="s">
        <v>1613</v>
      </c>
      <c r="C22" s="213">
        <v>4</v>
      </c>
      <c r="D22" s="216" t="s">
        <v>1612</v>
      </c>
      <c r="E22" s="213">
        <v>45</v>
      </c>
      <c r="F22" s="216" t="s">
        <v>38</v>
      </c>
      <c r="G22" s="213" t="s">
        <v>41</v>
      </c>
      <c r="H22" s="216" t="s">
        <v>1570</v>
      </c>
      <c r="I22" s="213">
        <v>4599</v>
      </c>
      <c r="J22" s="216" t="s">
        <v>1571</v>
      </c>
      <c r="K22" s="216" t="s">
        <v>101</v>
      </c>
      <c r="L22" s="213" t="s">
        <v>41</v>
      </c>
      <c r="M22" s="216" t="s">
        <v>115</v>
      </c>
      <c r="N22" s="213">
        <v>4599031</v>
      </c>
      <c r="O22" s="216" t="s">
        <v>103</v>
      </c>
      <c r="P22" s="213" t="s">
        <v>41</v>
      </c>
      <c r="Q22" s="216" t="s">
        <v>112</v>
      </c>
      <c r="R22" s="213">
        <v>459903101</v>
      </c>
      <c r="S22" s="216" t="s">
        <v>105</v>
      </c>
      <c r="T22" s="236" t="s">
        <v>1671</v>
      </c>
      <c r="U22" s="213">
        <v>12</v>
      </c>
      <c r="V22" s="213">
        <v>12</v>
      </c>
      <c r="W22" s="236" t="s">
        <v>106</v>
      </c>
      <c r="X22" s="216" t="s">
        <v>107</v>
      </c>
      <c r="Y22" s="216" t="s">
        <v>108</v>
      </c>
      <c r="Z22" s="289"/>
      <c r="AA22" s="289"/>
      <c r="AB22" s="289"/>
      <c r="AC22" s="289"/>
      <c r="AD22" s="289"/>
      <c r="AE22" s="289"/>
      <c r="AF22" s="289"/>
      <c r="AG22" s="289"/>
      <c r="AH22" s="289"/>
      <c r="AI22" s="289"/>
      <c r="AJ22" s="289"/>
      <c r="AK22" s="289"/>
      <c r="AL22" s="289"/>
      <c r="AM22" s="289"/>
      <c r="AN22" s="289"/>
      <c r="AO22" s="289"/>
      <c r="AP22" s="289"/>
      <c r="AQ22" s="289"/>
      <c r="AR22" s="289"/>
      <c r="AS22" s="289"/>
      <c r="AT22" s="289"/>
      <c r="AU22" s="289"/>
      <c r="AV22" s="289"/>
      <c r="AW22" s="289"/>
      <c r="AX22" s="289"/>
      <c r="AY22" s="289"/>
      <c r="AZ22" s="289"/>
      <c r="BA22" s="289"/>
      <c r="BB22" s="289"/>
      <c r="BC22" s="289"/>
      <c r="BD22" s="234">
        <v>19675833</v>
      </c>
      <c r="BE22" s="273">
        <v>18752500</v>
      </c>
      <c r="BF22" s="273">
        <v>18752500</v>
      </c>
      <c r="BG22" s="289"/>
      <c r="BH22" s="289"/>
      <c r="BI22" s="289"/>
      <c r="BJ22" s="289"/>
      <c r="BK22" s="289"/>
      <c r="BL22" s="289"/>
      <c r="BM22" s="289"/>
      <c r="BN22" s="289"/>
      <c r="BO22" s="289"/>
      <c r="BP22" s="273">
        <f t="shared" si="2"/>
        <v>19675833</v>
      </c>
      <c r="BQ22" s="273">
        <f t="shared" si="3"/>
        <v>18752500</v>
      </c>
      <c r="BR22" s="273">
        <f t="shared" si="4"/>
        <v>18752500</v>
      </c>
      <c r="BS22" s="246" t="s">
        <v>1645</v>
      </c>
      <c r="BT22" s="233"/>
    </row>
    <row r="23" spans="1:72" s="27" customFormat="1" ht="138" customHeight="1" x14ac:dyDescent="0.2">
      <c r="A23" s="217">
        <v>305</v>
      </c>
      <c r="B23" s="287" t="s">
        <v>1613</v>
      </c>
      <c r="C23" s="213">
        <v>4</v>
      </c>
      <c r="D23" s="216" t="s">
        <v>1612</v>
      </c>
      <c r="E23" s="213">
        <v>45</v>
      </c>
      <c r="F23" s="216" t="s">
        <v>38</v>
      </c>
      <c r="G23" s="213" t="s">
        <v>41</v>
      </c>
      <c r="H23" s="216" t="s">
        <v>1570</v>
      </c>
      <c r="I23" s="213">
        <v>4599</v>
      </c>
      <c r="J23" s="216" t="s">
        <v>1571</v>
      </c>
      <c r="K23" s="216" t="s">
        <v>40</v>
      </c>
      <c r="L23" s="213" t="s">
        <v>41</v>
      </c>
      <c r="M23" s="216" t="s">
        <v>42</v>
      </c>
      <c r="N23" s="213">
        <v>4599023</v>
      </c>
      <c r="O23" s="216" t="s">
        <v>116</v>
      </c>
      <c r="P23" s="213" t="s">
        <v>41</v>
      </c>
      <c r="Q23" s="214" t="s">
        <v>117</v>
      </c>
      <c r="R23" s="213">
        <v>459902300</v>
      </c>
      <c r="S23" s="214" t="s">
        <v>45</v>
      </c>
      <c r="T23" s="236" t="s">
        <v>1671</v>
      </c>
      <c r="U23" s="213">
        <v>18</v>
      </c>
      <c r="V23" s="213">
        <v>18</v>
      </c>
      <c r="W23" s="236" t="s">
        <v>118</v>
      </c>
      <c r="X23" s="214" t="s">
        <v>119</v>
      </c>
      <c r="Y23" s="214" t="s">
        <v>120</v>
      </c>
      <c r="Z23" s="297"/>
      <c r="AA23" s="297"/>
      <c r="AB23" s="297"/>
      <c r="AC23" s="297"/>
      <c r="AD23" s="297"/>
      <c r="AE23" s="297"/>
      <c r="AF23" s="297"/>
      <c r="AG23" s="297"/>
      <c r="AH23" s="297"/>
      <c r="AI23" s="297"/>
      <c r="AJ23" s="297"/>
      <c r="AK23" s="297"/>
      <c r="AL23" s="297"/>
      <c r="AM23" s="297"/>
      <c r="AN23" s="297"/>
      <c r="AO23" s="297"/>
      <c r="AP23" s="297"/>
      <c r="AQ23" s="297"/>
      <c r="AR23" s="297"/>
      <c r="AS23" s="297"/>
      <c r="AT23" s="297"/>
      <c r="AU23" s="297"/>
      <c r="AV23" s="297"/>
      <c r="AW23" s="297"/>
      <c r="AX23" s="297"/>
      <c r="AY23" s="297"/>
      <c r="AZ23" s="297"/>
      <c r="BA23" s="297"/>
      <c r="BB23" s="297"/>
      <c r="BC23" s="297"/>
      <c r="BD23" s="234">
        <v>70730000</v>
      </c>
      <c r="BE23" s="294">
        <v>70730000</v>
      </c>
      <c r="BF23" s="294">
        <v>70730000</v>
      </c>
      <c r="BG23" s="297"/>
      <c r="BH23" s="297"/>
      <c r="BI23" s="297"/>
      <c r="BJ23" s="297"/>
      <c r="BK23" s="297"/>
      <c r="BL23" s="297"/>
      <c r="BM23" s="297"/>
      <c r="BN23" s="297"/>
      <c r="BO23" s="297"/>
      <c r="BP23" s="273">
        <f t="shared" si="2"/>
        <v>70730000</v>
      </c>
      <c r="BQ23" s="273">
        <f t="shared" si="3"/>
        <v>70730000</v>
      </c>
      <c r="BR23" s="273">
        <f t="shared" si="4"/>
        <v>70730000</v>
      </c>
      <c r="BS23" s="246" t="s">
        <v>1645</v>
      </c>
      <c r="BT23" s="233"/>
    </row>
    <row r="24" spans="1:72" s="27" customFormat="1" ht="171" customHeight="1" x14ac:dyDescent="0.2">
      <c r="A24" s="217">
        <v>307</v>
      </c>
      <c r="B24" s="287" t="s">
        <v>1615</v>
      </c>
      <c r="C24" s="213">
        <v>4</v>
      </c>
      <c r="D24" s="287" t="s">
        <v>1612</v>
      </c>
      <c r="E24" s="213">
        <v>45</v>
      </c>
      <c r="F24" s="216" t="s">
        <v>38</v>
      </c>
      <c r="G24" s="213" t="s">
        <v>41</v>
      </c>
      <c r="H24" s="216" t="s">
        <v>1570</v>
      </c>
      <c r="I24" s="213">
        <v>4599</v>
      </c>
      <c r="J24" s="216" t="s">
        <v>1571</v>
      </c>
      <c r="K24" s="216" t="s">
        <v>122</v>
      </c>
      <c r="L24" s="213" t="s">
        <v>41</v>
      </c>
      <c r="M24" s="298" t="s">
        <v>123</v>
      </c>
      <c r="N24" s="213">
        <v>4599002</v>
      </c>
      <c r="O24" s="298" t="s">
        <v>50</v>
      </c>
      <c r="P24" s="213" t="s">
        <v>41</v>
      </c>
      <c r="Q24" s="291" t="s">
        <v>124</v>
      </c>
      <c r="R24" s="213">
        <v>459900201</v>
      </c>
      <c r="S24" s="291" t="s">
        <v>125</v>
      </c>
      <c r="T24" s="236" t="s">
        <v>1671</v>
      </c>
      <c r="U24" s="299">
        <v>1</v>
      </c>
      <c r="V24" s="299">
        <v>0.77</v>
      </c>
      <c r="W24" s="236" t="s">
        <v>126</v>
      </c>
      <c r="X24" s="214" t="s">
        <v>127</v>
      </c>
      <c r="Y24" s="216" t="s">
        <v>128</v>
      </c>
      <c r="Z24" s="300"/>
      <c r="AA24" s="300"/>
      <c r="AB24" s="300"/>
      <c r="AC24" s="300"/>
      <c r="AD24" s="300"/>
      <c r="AE24" s="300"/>
      <c r="AF24" s="289"/>
      <c r="AG24" s="289"/>
      <c r="AH24" s="289"/>
      <c r="AI24" s="300"/>
      <c r="AJ24" s="300"/>
      <c r="AK24" s="300"/>
      <c r="AL24" s="300"/>
      <c r="AM24" s="300"/>
      <c r="AN24" s="300"/>
      <c r="AO24" s="300"/>
      <c r="AP24" s="300"/>
      <c r="AQ24" s="300"/>
      <c r="AR24" s="300"/>
      <c r="AS24" s="300"/>
      <c r="AT24" s="300"/>
      <c r="AU24" s="300"/>
      <c r="AV24" s="300"/>
      <c r="AW24" s="300"/>
      <c r="AX24" s="300"/>
      <c r="AY24" s="300"/>
      <c r="AZ24" s="300"/>
      <c r="BA24" s="300"/>
      <c r="BB24" s="300"/>
      <c r="BC24" s="300"/>
      <c r="BD24" s="234">
        <v>1981395879</v>
      </c>
      <c r="BE24" s="294">
        <v>1537073929</v>
      </c>
      <c r="BF24" s="294">
        <v>1537073929</v>
      </c>
      <c r="BG24" s="300"/>
      <c r="BH24" s="300"/>
      <c r="BI24" s="300"/>
      <c r="BJ24" s="301">
        <v>504229463.83999997</v>
      </c>
      <c r="BK24" s="301">
        <v>347030689.68000001</v>
      </c>
      <c r="BL24" s="301">
        <v>347030689.68000001</v>
      </c>
      <c r="BM24" s="301"/>
      <c r="BN24" s="301"/>
      <c r="BO24" s="301"/>
      <c r="BP24" s="273">
        <f t="shared" ref="BP24:BR25" si="5">+Z24+AC24+AF24+AI24+AL24+AO24+AR24+AU24+AX24+BA24+BD24+BG24+BJ24</f>
        <v>2485625342.8400002</v>
      </c>
      <c r="BQ24" s="273">
        <f t="shared" si="5"/>
        <v>1884104618.6800001</v>
      </c>
      <c r="BR24" s="273">
        <f t="shared" si="5"/>
        <v>1884104618.6800001</v>
      </c>
      <c r="BS24" s="236" t="s">
        <v>1646</v>
      </c>
      <c r="BT24" s="233"/>
    </row>
    <row r="25" spans="1:72" s="27" customFormat="1" ht="145.5" customHeight="1" x14ac:dyDescent="0.2">
      <c r="A25" s="217">
        <v>307</v>
      </c>
      <c r="B25" s="287" t="s">
        <v>1615</v>
      </c>
      <c r="C25" s="213">
        <v>4</v>
      </c>
      <c r="D25" s="287" t="s">
        <v>1612</v>
      </c>
      <c r="E25" s="213">
        <v>45</v>
      </c>
      <c r="F25" s="216" t="s">
        <v>38</v>
      </c>
      <c r="G25" s="213" t="s">
        <v>41</v>
      </c>
      <c r="H25" s="216" t="s">
        <v>1570</v>
      </c>
      <c r="I25" s="213">
        <v>4599</v>
      </c>
      <c r="J25" s="216" t="s">
        <v>1571</v>
      </c>
      <c r="K25" s="216" t="s">
        <v>122</v>
      </c>
      <c r="L25" s="213" t="s">
        <v>41</v>
      </c>
      <c r="M25" s="298" t="s">
        <v>129</v>
      </c>
      <c r="N25" s="213">
        <v>4599002</v>
      </c>
      <c r="O25" s="298" t="s">
        <v>130</v>
      </c>
      <c r="P25" s="213" t="s">
        <v>41</v>
      </c>
      <c r="Q25" s="291" t="s">
        <v>131</v>
      </c>
      <c r="R25" s="213">
        <v>459900200</v>
      </c>
      <c r="S25" s="291" t="s">
        <v>1472</v>
      </c>
      <c r="T25" s="236" t="s">
        <v>1671</v>
      </c>
      <c r="U25" s="299">
        <v>1</v>
      </c>
      <c r="V25" s="299">
        <v>1</v>
      </c>
      <c r="W25" s="236" t="s">
        <v>132</v>
      </c>
      <c r="X25" s="214" t="s">
        <v>133</v>
      </c>
      <c r="Y25" s="216" t="s">
        <v>134</v>
      </c>
      <c r="Z25" s="289"/>
      <c r="AA25" s="289"/>
      <c r="AB25" s="289"/>
      <c r="AC25" s="289"/>
      <c r="AD25" s="289"/>
      <c r="AE25" s="289"/>
      <c r="AF25" s="289"/>
      <c r="AG25" s="289"/>
      <c r="AH25" s="289"/>
      <c r="AI25" s="289"/>
      <c r="AJ25" s="289"/>
      <c r="AK25" s="289"/>
      <c r="AL25" s="289"/>
      <c r="AM25" s="289"/>
      <c r="AN25" s="289"/>
      <c r="AO25" s="289"/>
      <c r="AP25" s="289"/>
      <c r="AQ25" s="289"/>
      <c r="AR25" s="289"/>
      <c r="AS25" s="289"/>
      <c r="AT25" s="289"/>
      <c r="AU25" s="289"/>
      <c r="AV25" s="289"/>
      <c r="AW25" s="289"/>
      <c r="AX25" s="289"/>
      <c r="AY25" s="289"/>
      <c r="AZ25" s="289"/>
      <c r="BA25" s="289"/>
      <c r="BB25" s="289"/>
      <c r="BC25" s="289"/>
      <c r="BD25" s="234">
        <v>316000000</v>
      </c>
      <c r="BE25" s="302">
        <v>305180000</v>
      </c>
      <c r="BF25" s="302">
        <v>305180000</v>
      </c>
      <c r="BG25" s="289"/>
      <c r="BH25" s="289"/>
      <c r="BI25" s="289"/>
      <c r="BJ25" s="301"/>
      <c r="BK25" s="289"/>
      <c r="BL25" s="289"/>
      <c r="BM25" s="289"/>
      <c r="BN25" s="289"/>
      <c r="BO25" s="289"/>
      <c r="BP25" s="273">
        <f t="shared" si="5"/>
        <v>316000000</v>
      </c>
      <c r="BQ25" s="273">
        <f t="shared" si="5"/>
        <v>305180000</v>
      </c>
      <c r="BR25" s="273">
        <f t="shared" si="5"/>
        <v>305180000</v>
      </c>
      <c r="BS25" s="236" t="s">
        <v>1646</v>
      </c>
      <c r="BT25" s="233"/>
    </row>
    <row r="26" spans="1:72" s="27" customFormat="1" ht="217.5" customHeight="1" x14ac:dyDescent="0.2">
      <c r="A26" s="217">
        <v>308</v>
      </c>
      <c r="B26" s="216" t="s">
        <v>1618</v>
      </c>
      <c r="C26" s="213">
        <v>1</v>
      </c>
      <c r="D26" s="216" t="s">
        <v>1614</v>
      </c>
      <c r="E26" s="213">
        <v>12</v>
      </c>
      <c r="F26" s="216" t="s">
        <v>137</v>
      </c>
      <c r="G26" s="213">
        <v>1202</v>
      </c>
      <c r="H26" s="216" t="s">
        <v>1573</v>
      </c>
      <c r="I26" s="213">
        <v>1202</v>
      </c>
      <c r="J26" s="216" t="s">
        <v>1572</v>
      </c>
      <c r="K26" s="216" t="s">
        <v>139</v>
      </c>
      <c r="L26" s="213" t="s">
        <v>41</v>
      </c>
      <c r="M26" s="303" t="s">
        <v>140</v>
      </c>
      <c r="N26" s="213">
        <v>1202019</v>
      </c>
      <c r="O26" s="303" t="s">
        <v>141</v>
      </c>
      <c r="P26" s="213" t="s">
        <v>41</v>
      </c>
      <c r="Q26" s="303" t="s">
        <v>142</v>
      </c>
      <c r="R26" s="304">
        <v>120201900</v>
      </c>
      <c r="S26" s="303" t="s">
        <v>143</v>
      </c>
      <c r="T26" s="236" t="s">
        <v>1673</v>
      </c>
      <c r="U26" s="76">
        <v>3</v>
      </c>
      <c r="V26" s="76">
        <v>3</v>
      </c>
      <c r="W26" s="236" t="s">
        <v>144</v>
      </c>
      <c r="X26" s="214" t="s">
        <v>145</v>
      </c>
      <c r="Y26" s="214" t="s">
        <v>146</v>
      </c>
      <c r="Z26" s="305"/>
      <c r="AA26" s="305"/>
      <c r="AB26" s="305"/>
      <c r="AC26" s="289"/>
      <c r="AD26" s="289"/>
      <c r="AE26" s="289"/>
      <c r="AF26" s="289"/>
      <c r="AG26" s="289"/>
      <c r="AH26" s="289"/>
      <c r="AI26" s="289"/>
      <c r="AJ26" s="289"/>
      <c r="AK26" s="289"/>
      <c r="AL26" s="289"/>
      <c r="AM26" s="289"/>
      <c r="AN26" s="289"/>
      <c r="AO26" s="289"/>
      <c r="AP26" s="289"/>
      <c r="AQ26" s="289"/>
      <c r="AR26" s="289"/>
      <c r="AS26" s="289"/>
      <c r="AT26" s="289"/>
      <c r="AU26" s="289"/>
      <c r="AV26" s="289"/>
      <c r="AW26" s="289"/>
      <c r="AX26" s="289"/>
      <c r="AY26" s="289"/>
      <c r="AZ26" s="289"/>
      <c r="BA26" s="289"/>
      <c r="BB26" s="289"/>
      <c r="BC26" s="289"/>
      <c r="BD26" s="294">
        <v>24750000</v>
      </c>
      <c r="BE26" s="294">
        <v>22616827</v>
      </c>
      <c r="BF26" s="294">
        <v>22616827</v>
      </c>
      <c r="BG26" s="289"/>
      <c r="BH26" s="289"/>
      <c r="BI26" s="289"/>
      <c r="BJ26" s="289"/>
      <c r="BK26" s="306"/>
      <c r="BL26" s="306"/>
      <c r="BM26" s="306"/>
      <c r="BN26" s="306"/>
      <c r="BO26" s="306"/>
      <c r="BP26" s="273">
        <f t="shared" ref="BP26:BR30" si="6">+Z26+AC26+AF26+AI26+AL26+AO26+AR26+AU26+AX26+BA26+BD26+BG26+BJ26</f>
        <v>24750000</v>
      </c>
      <c r="BQ26" s="273">
        <f t="shared" si="6"/>
        <v>22616827</v>
      </c>
      <c r="BR26" s="273">
        <f t="shared" si="6"/>
        <v>22616827</v>
      </c>
      <c r="BS26" s="236" t="s">
        <v>1647</v>
      </c>
      <c r="BT26" s="233"/>
    </row>
    <row r="27" spans="1:72" s="27" customFormat="1" ht="156.75" customHeight="1" x14ac:dyDescent="0.2">
      <c r="A27" s="217">
        <v>308</v>
      </c>
      <c r="B27" s="216" t="s">
        <v>1618</v>
      </c>
      <c r="C27" s="213">
        <v>1</v>
      </c>
      <c r="D27" s="216" t="s">
        <v>1614</v>
      </c>
      <c r="E27" s="213">
        <v>19</v>
      </c>
      <c r="F27" s="216" t="s">
        <v>147</v>
      </c>
      <c r="G27" s="213">
        <v>1906</v>
      </c>
      <c r="H27" s="216" t="s">
        <v>1557</v>
      </c>
      <c r="I27" s="213">
        <v>1906</v>
      </c>
      <c r="J27" s="236" t="s">
        <v>1558</v>
      </c>
      <c r="K27" s="216" t="s">
        <v>149</v>
      </c>
      <c r="L27" s="213" t="s">
        <v>41</v>
      </c>
      <c r="M27" s="303" t="s">
        <v>150</v>
      </c>
      <c r="N27" s="213">
        <v>1906015</v>
      </c>
      <c r="O27" s="303" t="s">
        <v>151</v>
      </c>
      <c r="P27" s="213" t="s">
        <v>41</v>
      </c>
      <c r="Q27" s="309" t="s">
        <v>152</v>
      </c>
      <c r="R27" s="74">
        <v>190601500</v>
      </c>
      <c r="S27" s="309" t="s">
        <v>151</v>
      </c>
      <c r="T27" s="236" t="s">
        <v>1673</v>
      </c>
      <c r="U27" s="288">
        <v>1</v>
      </c>
      <c r="V27" s="288">
        <v>0.8</v>
      </c>
      <c r="W27" s="236" t="s">
        <v>153</v>
      </c>
      <c r="X27" s="214" t="s">
        <v>154</v>
      </c>
      <c r="Y27" s="214" t="s">
        <v>155</v>
      </c>
      <c r="Z27" s="305"/>
      <c r="AA27" s="305"/>
      <c r="AB27" s="305"/>
      <c r="AC27" s="289"/>
      <c r="AD27" s="289"/>
      <c r="AE27" s="289"/>
      <c r="AF27" s="289"/>
      <c r="AG27" s="289"/>
      <c r="AH27" s="289"/>
      <c r="AI27" s="289"/>
      <c r="AJ27" s="289"/>
      <c r="AK27" s="289"/>
      <c r="AL27" s="289"/>
      <c r="AM27" s="289"/>
      <c r="AN27" s="289"/>
      <c r="AO27" s="289"/>
      <c r="AP27" s="289"/>
      <c r="AQ27" s="289"/>
      <c r="AR27" s="289"/>
      <c r="AS27" s="289"/>
      <c r="AT27" s="289"/>
      <c r="AU27" s="289"/>
      <c r="AV27" s="289"/>
      <c r="AW27" s="289"/>
      <c r="AX27" s="289"/>
      <c r="AY27" s="289"/>
      <c r="AZ27" s="289"/>
      <c r="BA27" s="289"/>
      <c r="BB27" s="289"/>
      <c r="BC27" s="289"/>
      <c r="BD27" s="294">
        <v>459746979</v>
      </c>
      <c r="BE27" s="294">
        <v>6880000</v>
      </c>
      <c r="BF27" s="294">
        <v>6880000</v>
      </c>
      <c r="BG27" s="289"/>
      <c r="BH27" s="289"/>
      <c r="BI27" s="289"/>
      <c r="BJ27" s="306"/>
      <c r="BK27" s="306"/>
      <c r="BL27" s="306"/>
      <c r="BM27" s="306"/>
      <c r="BN27" s="306"/>
      <c r="BO27" s="306"/>
      <c r="BP27" s="273">
        <f t="shared" si="6"/>
        <v>459746979</v>
      </c>
      <c r="BQ27" s="273">
        <f t="shared" si="6"/>
        <v>6880000</v>
      </c>
      <c r="BR27" s="273">
        <f t="shared" si="6"/>
        <v>6880000</v>
      </c>
      <c r="BS27" s="236" t="s">
        <v>1647</v>
      </c>
      <c r="BT27" s="233"/>
    </row>
    <row r="28" spans="1:72" s="27" customFormat="1" ht="173.25" customHeight="1" x14ac:dyDescent="0.2">
      <c r="A28" s="217">
        <v>308</v>
      </c>
      <c r="B28" s="216" t="s">
        <v>1618</v>
      </c>
      <c r="C28" s="213">
        <v>1</v>
      </c>
      <c r="D28" s="216" t="s">
        <v>1614</v>
      </c>
      <c r="E28" s="213">
        <v>22</v>
      </c>
      <c r="F28" s="310" t="s">
        <v>156</v>
      </c>
      <c r="G28" s="213">
        <v>2201</v>
      </c>
      <c r="H28" s="216" t="s">
        <v>277</v>
      </c>
      <c r="I28" s="213">
        <v>2201</v>
      </c>
      <c r="J28" s="216" t="s">
        <v>1587</v>
      </c>
      <c r="K28" s="216" t="s">
        <v>158</v>
      </c>
      <c r="L28" s="213" t="s">
        <v>41</v>
      </c>
      <c r="M28" s="216" t="s">
        <v>159</v>
      </c>
      <c r="N28" s="213">
        <v>2201062</v>
      </c>
      <c r="O28" s="216" t="s">
        <v>160</v>
      </c>
      <c r="P28" s="213" t="s">
        <v>41</v>
      </c>
      <c r="Q28" s="216" t="s">
        <v>161</v>
      </c>
      <c r="R28" s="213">
        <v>220106200</v>
      </c>
      <c r="S28" s="214" t="s">
        <v>162</v>
      </c>
      <c r="T28" s="236" t="s">
        <v>1673</v>
      </c>
      <c r="U28" s="76">
        <v>15</v>
      </c>
      <c r="V28" s="76">
        <v>5</v>
      </c>
      <c r="W28" s="236" t="s">
        <v>163</v>
      </c>
      <c r="X28" s="214" t="s">
        <v>164</v>
      </c>
      <c r="Y28" s="214" t="s">
        <v>165</v>
      </c>
      <c r="Z28" s="305">
        <v>1765974462.4000001</v>
      </c>
      <c r="AA28" s="305">
        <v>298522254</v>
      </c>
      <c r="AB28" s="305">
        <v>298522254</v>
      </c>
      <c r="AC28" s="289"/>
      <c r="AD28" s="289"/>
      <c r="AE28" s="289"/>
      <c r="AF28" s="289"/>
      <c r="AG28" s="289"/>
      <c r="AH28" s="289"/>
      <c r="AI28" s="289"/>
      <c r="AJ28" s="289"/>
      <c r="AK28" s="289"/>
      <c r="AL28" s="289"/>
      <c r="AM28" s="289"/>
      <c r="AN28" s="289"/>
      <c r="AO28" s="289"/>
      <c r="AP28" s="289"/>
      <c r="AQ28" s="289"/>
      <c r="AR28" s="289"/>
      <c r="AS28" s="289"/>
      <c r="AT28" s="289"/>
      <c r="AU28" s="289"/>
      <c r="AV28" s="289"/>
      <c r="AW28" s="289"/>
      <c r="AX28" s="289"/>
      <c r="AY28" s="289"/>
      <c r="AZ28" s="289"/>
      <c r="BA28" s="289"/>
      <c r="BB28" s="289"/>
      <c r="BC28" s="289"/>
      <c r="BD28" s="294"/>
      <c r="BE28" s="294"/>
      <c r="BF28" s="294"/>
      <c r="BG28" s="289"/>
      <c r="BH28" s="289"/>
      <c r="BI28" s="289"/>
      <c r="BJ28" s="306"/>
      <c r="BK28" s="306"/>
      <c r="BL28" s="306"/>
      <c r="BM28" s="306"/>
      <c r="BN28" s="306"/>
      <c r="BO28" s="306"/>
      <c r="BP28" s="273">
        <f t="shared" si="6"/>
        <v>1765974462.4000001</v>
      </c>
      <c r="BQ28" s="273">
        <f t="shared" si="6"/>
        <v>298522254</v>
      </c>
      <c r="BR28" s="273">
        <f t="shared" si="6"/>
        <v>298522254</v>
      </c>
      <c r="BS28" s="236" t="s">
        <v>1647</v>
      </c>
      <c r="BT28" s="233"/>
    </row>
    <row r="29" spans="1:72" s="27" customFormat="1" ht="96" customHeight="1" x14ac:dyDescent="0.2">
      <c r="A29" s="217">
        <v>308</v>
      </c>
      <c r="B29" s="216" t="s">
        <v>1618</v>
      </c>
      <c r="C29" s="213">
        <v>1</v>
      </c>
      <c r="D29" s="216" t="s">
        <v>1614</v>
      </c>
      <c r="E29" s="213">
        <v>33</v>
      </c>
      <c r="F29" s="310" t="s">
        <v>166</v>
      </c>
      <c r="G29" s="213">
        <v>3301</v>
      </c>
      <c r="H29" s="216" t="s">
        <v>167</v>
      </c>
      <c r="I29" s="213">
        <v>3301</v>
      </c>
      <c r="J29" s="216" t="s">
        <v>1598</v>
      </c>
      <c r="K29" s="216" t="s">
        <v>168</v>
      </c>
      <c r="L29" s="213" t="s">
        <v>169</v>
      </c>
      <c r="M29" s="216" t="s">
        <v>170</v>
      </c>
      <c r="N29" s="213" t="s">
        <v>169</v>
      </c>
      <c r="O29" s="216" t="s">
        <v>170</v>
      </c>
      <c r="P29" s="304" t="s">
        <v>171</v>
      </c>
      <c r="Q29" s="303" t="s">
        <v>172</v>
      </c>
      <c r="R29" s="304" t="s">
        <v>171</v>
      </c>
      <c r="S29" s="303" t="s">
        <v>172</v>
      </c>
      <c r="T29" s="236" t="s">
        <v>1673</v>
      </c>
      <c r="U29" s="76">
        <v>2</v>
      </c>
      <c r="V29" s="76">
        <v>3</v>
      </c>
      <c r="W29" s="236" t="s">
        <v>173</v>
      </c>
      <c r="X29" s="214" t="s">
        <v>174</v>
      </c>
      <c r="Y29" s="214" t="s">
        <v>175</v>
      </c>
      <c r="Z29" s="289"/>
      <c r="AA29" s="289"/>
      <c r="AB29" s="289"/>
      <c r="AC29" s="289"/>
      <c r="AD29" s="289"/>
      <c r="AE29" s="289"/>
      <c r="AF29" s="289"/>
      <c r="AG29" s="289"/>
      <c r="AH29" s="289"/>
      <c r="AI29" s="289"/>
      <c r="AJ29" s="289"/>
      <c r="AK29" s="289"/>
      <c r="AL29" s="289"/>
      <c r="AM29" s="289"/>
      <c r="AN29" s="289"/>
      <c r="AO29" s="289"/>
      <c r="AP29" s="289"/>
      <c r="AQ29" s="289"/>
      <c r="AR29" s="289"/>
      <c r="AS29" s="289"/>
      <c r="AT29" s="289"/>
      <c r="AU29" s="289"/>
      <c r="AV29" s="289"/>
      <c r="AW29" s="289"/>
      <c r="AX29" s="289"/>
      <c r="AY29" s="289"/>
      <c r="AZ29" s="289"/>
      <c r="BA29" s="289"/>
      <c r="BB29" s="289"/>
      <c r="BC29" s="289"/>
      <c r="BD29" s="235">
        <v>110104790</v>
      </c>
      <c r="BE29" s="235">
        <v>52387068</v>
      </c>
      <c r="BF29" s="235">
        <v>52387068</v>
      </c>
      <c r="BG29" s="289"/>
      <c r="BH29" s="289"/>
      <c r="BI29" s="289"/>
      <c r="BJ29" s="289"/>
      <c r="BK29" s="289"/>
      <c r="BL29" s="289"/>
      <c r="BM29" s="289"/>
      <c r="BN29" s="289"/>
      <c r="BO29" s="289"/>
      <c r="BP29" s="273">
        <f t="shared" si="6"/>
        <v>110104790</v>
      </c>
      <c r="BQ29" s="273">
        <f t="shared" si="6"/>
        <v>52387068</v>
      </c>
      <c r="BR29" s="273">
        <f t="shared" si="6"/>
        <v>52387068</v>
      </c>
      <c r="BS29" s="236" t="s">
        <v>1647</v>
      </c>
      <c r="BT29" s="233"/>
    </row>
    <row r="30" spans="1:72" s="27" customFormat="1" ht="161.25" customHeight="1" x14ac:dyDescent="0.2">
      <c r="A30" s="217">
        <v>308</v>
      </c>
      <c r="B30" s="216" t="s">
        <v>1618</v>
      </c>
      <c r="C30" s="213">
        <v>1</v>
      </c>
      <c r="D30" s="216" t="s">
        <v>1614</v>
      </c>
      <c r="E30" s="213">
        <v>43</v>
      </c>
      <c r="F30" s="311" t="s">
        <v>176</v>
      </c>
      <c r="G30" s="213">
        <v>4301</v>
      </c>
      <c r="H30" s="311" t="s">
        <v>1564</v>
      </c>
      <c r="I30" s="213">
        <v>4301</v>
      </c>
      <c r="J30" s="311" t="s">
        <v>1565</v>
      </c>
      <c r="K30" s="216" t="s">
        <v>178</v>
      </c>
      <c r="L30" s="213" t="s">
        <v>41</v>
      </c>
      <c r="M30" s="303" t="s">
        <v>179</v>
      </c>
      <c r="N30" s="213">
        <v>4301004</v>
      </c>
      <c r="O30" s="303" t="s">
        <v>180</v>
      </c>
      <c r="P30" s="213" t="s">
        <v>41</v>
      </c>
      <c r="Q30" s="303" t="s">
        <v>181</v>
      </c>
      <c r="R30" s="213">
        <v>430100401</v>
      </c>
      <c r="S30" s="303" t="s">
        <v>182</v>
      </c>
      <c r="T30" s="236" t="s">
        <v>1673</v>
      </c>
      <c r="U30" s="76">
        <v>3</v>
      </c>
      <c r="V30" s="76">
        <v>4</v>
      </c>
      <c r="W30" s="236" t="s">
        <v>183</v>
      </c>
      <c r="X30" s="214" t="s">
        <v>184</v>
      </c>
      <c r="Y30" s="214" t="s">
        <v>185</v>
      </c>
      <c r="Z30" s="239">
        <v>2760904177.1000004</v>
      </c>
      <c r="AA30" s="312">
        <v>573180312.50999999</v>
      </c>
      <c r="AB30" s="312">
        <v>573180312.50999999</v>
      </c>
      <c r="AC30" s="289"/>
      <c r="AD30" s="289"/>
      <c r="AE30" s="289"/>
      <c r="AF30" s="289"/>
      <c r="AG30" s="289"/>
      <c r="AH30" s="289"/>
      <c r="AI30" s="289"/>
      <c r="AJ30" s="289"/>
      <c r="AK30" s="289"/>
      <c r="AL30" s="289"/>
      <c r="AM30" s="289"/>
      <c r="AN30" s="289"/>
      <c r="AO30" s="289"/>
      <c r="AP30" s="289"/>
      <c r="AQ30" s="289"/>
      <c r="AR30" s="289"/>
      <c r="AS30" s="289"/>
      <c r="AT30" s="289"/>
      <c r="AU30" s="289"/>
      <c r="AV30" s="289"/>
      <c r="AW30" s="289"/>
      <c r="AX30" s="289"/>
      <c r="AY30" s="289"/>
      <c r="AZ30" s="289"/>
      <c r="BA30" s="289"/>
      <c r="BB30" s="289"/>
      <c r="BC30" s="289"/>
      <c r="BD30" s="294"/>
      <c r="BE30" s="294"/>
      <c r="BF30" s="294"/>
      <c r="BG30" s="289"/>
      <c r="BH30" s="289"/>
      <c r="BI30" s="289"/>
      <c r="BJ30" s="289"/>
      <c r="BK30" s="289"/>
      <c r="BL30" s="289"/>
      <c r="BM30" s="289"/>
      <c r="BN30" s="289"/>
      <c r="BO30" s="289"/>
      <c r="BP30" s="273">
        <f t="shared" si="6"/>
        <v>2760904177.1000004</v>
      </c>
      <c r="BQ30" s="273">
        <f t="shared" si="6"/>
        <v>573180312.50999999</v>
      </c>
      <c r="BR30" s="273">
        <f t="shared" si="6"/>
        <v>573180312.50999999</v>
      </c>
      <c r="BS30" s="236" t="s">
        <v>1647</v>
      </c>
      <c r="BT30" s="233"/>
    </row>
    <row r="31" spans="1:72" s="27" customFormat="1" ht="161.25" customHeight="1" x14ac:dyDescent="0.2">
      <c r="A31" s="217">
        <v>308</v>
      </c>
      <c r="B31" s="216" t="s">
        <v>1618</v>
      </c>
      <c r="C31" s="213">
        <v>2</v>
      </c>
      <c r="D31" s="303" t="s">
        <v>1679</v>
      </c>
      <c r="E31" s="213">
        <v>35</v>
      </c>
      <c r="F31" s="287" t="s">
        <v>401</v>
      </c>
      <c r="G31" s="213">
        <v>3502</v>
      </c>
      <c r="H31" s="303" t="s">
        <v>1680</v>
      </c>
      <c r="I31" s="213">
        <v>3502</v>
      </c>
      <c r="J31" s="303" t="s">
        <v>1681</v>
      </c>
      <c r="K31" s="303" t="s">
        <v>1683</v>
      </c>
      <c r="L31" s="213">
        <v>3502039</v>
      </c>
      <c r="M31" s="303" t="s">
        <v>421</v>
      </c>
      <c r="N31" s="213">
        <v>3502039</v>
      </c>
      <c r="O31" s="303" t="s">
        <v>421</v>
      </c>
      <c r="P31" s="304">
        <v>350203910</v>
      </c>
      <c r="Q31" s="303" t="s">
        <v>426</v>
      </c>
      <c r="R31" s="304">
        <v>350203910</v>
      </c>
      <c r="S31" s="303" t="s">
        <v>426</v>
      </c>
      <c r="T31" s="304" t="s">
        <v>1673</v>
      </c>
      <c r="U31" s="76">
        <v>1</v>
      </c>
      <c r="V31" s="76">
        <v>0</v>
      </c>
      <c r="W31" s="236" t="s">
        <v>1684</v>
      </c>
      <c r="X31" s="214" t="s">
        <v>1682</v>
      </c>
      <c r="Y31" s="214" t="s">
        <v>1685</v>
      </c>
      <c r="Z31" s="239"/>
      <c r="AA31" s="312"/>
      <c r="AB31" s="312"/>
      <c r="AC31" s="289"/>
      <c r="AD31" s="289"/>
      <c r="AE31" s="289"/>
      <c r="AF31" s="289"/>
      <c r="AG31" s="289"/>
      <c r="AH31" s="289"/>
      <c r="AI31" s="289"/>
      <c r="AJ31" s="289"/>
      <c r="AK31" s="289"/>
      <c r="AL31" s="289"/>
      <c r="AM31" s="289"/>
      <c r="AN31" s="289"/>
      <c r="AO31" s="289"/>
      <c r="AP31" s="289"/>
      <c r="AQ31" s="289"/>
      <c r="AR31" s="289"/>
      <c r="AS31" s="289"/>
      <c r="AT31" s="289"/>
      <c r="AU31" s="289"/>
      <c r="AV31" s="289"/>
      <c r="AW31" s="289"/>
      <c r="AX31" s="289"/>
      <c r="AY31" s="289"/>
      <c r="AZ31" s="289"/>
      <c r="BA31" s="289"/>
      <c r="BB31" s="289"/>
      <c r="BC31" s="289"/>
      <c r="BD31" s="294">
        <f>58370567-58370566</f>
        <v>1</v>
      </c>
      <c r="BE31" s="294"/>
      <c r="BF31" s="294"/>
      <c r="BG31" s="289"/>
      <c r="BH31" s="289"/>
      <c r="BI31" s="289"/>
      <c r="BJ31" s="289"/>
      <c r="BK31" s="289"/>
      <c r="BL31" s="289"/>
      <c r="BM31" s="289"/>
      <c r="BN31" s="289"/>
      <c r="BO31" s="289"/>
      <c r="BP31" s="273">
        <f>+Z31+AC31+AF31+AI31+AL31+AO31+AR31+AU31+AX31+BA31+BD31+BG31+BJ31</f>
        <v>1</v>
      </c>
      <c r="BQ31" s="273">
        <f>+AA31+AD31+AG31+AJ31+AM31+AP31+AS31+AV31+AY31+BB31+BE31+BH31+BK31</f>
        <v>0</v>
      </c>
      <c r="BR31" s="273">
        <f>+AB31+AE31+AH31+AK31+AN31+AQ31+AT31+AW31+AZ31+BC31+BF31+BI31+BL31</f>
        <v>0</v>
      </c>
      <c r="BS31" s="236"/>
      <c r="BT31" s="233"/>
    </row>
    <row r="32" spans="1:72" s="27" customFormat="1" ht="162" customHeight="1" x14ac:dyDescent="0.2">
      <c r="A32" s="217">
        <v>308</v>
      </c>
      <c r="B32" s="216" t="s">
        <v>1618</v>
      </c>
      <c r="C32" s="213">
        <v>3</v>
      </c>
      <c r="D32" s="303" t="s">
        <v>1616</v>
      </c>
      <c r="E32" s="213">
        <v>24</v>
      </c>
      <c r="F32" s="287" t="s">
        <v>187</v>
      </c>
      <c r="G32" s="213">
        <v>2402</v>
      </c>
      <c r="H32" s="303" t="s">
        <v>188</v>
      </c>
      <c r="I32" s="213">
        <v>2402</v>
      </c>
      <c r="J32" s="303" t="s">
        <v>1590</v>
      </c>
      <c r="K32" s="303" t="s">
        <v>1308</v>
      </c>
      <c r="L32" s="213" t="s">
        <v>41</v>
      </c>
      <c r="M32" s="303" t="s">
        <v>189</v>
      </c>
      <c r="N32" s="213">
        <v>2402022</v>
      </c>
      <c r="O32" s="303" t="s">
        <v>190</v>
      </c>
      <c r="P32" s="213" t="s">
        <v>41</v>
      </c>
      <c r="Q32" s="303" t="s">
        <v>191</v>
      </c>
      <c r="R32" s="213">
        <v>240202200</v>
      </c>
      <c r="S32" s="303" t="s">
        <v>192</v>
      </c>
      <c r="T32" s="236" t="s">
        <v>1671</v>
      </c>
      <c r="U32" s="313">
        <v>1</v>
      </c>
      <c r="V32" s="313">
        <v>1</v>
      </c>
      <c r="W32" s="236" t="s">
        <v>193</v>
      </c>
      <c r="X32" s="216" t="s">
        <v>194</v>
      </c>
      <c r="Y32" s="216" t="s">
        <v>195</v>
      </c>
      <c r="Z32" s="289"/>
      <c r="AA32" s="289"/>
      <c r="AB32" s="289"/>
      <c r="AC32" s="289"/>
      <c r="AD32" s="289"/>
      <c r="AE32" s="289"/>
      <c r="AF32" s="314"/>
      <c r="AG32" s="314"/>
      <c r="AH32" s="314"/>
      <c r="AI32" s="289"/>
      <c r="AJ32" s="289"/>
      <c r="AK32" s="289"/>
      <c r="AL32" s="289"/>
      <c r="AM32" s="289"/>
      <c r="AN32" s="289"/>
      <c r="AO32" s="289"/>
      <c r="AP32" s="289"/>
      <c r="AQ32" s="289"/>
      <c r="AR32" s="289"/>
      <c r="AS32" s="289"/>
      <c r="AT32" s="289"/>
      <c r="AU32" s="289"/>
      <c r="AV32" s="289"/>
      <c r="AW32" s="289"/>
      <c r="AX32" s="289"/>
      <c r="AY32" s="289"/>
      <c r="AZ32" s="289"/>
      <c r="BA32" s="289"/>
      <c r="BB32" s="289"/>
      <c r="BC32" s="289"/>
      <c r="BD32" s="315">
        <v>77479710</v>
      </c>
      <c r="BE32" s="315">
        <v>77479701</v>
      </c>
      <c r="BF32" s="315">
        <v>77479701</v>
      </c>
      <c r="BG32" s="289"/>
      <c r="BH32" s="289"/>
      <c r="BI32" s="289"/>
      <c r="BJ32" s="289"/>
      <c r="BK32" s="289"/>
      <c r="BL32" s="289"/>
      <c r="BM32" s="289"/>
      <c r="BN32" s="289"/>
      <c r="BO32" s="289"/>
      <c r="BP32" s="273">
        <f t="shared" ref="BP32:BR34" si="7">+Z32+AC32+AF32+AI32+AL32+AO32+AR32+AU32+AX32+BA32+BD32+BG32+BJ32</f>
        <v>77479710</v>
      </c>
      <c r="BQ32" s="273">
        <f t="shared" si="7"/>
        <v>77479701</v>
      </c>
      <c r="BR32" s="273">
        <f t="shared" si="7"/>
        <v>77479701</v>
      </c>
      <c r="BS32" s="236" t="s">
        <v>1647</v>
      </c>
      <c r="BT32" s="233"/>
    </row>
    <row r="33" spans="1:72" s="27" customFormat="1" ht="144.75" customHeight="1" x14ac:dyDescent="0.2">
      <c r="A33" s="217">
        <v>308</v>
      </c>
      <c r="B33" s="216" t="s">
        <v>1618</v>
      </c>
      <c r="C33" s="213">
        <v>3</v>
      </c>
      <c r="D33" s="303" t="s">
        <v>1616</v>
      </c>
      <c r="E33" s="213">
        <v>24</v>
      </c>
      <c r="F33" s="287" t="s">
        <v>187</v>
      </c>
      <c r="G33" s="213">
        <v>2402</v>
      </c>
      <c r="H33" s="303" t="s">
        <v>188</v>
      </c>
      <c r="I33" s="213">
        <v>2402</v>
      </c>
      <c r="J33" s="303" t="s">
        <v>1590</v>
      </c>
      <c r="K33" s="303" t="s">
        <v>1308</v>
      </c>
      <c r="L33" s="213" t="s">
        <v>41</v>
      </c>
      <c r="M33" s="303" t="s">
        <v>196</v>
      </c>
      <c r="N33" s="316">
        <v>2402041</v>
      </c>
      <c r="O33" s="303" t="s">
        <v>197</v>
      </c>
      <c r="P33" s="213" t="s">
        <v>41</v>
      </c>
      <c r="Q33" s="303" t="s">
        <v>198</v>
      </c>
      <c r="R33" s="304">
        <v>240204100</v>
      </c>
      <c r="S33" s="303" t="s">
        <v>199</v>
      </c>
      <c r="T33" s="236" t="s">
        <v>1671</v>
      </c>
      <c r="U33" s="313">
        <v>130</v>
      </c>
      <c r="V33" s="313">
        <v>227.35</v>
      </c>
      <c r="W33" s="236" t="s">
        <v>193</v>
      </c>
      <c r="X33" s="216" t="s">
        <v>194</v>
      </c>
      <c r="Y33" s="216" t="s">
        <v>195</v>
      </c>
      <c r="Z33" s="289"/>
      <c r="AA33" s="289"/>
      <c r="AB33" s="289"/>
      <c r="AC33" s="289"/>
      <c r="AD33" s="289"/>
      <c r="AE33" s="289"/>
      <c r="AF33" s="305"/>
      <c r="AG33" s="305"/>
      <c r="AH33" s="305"/>
      <c r="AI33" s="289"/>
      <c r="AJ33" s="289"/>
      <c r="AK33" s="289"/>
      <c r="AL33" s="289"/>
      <c r="AM33" s="289"/>
      <c r="AN33" s="289"/>
      <c r="AO33" s="289"/>
      <c r="AP33" s="289"/>
      <c r="AQ33" s="289"/>
      <c r="AR33" s="289"/>
      <c r="AS33" s="289"/>
      <c r="AT33" s="289"/>
      <c r="AU33" s="289"/>
      <c r="AV33" s="289"/>
      <c r="AW33" s="289"/>
      <c r="AX33" s="289"/>
      <c r="AY33" s="289"/>
      <c r="AZ33" s="289"/>
      <c r="BA33" s="289"/>
      <c r="BB33" s="289"/>
      <c r="BC33" s="289"/>
      <c r="BD33" s="315">
        <v>674804361</v>
      </c>
      <c r="BE33" s="315">
        <v>238545302</v>
      </c>
      <c r="BF33" s="315">
        <v>238545302</v>
      </c>
      <c r="BG33" s="289"/>
      <c r="BH33" s="289"/>
      <c r="BI33" s="289"/>
      <c r="BJ33" s="317">
        <v>7798323517</v>
      </c>
      <c r="BK33" s="289">
        <v>44406667</v>
      </c>
      <c r="BL33" s="289">
        <v>44406667</v>
      </c>
      <c r="BM33" s="289"/>
      <c r="BN33" s="289"/>
      <c r="BO33" s="289"/>
      <c r="BP33" s="273">
        <f t="shared" si="7"/>
        <v>8473127878</v>
      </c>
      <c r="BQ33" s="273">
        <f t="shared" si="7"/>
        <v>282951969</v>
      </c>
      <c r="BR33" s="273">
        <f t="shared" si="7"/>
        <v>282951969</v>
      </c>
      <c r="BS33" s="236" t="s">
        <v>1647</v>
      </c>
      <c r="BT33" s="233"/>
    </row>
    <row r="34" spans="1:72" s="27" customFormat="1" ht="121.5" customHeight="1" x14ac:dyDescent="0.2">
      <c r="A34" s="217">
        <v>308</v>
      </c>
      <c r="B34" s="216" t="s">
        <v>1618</v>
      </c>
      <c r="C34" s="213">
        <v>3</v>
      </c>
      <c r="D34" s="303" t="s">
        <v>1616</v>
      </c>
      <c r="E34" s="213">
        <v>24</v>
      </c>
      <c r="F34" s="287" t="s">
        <v>187</v>
      </c>
      <c r="G34" s="213">
        <v>2402</v>
      </c>
      <c r="H34" s="303" t="s">
        <v>188</v>
      </c>
      <c r="I34" s="213">
        <v>2402</v>
      </c>
      <c r="J34" s="303" t="s">
        <v>1590</v>
      </c>
      <c r="K34" s="303" t="s">
        <v>1308</v>
      </c>
      <c r="L34" s="213" t="s">
        <v>41</v>
      </c>
      <c r="M34" s="216" t="s">
        <v>200</v>
      </c>
      <c r="N34" s="213">
        <v>2402118</v>
      </c>
      <c r="O34" s="216" t="s">
        <v>201</v>
      </c>
      <c r="P34" s="213" t="s">
        <v>41</v>
      </c>
      <c r="Q34" s="214" t="s">
        <v>202</v>
      </c>
      <c r="R34" s="213">
        <v>240211800</v>
      </c>
      <c r="S34" s="303" t="s">
        <v>203</v>
      </c>
      <c r="T34" s="236" t="s">
        <v>1673</v>
      </c>
      <c r="U34" s="76">
        <v>6</v>
      </c>
      <c r="V34" s="76">
        <v>2</v>
      </c>
      <c r="W34" s="236" t="s">
        <v>204</v>
      </c>
      <c r="X34" s="216" t="s">
        <v>205</v>
      </c>
      <c r="Y34" s="216" t="s">
        <v>206</v>
      </c>
      <c r="Z34" s="289"/>
      <c r="AA34" s="289"/>
      <c r="AB34" s="289"/>
      <c r="AC34" s="289"/>
      <c r="AD34" s="289"/>
      <c r="AE34" s="289"/>
      <c r="AF34" s="314"/>
      <c r="AG34" s="314"/>
      <c r="AH34" s="314"/>
      <c r="AI34" s="289"/>
      <c r="AJ34" s="289"/>
      <c r="AK34" s="289"/>
      <c r="AL34" s="289"/>
      <c r="AM34" s="289"/>
      <c r="AN34" s="289"/>
      <c r="AO34" s="289"/>
      <c r="AP34" s="289"/>
      <c r="AQ34" s="289"/>
      <c r="AR34" s="289"/>
      <c r="AS34" s="289"/>
      <c r="AT34" s="289"/>
      <c r="AU34" s="289"/>
      <c r="AV34" s="289"/>
      <c r="AW34" s="289"/>
      <c r="AX34" s="289"/>
      <c r="AY34" s="289"/>
      <c r="AZ34" s="289"/>
      <c r="BA34" s="289"/>
      <c r="BB34" s="289"/>
      <c r="BC34" s="289"/>
      <c r="BD34" s="315">
        <v>40000000</v>
      </c>
      <c r="BE34" s="315">
        <v>9000000</v>
      </c>
      <c r="BF34" s="315">
        <v>9000000</v>
      </c>
      <c r="BG34" s="289"/>
      <c r="BH34" s="289"/>
      <c r="BI34" s="289"/>
      <c r="BJ34" s="289"/>
      <c r="BK34" s="289"/>
      <c r="BL34" s="289"/>
      <c r="BM34" s="289"/>
      <c r="BN34" s="289"/>
      <c r="BO34" s="289"/>
      <c r="BP34" s="273">
        <f t="shared" si="7"/>
        <v>40000000</v>
      </c>
      <c r="BQ34" s="273">
        <f t="shared" si="7"/>
        <v>9000000</v>
      </c>
      <c r="BR34" s="273">
        <f t="shared" si="7"/>
        <v>9000000</v>
      </c>
      <c r="BS34" s="236" t="s">
        <v>1647</v>
      </c>
      <c r="BT34" s="233"/>
    </row>
    <row r="35" spans="1:72" s="27" customFormat="1" ht="135" customHeight="1" x14ac:dyDescent="0.2">
      <c r="A35" s="217">
        <v>308</v>
      </c>
      <c r="B35" s="216" t="s">
        <v>1618</v>
      </c>
      <c r="C35" s="213">
        <v>3</v>
      </c>
      <c r="D35" s="303" t="s">
        <v>1616</v>
      </c>
      <c r="E35" s="213">
        <v>32</v>
      </c>
      <c r="F35" s="303" t="s">
        <v>207</v>
      </c>
      <c r="G35" s="213">
        <v>3205</v>
      </c>
      <c r="H35" s="216" t="s">
        <v>208</v>
      </c>
      <c r="I35" s="213">
        <v>3205</v>
      </c>
      <c r="J35" s="216" t="s">
        <v>1596</v>
      </c>
      <c r="K35" s="216" t="s">
        <v>209</v>
      </c>
      <c r="L35" s="304">
        <v>3205010</v>
      </c>
      <c r="M35" s="216" t="s">
        <v>210</v>
      </c>
      <c r="N35" s="304">
        <v>3205010</v>
      </c>
      <c r="O35" s="216" t="s">
        <v>210</v>
      </c>
      <c r="P35" s="304" t="s">
        <v>211</v>
      </c>
      <c r="Q35" s="216" t="s">
        <v>212</v>
      </c>
      <c r="R35" s="304" t="s">
        <v>211</v>
      </c>
      <c r="S35" s="216" t="s">
        <v>212</v>
      </c>
      <c r="T35" s="236" t="s">
        <v>1673</v>
      </c>
      <c r="U35" s="76">
        <v>2</v>
      </c>
      <c r="V35" s="76">
        <v>0</v>
      </c>
      <c r="W35" s="236" t="s">
        <v>213</v>
      </c>
      <c r="X35" s="214" t="s">
        <v>214</v>
      </c>
      <c r="Y35" s="214" t="s">
        <v>215</v>
      </c>
      <c r="Z35" s="289">
        <v>0</v>
      </c>
      <c r="AA35" s="289"/>
      <c r="AB35" s="289"/>
      <c r="AC35" s="289">
        <v>0</v>
      </c>
      <c r="AD35" s="289"/>
      <c r="AE35" s="289"/>
      <c r="AF35" s="314">
        <v>0</v>
      </c>
      <c r="AG35" s="314"/>
      <c r="AH35" s="314"/>
      <c r="AI35" s="289">
        <v>0</v>
      </c>
      <c r="AJ35" s="289"/>
      <c r="AK35" s="289"/>
      <c r="AL35" s="289">
        <v>0</v>
      </c>
      <c r="AM35" s="289"/>
      <c r="AN35" s="289"/>
      <c r="AO35" s="289">
        <v>0</v>
      </c>
      <c r="AP35" s="289"/>
      <c r="AQ35" s="289"/>
      <c r="AR35" s="289">
        <v>0</v>
      </c>
      <c r="AS35" s="289"/>
      <c r="AT35" s="289"/>
      <c r="AU35" s="289">
        <v>0</v>
      </c>
      <c r="AV35" s="289"/>
      <c r="AW35" s="289"/>
      <c r="AX35" s="289">
        <v>0</v>
      </c>
      <c r="AY35" s="289"/>
      <c r="AZ35" s="289"/>
      <c r="BA35" s="289">
        <v>0</v>
      </c>
      <c r="BB35" s="289"/>
      <c r="BC35" s="289"/>
      <c r="BD35" s="234">
        <v>1418800000</v>
      </c>
      <c r="BE35" s="318">
        <v>64515000</v>
      </c>
      <c r="BF35" s="318">
        <v>64515000</v>
      </c>
      <c r="BG35" s="289">
        <v>0</v>
      </c>
      <c r="BH35" s="289"/>
      <c r="BI35" s="289"/>
      <c r="BJ35" s="289">
        <v>0</v>
      </c>
      <c r="BK35" s="289"/>
      <c r="BL35" s="289"/>
      <c r="BM35" s="289"/>
      <c r="BN35" s="289"/>
      <c r="BO35" s="289"/>
      <c r="BP35" s="273">
        <f t="shared" ref="BP35:BR37" si="8">+Z35+AC35+AF35+AI35+AL35+AO35+AR35+AU35+AX35+BA35+BD35+BG35+BJ35</f>
        <v>1418800000</v>
      </c>
      <c r="BQ35" s="273">
        <f t="shared" si="8"/>
        <v>64515000</v>
      </c>
      <c r="BR35" s="273">
        <f t="shared" si="8"/>
        <v>64515000</v>
      </c>
      <c r="BS35" s="236" t="s">
        <v>1647</v>
      </c>
      <c r="BT35" s="233"/>
    </row>
    <row r="36" spans="1:72" s="27" customFormat="1" ht="157.5" customHeight="1" x14ac:dyDescent="0.2">
      <c r="A36" s="217">
        <v>308</v>
      </c>
      <c r="B36" s="216" t="s">
        <v>1618</v>
      </c>
      <c r="C36" s="213">
        <v>3</v>
      </c>
      <c r="D36" s="303" t="s">
        <v>1616</v>
      </c>
      <c r="E36" s="213">
        <v>32</v>
      </c>
      <c r="F36" s="303" t="s">
        <v>207</v>
      </c>
      <c r="G36" s="213">
        <v>3205</v>
      </c>
      <c r="H36" s="216" t="s">
        <v>208</v>
      </c>
      <c r="I36" s="213">
        <v>3205</v>
      </c>
      <c r="J36" s="216" t="s">
        <v>1596</v>
      </c>
      <c r="K36" s="216" t="s">
        <v>209</v>
      </c>
      <c r="L36" s="304">
        <v>3205021</v>
      </c>
      <c r="M36" s="216" t="s">
        <v>216</v>
      </c>
      <c r="N36" s="304">
        <v>3205021</v>
      </c>
      <c r="O36" s="216" t="s">
        <v>216</v>
      </c>
      <c r="P36" s="304">
        <v>320502100</v>
      </c>
      <c r="Q36" s="216" t="s">
        <v>217</v>
      </c>
      <c r="R36" s="304">
        <v>320502100</v>
      </c>
      <c r="S36" s="216" t="s">
        <v>217</v>
      </c>
      <c r="T36" s="236" t="s">
        <v>1673</v>
      </c>
      <c r="U36" s="76">
        <v>2</v>
      </c>
      <c r="V36" s="76">
        <v>2</v>
      </c>
      <c r="W36" s="236" t="s">
        <v>218</v>
      </c>
      <c r="X36" s="214" t="s">
        <v>219</v>
      </c>
      <c r="Y36" s="214" t="s">
        <v>220</v>
      </c>
      <c r="Z36" s="289"/>
      <c r="AA36" s="289"/>
      <c r="AB36" s="289"/>
      <c r="AC36" s="289"/>
      <c r="AD36" s="289"/>
      <c r="AE36" s="289"/>
      <c r="AF36" s="314">
        <v>56108067</v>
      </c>
      <c r="AG36" s="314">
        <v>37529205.509999998</v>
      </c>
      <c r="AH36" s="314">
        <v>37529205.509999998</v>
      </c>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34">
        <v>788200000</v>
      </c>
      <c r="BE36" s="315">
        <v>330416870.27999997</v>
      </c>
      <c r="BF36" s="315">
        <v>330416870.27999997</v>
      </c>
      <c r="BG36" s="289"/>
      <c r="BH36" s="289"/>
      <c r="BI36" s="289"/>
      <c r="BJ36" s="289"/>
      <c r="BK36" s="289"/>
      <c r="BL36" s="289"/>
      <c r="BM36" s="289"/>
      <c r="BN36" s="289"/>
      <c r="BO36" s="289"/>
      <c r="BP36" s="273">
        <f t="shared" si="8"/>
        <v>844308067</v>
      </c>
      <c r="BQ36" s="273">
        <f t="shared" si="8"/>
        <v>367946075.78999996</v>
      </c>
      <c r="BR36" s="273">
        <f>+AB36+AE36+AH36+AK36+AN36+AQ36+AT36+AW36+AZ36+BC36+BF36+BI36+BL36</f>
        <v>367946075.78999996</v>
      </c>
      <c r="BS36" s="236" t="s">
        <v>1647</v>
      </c>
      <c r="BT36" s="233"/>
    </row>
    <row r="37" spans="1:72" s="27" customFormat="1" ht="126.75" customHeight="1" x14ac:dyDescent="0.2">
      <c r="A37" s="217">
        <v>308</v>
      </c>
      <c r="B37" s="216" t="s">
        <v>1618</v>
      </c>
      <c r="C37" s="213">
        <v>3</v>
      </c>
      <c r="D37" s="303" t="s">
        <v>1616</v>
      </c>
      <c r="E37" s="213">
        <v>40</v>
      </c>
      <c r="F37" s="216" t="s">
        <v>221</v>
      </c>
      <c r="G37" s="270">
        <v>4001</v>
      </c>
      <c r="H37" s="216" t="s">
        <v>222</v>
      </c>
      <c r="I37" s="270">
        <v>4001</v>
      </c>
      <c r="J37" s="216" t="s">
        <v>1603</v>
      </c>
      <c r="K37" s="216" t="s">
        <v>223</v>
      </c>
      <c r="L37" s="316">
        <v>4001015</v>
      </c>
      <c r="M37" s="216" t="s">
        <v>224</v>
      </c>
      <c r="N37" s="316">
        <v>4001015</v>
      </c>
      <c r="O37" s="216" t="s">
        <v>224</v>
      </c>
      <c r="P37" s="292" t="s">
        <v>225</v>
      </c>
      <c r="Q37" s="311" t="s">
        <v>226</v>
      </c>
      <c r="R37" s="292" t="s">
        <v>225</v>
      </c>
      <c r="S37" s="311" t="s">
        <v>226</v>
      </c>
      <c r="T37" s="236" t="s">
        <v>1673</v>
      </c>
      <c r="U37" s="76">
        <v>50</v>
      </c>
      <c r="V37" s="76">
        <v>0</v>
      </c>
      <c r="W37" s="236" t="s">
        <v>227</v>
      </c>
      <c r="X37" s="214" t="s">
        <v>228</v>
      </c>
      <c r="Y37" s="214" t="s">
        <v>229</v>
      </c>
      <c r="Z37" s="289">
        <v>100000000.09999999</v>
      </c>
      <c r="AA37" s="289">
        <v>0</v>
      </c>
      <c r="AB37" s="289"/>
      <c r="AC37" s="289"/>
      <c r="AD37" s="289"/>
      <c r="AE37" s="289"/>
      <c r="AF37" s="314"/>
      <c r="AG37" s="314"/>
      <c r="AH37" s="314"/>
      <c r="AI37" s="289"/>
      <c r="AJ37" s="289"/>
      <c r="AK37" s="289"/>
      <c r="AL37" s="289"/>
      <c r="AM37" s="289"/>
      <c r="AN37" s="289"/>
      <c r="AO37" s="289"/>
      <c r="AP37" s="289"/>
      <c r="AQ37" s="289"/>
      <c r="AR37" s="289"/>
      <c r="AS37" s="289"/>
      <c r="AT37" s="289"/>
      <c r="AU37" s="289"/>
      <c r="AV37" s="289"/>
      <c r="AW37" s="289"/>
      <c r="AX37" s="289"/>
      <c r="AY37" s="289"/>
      <c r="AZ37" s="289"/>
      <c r="BA37" s="289"/>
      <c r="BB37" s="289"/>
      <c r="BC37" s="289"/>
      <c r="BD37" s="294">
        <v>20000000</v>
      </c>
      <c r="BE37" s="294">
        <v>0</v>
      </c>
      <c r="BF37" s="294"/>
      <c r="BG37" s="289"/>
      <c r="BH37" s="289"/>
      <c r="BI37" s="289"/>
      <c r="BJ37" s="289"/>
      <c r="BK37" s="289"/>
      <c r="BL37" s="289"/>
      <c r="BM37" s="289"/>
      <c r="BN37" s="289"/>
      <c r="BO37" s="289"/>
      <c r="BP37" s="273">
        <f t="shared" si="8"/>
        <v>120000000.09999999</v>
      </c>
      <c r="BQ37" s="273">
        <f t="shared" si="8"/>
        <v>0</v>
      </c>
      <c r="BR37" s="273">
        <f t="shared" si="8"/>
        <v>0</v>
      </c>
      <c r="BS37" s="236" t="s">
        <v>1647</v>
      </c>
      <c r="BT37" s="233"/>
    </row>
    <row r="38" spans="1:72" s="27" customFormat="1" ht="117" customHeight="1" x14ac:dyDescent="0.2">
      <c r="A38" s="217">
        <v>308</v>
      </c>
      <c r="B38" s="216" t="s">
        <v>1618</v>
      </c>
      <c r="C38" s="213">
        <v>3</v>
      </c>
      <c r="D38" s="303" t="s">
        <v>1616</v>
      </c>
      <c r="E38" s="213">
        <v>40</v>
      </c>
      <c r="F38" s="216" t="s">
        <v>221</v>
      </c>
      <c r="G38" s="213">
        <v>4003</v>
      </c>
      <c r="H38" s="296" t="s">
        <v>230</v>
      </c>
      <c r="I38" s="213">
        <v>4003</v>
      </c>
      <c r="J38" s="216" t="s">
        <v>1604</v>
      </c>
      <c r="K38" s="303" t="s">
        <v>231</v>
      </c>
      <c r="L38" s="304" t="s">
        <v>41</v>
      </c>
      <c r="M38" s="216" t="s">
        <v>232</v>
      </c>
      <c r="N38" s="213">
        <v>4003006</v>
      </c>
      <c r="O38" s="216" t="s">
        <v>233</v>
      </c>
      <c r="P38" s="304" t="s">
        <v>41</v>
      </c>
      <c r="Q38" s="216" t="s">
        <v>234</v>
      </c>
      <c r="R38" s="213">
        <v>400300600</v>
      </c>
      <c r="S38" s="216" t="s">
        <v>235</v>
      </c>
      <c r="T38" s="236" t="s">
        <v>1671</v>
      </c>
      <c r="U38" s="319">
        <v>1</v>
      </c>
      <c r="V38" s="319">
        <v>0</v>
      </c>
      <c r="W38" s="236" t="s">
        <v>236</v>
      </c>
      <c r="X38" s="214" t="s">
        <v>237</v>
      </c>
      <c r="Y38" s="320" t="s">
        <v>238</v>
      </c>
      <c r="Z38" s="289"/>
      <c r="AA38" s="289"/>
      <c r="AB38" s="289"/>
      <c r="AC38" s="289"/>
      <c r="AD38" s="289"/>
      <c r="AE38" s="289"/>
      <c r="AF38" s="314"/>
      <c r="AG38" s="314"/>
      <c r="AH38" s="314"/>
      <c r="AI38" s="289"/>
      <c r="AJ38" s="289"/>
      <c r="AK38" s="289"/>
      <c r="AL38" s="289"/>
      <c r="AM38" s="289"/>
      <c r="AN38" s="289"/>
      <c r="AO38" s="289"/>
      <c r="AP38" s="289"/>
      <c r="AQ38" s="289"/>
      <c r="AR38" s="289"/>
      <c r="AS38" s="289"/>
      <c r="AT38" s="289"/>
      <c r="AU38" s="289"/>
      <c r="AV38" s="289"/>
      <c r="AW38" s="289"/>
      <c r="AX38" s="289"/>
      <c r="AY38" s="289"/>
      <c r="AZ38" s="289"/>
      <c r="BA38" s="289">
        <v>100000000</v>
      </c>
      <c r="BB38" s="289">
        <v>100000000</v>
      </c>
      <c r="BC38" s="289">
        <v>100000000</v>
      </c>
      <c r="BD38" s="294"/>
      <c r="BE38" s="294"/>
      <c r="BF38" s="294"/>
      <c r="BG38" s="289"/>
      <c r="BH38" s="289"/>
      <c r="BI38" s="289"/>
      <c r="BJ38" s="289"/>
      <c r="BK38" s="289"/>
      <c r="BL38" s="289"/>
      <c r="BM38" s="289"/>
      <c r="BN38" s="289"/>
      <c r="BO38" s="289"/>
      <c r="BP38" s="273">
        <f t="shared" ref="BP38:BP43" si="9">+Z38+AC38+AF38+AI38+AL38+AO38+AR38+AU38+AX38+BA38+BD38+BG38+BJ38</f>
        <v>100000000</v>
      </c>
      <c r="BQ38" s="273">
        <f t="shared" ref="BQ38:BR43" si="10">+AA38+AD38+AG38+AJ38+AM38+AP38+AS38+AV38+AY38+BB38+BE38+BH38+BK38</f>
        <v>100000000</v>
      </c>
      <c r="BR38" s="273">
        <f t="shared" si="10"/>
        <v>100000000</v>
      </c>
      <c r="BS38" s="236" t="s">
        <v>1647</v>
      </c>
      <c r="BT38" s="233"/>
    </row>
    <row r="39" spans="1:72" s="27" customFormat="1" ht="105.75" customHeight="1" x14ac:dyDescent="0.2">
      <c r="A39" s="217">
        <v>308</v>
      </c>
      <c r="B39" s="216" t="s">
        <v>1618</v>
      </c>
      <c r="C39" s="213">
        <v>3</v>
      </c>
      <c r="D39" s="303" t="s">
        <v>1616</v>
      </c>
      <c r="E39" s="213">
        <v>40</v>
      </c>
      <c r="F39" s="216" t="s">
        <v>221</v>
      </c>
      <c r="G39" s="213">
        <v>4003</v>
      </c>
      <c r="H39" s="296" t="s">
        <v>230</v>
      </c>
      <c r="I39" s="213">
        <v>4003</v>
      </c>
      <c r="J39" s="216" t="s">
        <v>1604</v>
      </c>
      <c r="K39" s="303" t="s">
        <v>239</v>
      </c>
      <c r="L39" s="304">
        <v>4003018</v>
      </c>
      <c r="M39" s="303" t="s">
        <v>240</v>
      </c>
      <c r="N39" s="304">
        <v>4003018</v>
      </c>
      <c r="O39" s="303" t="s">
        <v>240</v>
      </c>
      <c r="P39" s="304">
        <v>400301802</v>
      </c>
      <c r="Q39" s="216" t="s">
        <v>241</v>
      </c>
      <c r="R39" s="304">
        <v>400301802</v>
      </c>
      <c r="S39" s="216" t="s">
        <v>241</v>
      </c>
      <c r="T39" s="236" t="s">
        <v>1673</v>
      </c>
      <c r="U39" s="313">
        <v>1</v>
      </c>
      <c r="V39" s="313">
        <v>0</v>
      </c>
      <c r="W39" s="236" t="s">
        <v>236</v>
      </c>
      <c r="X39" s="214" t="s">
        <v>237</v>
      </c>
      <c r="Y39" s="320" t="s">
        <v>238</v>
      </c>
      <c r="Z39" s="289"/>
      <c r="AA39" s="289"/>
      <c r="AB39" s="289"/>
      <c r="AC39" s="289"/>
      <c r="AD39" s="289"/>
      <c r="AE39" s="289"/>
      <c r="AF39" s="314"/>
      <c r="AG39" s="314"/>
      <c r="AH39" s="314"/>
      <c r="AI39" s="289"/>
      <c r="AJ39" s="289"/>
      <c r="AK39" s="289"/>
      <c r="AL39" s="289"/>
      <c r="AM39" s="289"/>
      <c r="AN39" s="289"/>
      <c r="AO39" s="289"/>
      <c r="AP39" s="289"/>
      <c r="AQ39" s="289"/>
      <c r="AR39" s="289"/>
      <c r="AS39" s="289"/>
      <c r="AT39" s="289"/>
      <c r="AU39" s="289"/>
      <c r="AV39" s="289"/>
      <c r="AW39" s="289"/>
      <c r="AX39" s="289"/>
      <c r="AY39" s="289"/>
      <c r="AZ39" s="289"/>
      <c r="BA39" s="289">
        <v>852718865</v>
      </c>
      <c r="BB39" s="289">
        <v>852718865</v>
      </c>
      <c r="BC39" s="289">
        <v>852718865</v>
      </c>
      <c r="BD39" s="294"/>
      <c r="BE39" s="294"/>
      <c r="BF39" s="294"/>
      <c r="BG39" s="289"/>
      <c r="BH39" s="289"/>
      <c r="BI39" s="289"/>
      <c r="BJ39" s="289"/>
      <c r="BK39" s="289"/>
      <c r="BL39" s="289"/>
      <c r="BM39" s="289"/>
      <c r="BN39" s="289"/>
      <c r="BO39" s="289"/>
      <c r="BP39" s="273">
        <f t="shared" si="9"/>
        <v>852718865</v>
      </c>
      <c r="BQ39" s="273">
        <f t="shared" si="10"/>
        <v>852718865</v>
      </c>
      <c r="BR39" s="273">
        <f>+AB39+AE39+AH39+AK39+AN39+AQ39+AT39+AW39+AZ39+BC39+BF39+BI39+BL39</f>
        <v>852718865</v>
      </c>
      <c r="BS39" s="236" t="s">
        <v>1647</v>
      </c>
      <c r="BT39" s="233"/>
    </row>
    <row r="40" spans="1:72" s="27" customFormat="1" ht="105.75" customHeight="1" x14ac:dyDescent="0.2">
      <c r="A40" s="217">
        <v>308</v>
      </c>
      <c r="B40" s="216" t="s">
        <v>1618</v>
      </c>
      <c r="C40" s="213">
        <v>3</v>
      </c>
      <c r="D40" s="303" t="s">
        <v>1616</v>
      </c>
      <c r="E40" s="213">
        <v>40</v>
      </c>
      <c r="F40" s="216" t="s">
        <v>221</v>
      </c>
      <c r="G40" s="213">
        <v>4003</v>
      </c>
      <c r="H40" s="296" t="s">
        <v>230</v>
      </c>
      <c r="I40" s="213">
        <v>4003</v>
      </c>
      <c r="J40" s="216" t="s">
        <v>1604</v>
      </c>
      <c r="K40" s="303" t="s">
        <v>231</v>
      </c>
      <c r="L40" s="304">
        <v>4003025</v>
      </c>
      <c r="M40" s="303" t="s">
        <v>242</v>
      </c>
      <c r="N40" s="304">
        <v>4003025</v>
      </c>
      <c r="O40" s="303" t="s">
        <v>242</v>
      </c>
      <c r="P40" s="74">
        <v>400302500</v>
      </c>
      <c r="Q40" s="309" t="s">
        <v>243</v>
      </c>
      <c r="R40" s="74">
        <v>400302500</v>
      </c>
      <c r="S40" s="309" t="s">
        <v>243</v>
      </c>
      <c r="T40" s="236" t="s">
        <v>1673</v>
      </c>
      <c r="U40" s="313">
        <v>4</v>
      </c>
      <c r="V40" s="313">
        <v>2</v>
      </c>
      <c r="W40" s="236" t="s">
        <v>236</v>
      </c>
      <c r="X40" s="214" t="s">
        <v>237</v>
      </c>
      <c r="Y40" s="320" t="s">
        <v>238</v>
      </c>
      <c r="Z40" s="289">
        <v>605000000</v>
      </c>
      <c r="AA40" s="289">
        <v>161560251</v>
      </c>
      <c r="AB40" s="289">
        <v>161560251</v>
      </c>
      <c r="AC40" s="289"/>
      <c r="AD40" s="289"/>
      <c r="AE40" s="289"/>
      <c r="AF40" s="314"/>
      <c r="AG40" s="314"/>
      <c r="AH40" s="314"/>
      <c r="AI40" s="289"/>
      <c r="AJ40" s="289"/>
      <c r="AK40" s="289"/>
      <c r="AL40" s="289"/>
      <c r="AM40" s="289"/>
      <c r="AN40" s="289"/>
      <c r="AO40" s="289"/>
      <c r="AP40" s="289"/>
      <c r="AQ40" s="289"/>
      <c r="AR40" s="289"/>
      <c r="AS40" s="289"/>
      <c r="AT40" s="289"/>
      <c r="AU40" s="289"/>
      <c r="AV40" s="289"/>
      <c r="AW40" s="289"/>
      <c r="AX40" s="289"/>
      <c r="AY40" s="289"/>
      <c r="AZ40" s="289"/>
      <c r="BA40" s="289">
        <v>249204317.68000001</v>
      </c>
      <c r="BB40" s="289">
        <v>249177538</v>
      </c>
      <c r="BC40" s="289">
        <v>249177538</v>
      </c>
      <c r="BD40" s="294"/>
      <c r="BE40" s="294"/>
      <c r="BF40" s="294"/>
      <c r="BG40" s="289"/>
      <c r="BH40" s="289"/>
      <c r="BI40" s="289"/>
      <c r="BJ40" s="289"/>
      <c r="BK40" s="289"/>
      <c r="BL40" s="289"/>
      <c r="BM40" s="289"/>
      <c r="BN40" s="289"/>
      <c r="BO40" s="289"/>
      <c r="BP40" s="273">
        <f t="shared" si="9"/>
        <v>854204317.68000007</v>
      </c>
      <c r="BQ40" s="273">
        <f t="shared" si="10"/>
        <v>410737789</v>
      </c>
      <c r="BR40" s="273">
        <f t="shared" si="10"/>
        <v>410737789</v>
      </c>
      <c r="BS40" s="236" t="s">
        <v>1647</v>
      </c>
      <c r="BT40" s="233"/>
    </row>
    <row r="41" spans="1:72" s="27" customFormat="1" ht="105.75" customHeight="1" x14ac:dyDescent="0.2">
      <c r="A41" s="217">
        <v>308</v>
      </c>
      <c r="B41" s="216" t="s">
        <v>1618</v>
      </c>
      <c r="C41" s="213">
        <v>3</v>
      </c>
      <c r="D41" s="303" t="s">
        <v>1616</v>
      </c>
      <c r="E41" s="213">
        <v>40</v>
      </c>
      <c r="F41" s="216" t="s">
        <v>221</v>
      </c>
      <c r="G41" s="213">
        <v>4003</v>
      </c>
      <c r="H41" s="296" t="s">
        <v>230</v>
      </c>
      <c r="I41" s="213">
        <v>4003</v>
      </c>
      <c r="J41" s="216" t="s">
        <v>1604</v>
      </c>
      <c r="K41" s="303" t="s">
        <v>231</v>
      </c>
      <c r="L41" s="304">
        <v>4003028</v>
      </c>
      <c r="M41" s="303" t="s">
        <v>244</v>
      </c>
      <c r="N41" s="304">
        <v>4003028</v>
      </c>
      <c r="O41" s="303" t="s">
        <v>244</v>
      </c>
      <c r="P41" s="304">
        <v>400302801</v>
      </c>
      <c r="Q41" s="216" t="s">
        <v>245</v>
      </c>
      <c r="R41" s="304">
        <v>400302801</v>
      </c>
      <c r="S41" s="216" t="s">
        <v>245</v>
      </c>
      <c r="T41" s="236" t="s">
        <v>1671</v>
      </c>
      <c r="U41" s="313">
        <v>4</v>
      </c>
      <c r="V41" s="313">
        <v>4</v>
      </c>
      <c r="W41" s="236" t="s">
        <v>236</v>
      </c>
      <c r="X41" s="214" t="s">
        <v>237</v>
      </c>
      <c r="Y41" s="320" t="s">
        <v>238</v>
      </c>
      <c r="Z41" s="289"/>
      <c r="AA41" s="289"/>
      <c r="AB41" s="289"/>
      <c r="AC41" s="289"/>
      <c r="AD41" s="289"/>
      <c r="AE41" s="289"/>
      <c r="AF41" s="314"/>
      <c r="AG41" s="314"/>
      <c r="AH41" s="314"/>
      <c r="AI41" s="289"/>
      <c r="AJ41" s="289"/>
      <c r="AK41" s="289"/>
      <c r="AL41" s="289"/>
      <c r="AM41" s="289"/>
      <c r="AN41" s="289"/>
      <c r="AO41" s="289"/>
      <c r="AP41" s="289"/>
      <c r="AQ41" s="289"/>
      <c r="AR41" s="289"/>
      <c r="AS41" s="289"/>
      <c r="AT41" s="289"/>
      <c r="AU41" s="289"/>
      <c r="AV41" s="289"/>
      <c r="AW41" s="289"/>
      <c r="AX41" s="289"/>
      <c r="AY41" s="289"/>
      <c r="AZ41" s="289"/>
      <c r="BA41" s="289">
        <v>279000000</v>
      </c>
      <c r="BB41" s="289">
        <v>279000000</v>
      </c>
      <c r="BC41" s="289">
        <v>279000000</v>
      </c>
      <c r="BD41" s="294"/>
      <c r="BE41" s="294"/>
      <c r="BF41" s="294"/>
      <c r="BG41" s="289"/>
      <c r="BH41" s="289"/>
      <c r="BI41" s="289"/>
      <c r="BJ41" s="289"/>
      <c r="BK41" s="289"/>
      <c r="BL41" s="289"/>
      <c r="BM41" s="289"/>
      <c r="BN41" s="289"/>
      <c r="BO41" s="289"/>
      <c r="BP41" s="273">
        <f t="shared" si="9"/>
        <v>279000000</v>
      </c>
      <c r="BQ41" s="273">
        <f t="shared" si="10"/>
        <v>279000000</v>
      </c>
      <c r="BR41" s="273">
        <f t="shared" si="10"/>
        <v>279000000</v>
      </c>
      <c r="BS41" s="236" t="s">
        <v>1647</v>
      </c>
      <c r="BT41" s="233"/>
    </row>
    <row r="42" spans="1:72" s="27" customFormat="1" ht="105.75" customHeight="1" x14ac:dyDescent="0.2">
      <c r="A42" s="217">
        <v>308</v>
      </c>
      <c r="B42" s="216" t="s">
        <v>1618</v>
      </c>
      <c r="C42" s="213">
        <v>3</v>
      </c>
      <c r="D42" s="303" t="s">
        <v>1616</v>
      </c>
      <c r="E42" s="213">
        <v>40</v>
      </c>
      <c r="F42" s="216" t="s">
        <v>221</v>
      </c>
      <c r="G42" s="213">
        <v>4003</v>
      </c>
      <c r="H42" s="296" t="s">
        <v>230</v>
      </c>
      <c r="I42" s="213">
        <v>4003</v>
      </c>
      <c r="J42" s="216" t="s">
        <v>1604</v>
      </c>
      <c r="K42" s="303" t="s">
        <v>231</v>
      </c>
      <c r="L42" s="304">
        <v>4003042</v>
      </c>
      <c r="M42" s="303" t="s">
        <v>246</v>
      </c>
      <c r="N42" s="304">
        <v>4003042</v>
      </c>
      <c r="O42" s="303" t="s">
        <v>246</v>
      </c>
      <c r="P42" s="304">
        <v>400304200</v>
      </c>
      <c r="Q42" s="216" t="s">
        <v>247</v>
      </c>
      <c r="R42" s="304">
        <v>400304200</v>
      </c>
      <c r="S42" s="216" t="s">
        <v>247</v>
      </c>
      <c r="T42" s="236" t="s">
        <v>1673</v>
      </c>
      <c r="U42" s="313">
        <v>3</v>
      </c>
      <c r="V42" s="313">
        <v>3</v>
      </c>
      <c r="W42" s="236" t="s">
        <v>236</v>
      </c>
      <c r="X42" s="214" t="s">
        <v>237</v>
      </c>
      <c r="Y42" s="320" t="s">
        <v>238</v>
      </c>
      <c r="Z42" s="289"/>
      <c r="AA42" s="289"/>
      <c r="AB42" s="289"/>
      <c r="AC42" s="289"/>
      <c r="AD42" s="289"/>
      <c r="AE42" s="289"/>
      <c r="AF42" s="314"/>
      <c r="AG42" s="314"/>
      <c r="AH42" s="314"/>
      <c r="AI42" s="289"/>
      <c r="AJ42" s="289"/>
      <c r="AK42" s="289"/>
      <c r="AL42" s="289"/>
      <c r="AM42" s="289"/>
      <c r="AN42" s="289"/>
      <c r="AO42" s="289"/>
      <c r="AP42" s="289"/>
      <c r="AQ42" s="289"/>
      <c r="AR42" s="289"/>
      <c r="AS42" s="289"/>
      <c r="AT42" s="289"/>
      <c r="AU42" s="289"/>
      <c r="AV42" s="289"/>
      <c r="AW42" s="289"/>
      <c r="AX42" s="289"/>
      <c r="AY42" s="289"/>
      <c r="AZ42" s="289"/>
      <c r="BA42" s="289">
        <v>629000000</v>
      </c>
      <c r="BB42" s="289">
        <v>629000000</v>
      </c>
      <c r="BC42" s="289">
        <v>629000000</v>
      </c>
      <c r="BD42" s="294"/>
      <c r="BE42" s="294"/>
      <c r="BF42" s="294"/>
      <c r="BG42" s="289"/>
      <c r="BH42" s="289"/>
      <c r="BI42" s="289"/>
      <c r="BJ42" s="289"/>
      <c r="BK42" s="289"/>
      <c r="BL42" s="289"/>
      <c r="BM42" s="289"/>
      <c r="BN42" s="289"/>
      <c r="BO42" s="289"/>
      <c r="BP42" s="273">
        <f t="shared" si="9"/>
        <v>629000000</v>
      </c>
      <c r="BQ42" s="273">
        <f t="shared" si="10"/>
        <v>629000000</v>
      </c>
      <c r="BR42" s="273">
        <f t="shared" si="10"/>
        <v>629000000</v>
      </c>
      <c r="BS42" s="236" t="s">
        <v>1647</v>
      </c>
      <c r="BT42" s="233"/>
    </row>
    <row r="43" spans="1:72" s="27" customFormat="1" ht="105.75" customHeight="1" x14ac:dyDescent="0.2">
      <c r="A43" s="217">
        <v>308</v>
      </c>
      <c r="B43" s="216" t="s">
        <v>1618</v>
      </c>
      <c r="C43" s="213">
        <v>3</v>
      </c>
      <c r="D43" s="303" t="s">
        <v>1616</v>
      </c>
      <c r="E43" s="213">
        <v>40</v>
      </c>
      <c r="F43" s="216" t="s">
        <v>221</v>
      </c>
      <c r="G43" s="213">
        <v>4003</v>
      </c>
      <c r="H43" s="296" t="s">
        <v>230</v>
      </c>
      <c r="I43" s="213">
        <v>4003</v>
      </c>
      <c r="J43" s="216" t="s">
        <v>1604</v>
      </c>
      <c r="K43" s="303" t="s">
        <v>231</v>
      </c>
      <c r="L43" s="304" t="s">
        <v>248</v>
      </c>
      <c r="M43" s="303" t="s">
        <v>249</v>
      </c>
      <c r="N43" s="304" t="s">
        <v>248</v>
      </c>
      <c r="O43" s="303" t="s">
        <v>249</v>
      </c>
      <c r="P43" s="74">
        <v>400302600</v>
      </c>
      <c r="Q43" s="309" t="s">
        <v>250</v>
      </c>
      <c r="R43" s="74">
        <v>400302600</v>
      </c>
      <c r="S43" s="309" t="s">
        <v>250</v>
      </c>
      <c r="T43" s="236" t="s">
        <v>1673</v>
      </c>
      <c r="U43" s="313">
        <v>1</v>
      </c>
      <c r="V43" s="313">
        <v>0</v>
      </c>
      <c r="W43" s="236" t="s">
        <v>236</v>
      </c>
      <c r="X43" s="214" t="s">
        <v>237</v>
      </c>
      <c r="Y43" s="320" t="s">
        <v>238</v>
      </c>
      <c r="Z43" s="289"/>
      <c r="AA43" s="289"/>
      <c r="AB43" s="289"/>
      <c r="AC43" s="289"/>
      <c r="AD43" s="289"/>
      <c r="AE43" s="289"/>
      <c r="AF43" s="314"/>
      <c r="AG43" s="314"/>
      <c r="AH43" s="314"/>
      <c r="AI43" s="289"/>
      <c r="AJ43" s="289"/>
      <c r="AK43" s="289"/>
      <c r="AL43" s="289"/>
      <c r="AM43" s="289"/>
      <c r="AN43" s="289"/>
      <c r="AO43" s="289"/>
      <c r="AP43" s="289"/>
      <c r="AQ43" s="289"/>
      <c r="AR43" s="289"/>
      <c r="AS43" s="289"/>
      <c r="AT43" s="289"/>
      <c r="AU43" s="289"/>
      <c r="AV43" s="289"/>
      <c r="AW43" s="289"/>
      <c r="AX43" s="289"/>
      <c r="AY43" s="289"/>
      <c r="AZ43" s="289"/>
      <c r="BA43" s="289">
        <v>785236459</v>
      </c>
      <c r="BB43" s="289">
        <v>785236459</v>
      </c>
      <c r="BC43" s="289">
        <v>785236459</v>
      </c>
      <c r="BD43" s="294"/>
      <c r="BE43" s="294"/>
      <c r="BF43" s="294"/>
      <c r="BG43" s="289"/>
      <c r="BH43" s="289"/>
      <c r="BI43" s="289"/>
      <c r="BJ43" s="289"/>
      <c r="BK43" s="289"/>
      <c r="BL43" s="289"/>
      <c r="BM43" s="289"/>
      <c r="BN43" s="289"/>
      <c r="BO43" s="289"/>
      <c r="BP43" s="273">
        <f t="shared" si="9"/>
        <v>785236459</v>
      </c>
      <c r="BQ43" s="273">
        <f t="shared" si="10"/>
        <v>785236459</v>
      </c>
      <c r="BR43" s="273">
        <f t="shared" si="10"/>
        <v>785236459</v>
      </c>
      <c r="BS43" s="236" t="s">
        <v>1647</v>
      </c>
      <c r="BT43" s="233"/>
    </row>
    <row r="44" spans="1:72" s="27" customFormat="1" ht="130.5" customHeight="1" x14ac:dyDescent="0.2">
      <c r="A44" s="217">
        <v>308</v>
      </c>
      <c r="B44" s="216" t="s">
        <v>1618</v>
      </c>
      <c r="C44" s="213">
        <v>4</v>
      </c>
      <c r="D44" s="287" t="s">
        <v>1612</v>
      </c>
      <c r="E44" s="213">
        <v>45</v>
      </c>
      <c r="F44" s="216" t="s">
        <v>38</v>
      </c>
      <c r="G44" s="213" t="s">
        <v>41</v>
      </c>
      <c r="H44" s="216" t="s">
        <v>1570</v>
      </c>
      <c r="I44" s="213">
        <v>4599</v>
      </c>
      <c r="J44" s="216" t="s">
        <v>1571</v>
      </c>
      <c r="K44" s="216" t="s">
        <v>40</v>
      </c>
      <c r="L44" s="213" t="s">
        <v>41</v>
      </c>
      <c r="M44" s="216" t="s">
        <v>251</v>
      </c>
      <c r="N44" s="304" t="s">
        <v>252</v>
      </c>
      <c r="O44" s="216" t="s">
        <v>162</v>
      </c>
      <c r="P44" s="213" t="s">
        <v>41</v>
      </c>
      <c r="Q44" s="216" t="s">
        <v>253</v>
      </c>
      <c r="R44" s="304">
        <v>459901600</v>
      </c>
      <c r="S44" s="214" t="s">
        <v>162</v>
      </c>
      <c r="T44" s="236" t="s">
        <v>1671</v>
      </c>
      <c r="U44" s="76">
        <v>4</v>
      </c>
      <c r="V44" s="76">
        <v>3</v>
      </c>
      <c r="W44" s="236" t="s">
        <v>254</v>
      </c>
      <c r="X44" s="214" t="s">
        <v>1473</v>
      </c>
      <c r="Y44" s="214" t="s">
        <v>255</v>
      </c>
      <c r="Z44" s="312"/>
      <c r="AA44" s="312"/>
      <c r="AB44" s="312"/>
      <c r="AC44" s="289"/>
      <c r="AD44" s="289"/>
      <c r="AE44" s="289"/>
      <c r="AF44" s="289"/>
      <c r="AG44" s="289"/>
      <c r="AH44" s="289"/>
      <c r="AI44" s="289"/>
      <c r="AJ44" s="289"/>
      <c r="AK44" s="289"/>
      <c r="AL44" s="289"/>
      <c r="AM44" s="289"/>
      <c r="AN44" s="289"/>
      <c r="AO44" s="289"/>
      <c r="AP44" s="289"/>
      <c r="AQ44" s="289"/>
      <c r="AR44" s="289"/>
      <c r="AS44" s="289"/>
      <c r="AT44" s="289"/>
      <c r="AU44" s="289"/>
      <c r="AV44" s="289"/>
      <c r="AW44" s="289"/>
      <c r="AX44" s="289"/>
      <c r="AY44" s="289"/>
      <c r="AZ44" s="289"/>
      <c r="BA44" s="289"/>
      <c r="BB44" s="289"/>
      <c r="BC44" s="289"/>
      <c r="BD44" s="294">
        <v>218394939</v>
      </c>
      <c r="BE44" s="294">
        <v>132461956</v>
      </c>
      <c r="BF44" s="294">
        <v>132461956</v>
      </c>
      <c r="BG44" s="321"/>
      <c r="BH44" s="321"/>
      <c r="BI44" s="321"/>
      <c r="BJ44" s="289"/>
      <c r="BK44" s="289"/>
      <c r="BL44" s="289"/>
      <c r="BM44" s="289"/>
      <c r="BN44" s="289"/>
      <c r="BO44" s="289"/>
      <c r="BP44" s="273">
        <f t="shared" ref="BP44:BR49" si="11">+Z44+AC44+AF44+AI44+AL44+AO44+AR44+AU44+AX44+BA44+BD44+BG44+BJ44</f>
        <v>218394939</v>
      </c>
      <c r="BQ44" s="273">
        <f t="shared" si="11"/>
        <v>132461956</v>
      </c>
      <c r="BR44" s="273">
        <f t="shared" si="11"/>
        <v>132461956</v>
      </c>
      <c r="BS44" s="236" t="s">
        <v>1647</v>
      </c>
      <c r="BT44" s="233"/>
    </row>
    <row r="45" spans="1:72" s="27" customFormat="1" ht="147.75" customHeight="1" x14ac:dyDescent="0.2">
      <c r="A45" s="217">
        <v>308</v>
      </c>
      <c r="B45" s="216" t="s">
        <v>1618</v>
      </c>
      <c r="C45" s="213">
        <v>4</v>
      </c>
      <c r="D45" s="287" t="s">
        <v>1612</v>
      </c>
      <c r="E45" s="213">
        <v>45</v>
      </c>
      <c r="F45" s="216" t="s">
        <v>38</v>
      </c>
      <c r="G45" s="213">
        <v>4502</v>
      </c>
      <c r="H45" s="216" t="s">
        <v>1566</v>
      </c>
      <c r="I45" s="213">
        <v>4502</v>
      </c>
      <c r="J45" s="216" t="s">
        <v>1567</v>
      </c>
      <c r="K45" s="216" t="s">
        <v>70</v>
      </c>
      <c r="L45" s="304">
        <v>4502003</v>
      </c>
      <c r="M45" s="303" t="s">
        <v>256</v>
      </c>
      <c r="N45" s="304">
        <v>4502003</v>
      </c>
      <c r="O45" s="303" t="s">
        <v>257</v>
      </c>
      <c r="P45" s="304">
        <v>450200300</v>
      </c>
      <c r="Q45" s="303" t="s">
        <v>256</v>
      </c>
      <c r="R45" s="304">
        <v>450200300</v>
      </c>
      <c r="S45" s="303" t="s">
        <v>256</v>
      </c>
      <c r="T45" s="236" t="s">
        <v>1673</v>
      </c>
      <c r="U45" s="76">
        <v>2</v>
      </c>
      <c r="V45" s="76">
        <v>3</v>
      </c>
      <c r="W45" s="236" t="s">
        <v>258</v>
      </c>
      <c r="X45" s="214" t="s">
        <v>259</v>
      </c>
      <c r="Y45" s="214" t="s">
        <v>260</v>
      </c>
      <c r="Z45" s="312"/>
      <c r="AA45" s="312"/>
      <c r="AB45" s="312"/>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c r="BB45" s="289"/>
      <c r="BC45" s="289"/>
      <c r="BD45" s="294">
        <v>31601460</v>
      </c>
      <c r="BE45" s="294">
        <v>31492810.670000002</v>
      </c>
      <c r="BF45" s="294">
        <v>31492810.670000002</v>
      </c>
      <c r="BG45" s="297"/>
      <c r="BH45" s="297"/>
      <c r="BI45" s="297"/>
      <c r="BJ45" s="289"/>
      <c r="BK45" s="289"/>
      <c r="BL45" s="289"/>
      <c r="BM45" s="289"/>
      <c r="BN45" s="289"/>
      <c r="BO45" s="289"/>
      <c r="BP45" s="273">
        <f t="shared" si="11"/>
        <v>31601460</v>
      </c>
      <c r="BQ45" s="273">
        <f>+AA45+AD45+AG45+AJ45+AM45+AP45+AS45+AV45+AY45+BB45+BE45+BH45+BK45</f>
        <v>31492810.670000002</v>
      </c>
      <c r="BR45" s="273">
        <f t="shared" si="11"/>
        <v>31492810.670000002</v>
      </c>
      <c r="BS45" s="236" t="s">
        <v>1647</v>
      </c>
      <c r="BT45" s="233"/>
    </row>
    <row r="46" spans="1:72" s="27" customFormat="1" ht="186" customHeight="1" x14ac:dyDescent="0.2">
      <c r="A46" s="217">
        <v>309</v>
      </c>
      <c r="B46" s="216" t="s">
        <v>1617</v>
      </c>
      <c r="C46" s="213">
        <v>1</v>
      </c>
      <c r="D46" s="287" t="s">
        <v>1614</v>
      </c>
      <c r="E46" s="213">
        <v>12</v>
      </c>
      <c r="F46" s="216" t="s">
        <v>137</v>
      </c>
      <c r="G46" s="213">
        <v>1202</v>
      </c>
      <c r="H46" s="216" t="s">
        <v>1573</v>
      </c>
      <c r="I46" s="213">
        <v>1202</v>
      </c>
      <c r="J46" s="216" t="s">
        <v>1572</v>
      </c>
      <c r="K46" s="216" t="s">
        <v>139</v>
      </c>
      <c r="L46" s="213">
        <v>1202004</v>
      </c>
      <c r="M46" s="216" t="s">
        <v>262</v>
      </c>
      <c r="N46" s="213">
        <v>1202004</v>
      </c>
      <c r="O46" s="216" t="s">
        <v>262</v>
      </c>
      <c r="P46" s="304">
        <v>120200400</v>
      </c>
      <c r="Q46" s="311" t="s">
        <v>105</v>
      </c>
      <c r="R46" s="304">
        <v>120200400</v>
      </c>
      <c r="S46" s="311" t="s">
        <v>105</v>
      </c>
      <c r="T46" s="236" t="s">
        <v>1671</v>
      </c>
      <c r="U46" s="76">
        <v>12</v>
      </c>
      <c r="V46" s="76">
        <v>12</v>
      </c>
      <c r="W46" s="236" t="s">
        <v>263</v>
      </c>
      <c r="X46" s="214" t="s">
        <v>1474</v>
      </c>
      <c r="Y46" s="214" t="s">
        <v>264</v>
      </c>
      <c r="Z46" s="289"/>
      <c r="AA46" s="289"/>
      <c r="AB46" s="289"/>
      <c r="AC46" s="322"/>
      <c r="AD46" s="322"/>
      <c r="AE46" s="322"/>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9"/>
      <c r="BB46" s="289"/>
      <c r="BC46" s="289"/>
      <c r="BD46" s="366">
        <v>135355000</v>
      </c>
      <c r="BE46" s="294">
        <v>129803000</v>
      </c>
      <c r="BF46" s="294">
        <v>129803000</v>
      </c>
      <c r="BG46" s="289"/>
      <c r="BH46" s="289"/>
      <c r="BI46" s="289"/>
      <c r="BJ46" s="289"/>
      <c r="BK46" s="289"/>
      <c r="BL46" s="289"/>
      <c r="BM46" s="289"/>
      <c r="BN46" s="289"/>
      <c r="BO46" s="289"/>
      <c r="BP46" s="273">
        <f t="shared" si="11"/>
        <v>135355000</v>
      </c>
      <c r="BQ46" s="273">
        <f t="shared" si="11"/>
        <v>129803000</v>
      </c>
      <c r="BR46" s="273">
        <f t="shared" si="11"/>
        <v>129803000</v>
      </c>
      <c r="BS46" s="236" t="s">
        <v>1648</v>
      </c>
      <c r="BT46" s="233"/>
    </row>
    <row r="47" spans="1:72" s="27" customFormat="1" ht="186" customHeight="1" x14ac:dyDescent="0.2">
      <c r="A47" s="217">
        <v>309</v>
      </c>
      <c r="B47" s="216" t="s">
        <v>1617</v>
      </c>
      <c r="C47" s="213">
        <v>1</v>
      </c>
      <c r="D47" s="287" t="s">
        <v>1614</v>
      </c>
      <c r="E47" s="213">
        <v>12</v>
      </c>
      <c r="F47" s="216" t="s">
        <v>137</v>
      </c>
      <c r="G47" s="213">
        <v>1203</v>
      </c>
      <c r="H47" s="216" t="s">
        <v>265</v>
      </c>
      <c r="I47" s="213">
        <v>1203</v>
      </c>
      <c r="J47" s="216" t="s">
        <v>1610</v>
      </c>
      <c r="K47" s="216" t="s">
        <v>139</v>
      </c>
      <c r="L47" s="213">
        <v>1203002</v>
      </c>
      <c r="M47" s="216" t="s">
        <v>266</v>
      </c>
      <c r="N47" s="213">
        <v>1203002</v>
      </c>
      <c r="O47" s="216" t="s">
        <v>266</v>
      </c>
      <c r="P47" s="213">
        <v>120300200</v>
      </c>
      <c r="Q47" s="311" t="s">
        <v>267</v>
      </c>
      <c r="R47" s="213">
        <v>120300200</v>
      </c>
      <c r="S47" s="311" t="s">
        <v>267</v>
      </c>
      <c r="T47" s="236" t="s">
        <v>1673</v>
      </c>
      <c r="U47" s="76">
        <v>40</v>
      </c>
      <c r="V47" s="76">
        <v>41</v>
      </c>
      <c r="W47" s="236" t="s">
        <v>268</v>
      </c>
      <c r="X47" s="214" t="s">
        <v>269</v>
      </c>
      <c r="Y47" s="214" t="s">
        <v>270</v>
      </c>
      <c r="Z47" s="289"/>
      <c r="AA47" s="289"/>
      <c r="AB47" s="289"/>
      <c r="AC47" s="273"/>
      <c r="AD47" s="273"/>
      <c r="AE47" s="273"/>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c r="BB47" s="289"/>
      <c r="BC47" s="289"/>
      <c r="BD47" s="366">
        <v>67223401</v>
      </c>
      <c r="BE47" s="294">
        <v>65096055</v>
      </c>
      <c r="BF47" s="294">
        <v>65096055</v>
      </c>
      <c r="BG47" s="289"/>
      <c r="BH47" s="289"/>
      <c r="BI47" s="289"/>
      <c r="BJ47" s="323"/>
      <c r="BK47" s="323"/>
      <c r="BL47" s="323"/>
      <c r="BM47" s="323"/>
      <c r="BN47" s="323"/>
      <c r="BO47" s="323"/>
      <c r="BP47" s="273">
        <f t="shared" si="11"/>
        <v>67223401</v>
      </c>
      <c r="BQ47" s="273">
        <f t="shared" si="11"/>
        <v>65096055</v>
      </c>
      <c r="BR47" s="273">
        <f t="shared" si="11"/>
        <v>65096055</v>
      </c>
      <c r="BS47" s="236" t="s">
        <v>1648</v>
      </c>
      <c r="BT47" s="233"/>
    </row>
    <row r="48" spans="1:72" s="27" customFormat="1" ht="180" customHeight="1" x14ac:dyDescent="0.2">
      <c r="A48" s="217">
        <v>309</v>
      </c>
      <c r="B48" s="216" t="s">
        <v>1617</v>
      </c>
      <c r="C48" s="213">
        <v>1</v>
      </c>
      <c r="D48" s="287" t="s">
        <v>1614</v>
      </c>
      <c r="E48" s="213">
        <v>12</v>
      </c>
      <c r="F48" s="216" t="s">
        <v>137</v>
      </c>
      <c r="G48" s="213">
        <v>1206</v>
      </c>
      <c r="H48" s="216" t="s">
        <v>271</v>
      </c>
      <c r="I48" s="213">
        <v>1206</v>
      </c>
      <c r="J48" s="216" t="s">
        <v>1574</v>
      </c>
      <c r="K48" s="216" t="s">
        <v>139</v>
      </c>
      <c r="L48" s="213">
        <v>1206005</v>
      </c>
      <c r="M48" s="216" t="s">
        <v>272</v>
      </c>
      <c r="N48" s="213">
        <v>1206005</v>
      </c>
      <c r="O48" s="216" t="s">
        <v>272</v>
      </c>
      <c r="P48" s="304">
        <v>120600500</v>
      </c>
      <c r="Q48" s="216" t="s">
        <v>273</v>
      </c>
      <c r="R48" s="304">
        <v>120600500</v>
      </c>
      <c r="S48" s="216" t="s">
        <v>273</v>
      </c>
      <c r="T48" s="236" t="s">
        <v>1673</v>
      </c>
      <c r="U48" s="76">
        <v>20</v>
      </c>
      <c r="V48" s="76">
        <v>5</v>
      </c>
      <c r="W48" s="236" t="s">
        <v>274</v>
      </c>
      <c r="X48" s="325" t="s">
        <v>275</v>
      </c>
      <c r="Y48" s="325" t="s">
        <v>276</v>
      </c>
      <c r="Z48" s="289"/>
      <c r="AA48" s="289"/>
      <c r="AB48" s="289"/>
      <c r="AC48" s="326"/>
      <c r="AD48" s="326"/>
      <c r="AE48" s="326"/>
      <c r="AF48" s="289"/>
      <c r="AG48" s="289"/>
      <c r="AH48" s="289"/>
      <c r="AI48" s="289"/>
      <c r="AJ48" s="289"/>
      <c r="AK48" s="289"/>
      <c r="AL48" s="289"/>
      <c r="AM48" s="289"/>
      <c r="AN48" s="289"/>
      <c r="AO48" s="289"/>
      <c r="AP48" s="289"/>
      <c r="AQ48" s="289"/>
      <c r="AR48" s="289"/>
      <c r="AS48" s="289"/>
      <c r="AT48" s="289"/>
      <c r="AU48" s="289"/>
      <c r="AV48" s="289"/>
      <c r="AW48" s="289"/>
      <c r="AX48" s="289"/>
      <c r="AY48" s="289"/>
      <c r="AZ48" s="289"/>
      <c r="BA48" s="289"/>
      <c r="BB48" s="289"/>
      <c r="BC48" s="289"/>
      <c r="BD48" s="366">
        <v>30000000</v>
      </c>
      <c r="BE48" s="294">
        <v>10000000</v>
      </c>
      <c r="BF48" s="294">
        <v>10000000</v>
      </c>
      <c r="BG48" s="289"/>
      <c r="BH48" s="289"/>
      <c r="BI48" s="289"/>
      <c r="BJ48" s="289"/>
      <c r="BK48" s="289"/>
      <c r="BL48" s="289"/>
      <c r="BM48" s="289"/>
      <c r="BN48" s="289"/>
      <c r="BO48" s="289"/>
      <c r="BP48" s="273">
        <f t="shared" si="11"/>
        <v>30000000</v>
      </c>
      <c r="BQ48" s="273">
        <f t="shared" si="11"/>
        <v>10000000</v>
      </c>
      <c r="BR48" s="273">
        <f t="shared" si="11"/>
        <v>10000000</v>
      </c>
      <c r="BS48" s="236" t="s">
        <v>1648</v>
      </c>
      <c r="BT48" s="233"/>
    </row>
    <row r="49" spans="1:72" s="27" customFormat="1" ht="129.75" customHeight="1" x14ac:dyDescent="0.2">
      <c r="A49" s="217">
        <v>309</v>
      </c>
      <c r="B49" s="216" t="s">
        <v>1617</v>
      </c>
      <c r="C49" s="213">
        <v>1</v>
      </c>
      <c r="D49" s="287" t="s">
        <v>1614</v>
      </c>
      <c r="E49" s="213">
        <v>22</v>
      </c>
      <c r="F49" s="216" t="s">
        <v>156</v>
      </c>
      <c r="G49" s="213">
        <v>2201</v>
      </c>
      <c r="H49" s="216" t="s">
        <v>277</v>
      </c>
      <c r="I49" s="213">
        <v>2201</v>
      </c>
      <c r="J49" s="216" t="s">
        <v>1587</v>
      </c>
      <c r="K49" s="216" t="s">
        <v>278</v>
      </c>
      <c r="L49" s="316">
        <v>2201068</v>
      </c>
      <c r="M49" s="216" t="s">
        <v>279</v>
      </c>
      <c r="N49" s="316">
        <v>2201068</v>
      </c>
      <c r="O49" s="216" t="s">
        <v>279</v>
      </c>
      <c r="P49" s="304">
        <v>220106800</v>
      </c>
      <c r="Q49" s="216" t="s">
        <v>280</v>
      </c>
      <c r="R49" s="304">
        <v>220106800</v>
      </c>
      <c r="S49" s="216" t="s">
        <v>280</v>
      </c>
      <c r="T49" s="236" t="s">
        <v>1673</v>
      </c>
      <c r="U49" s="76">
        <v>70</v>
      </c>
      <c r="V49" s="76">
        <v>70</v>
      </c>
      <c r="W49" s="236" t="s">
        <v>281</v>
      </c>
      <c r="X49" s="214" t="s">
        <v>282</v>
      </c>
      <c r="Y49" s="214" t="s">
        <v>283</v>
      </c>
      <c r="Z49" s="289"/>
      <c r="AA49" s="289"/>
      <c r="AB49" s="289"/>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89"/>
      <c r="AY49" s="289"/>
      <c r="AZ49" s="289"/>
      <c r="BA49" s="289"/>
      <c r="BB49" s="289"/>
      <c r="BC49" s="289"/>
      <c r="BD49" s="366">
        <v>74287500</v>
      </c>
      <c r="BE49" s="294">
        <v>61854666</v>
      </c>
      <c r="BF49" s="294">
        <v>61854666</v>
      </c>
      <c r="BG49" s="289"/>
      <c r="BH49" s="289"/>
      <c r="BI49" s="289"/>
      <c r="BJ49" s="289"/>
      <c r="BK49" s="289"/>
      <c r="BL49" s="289"/>
      <c r="BM49" s="289"/>
      <c r="BN49" s="289"/>
      <c r="BO49" s="289"/>
      <c r="BP49" s="273">
        <f t="shared" si="11"/>
        <v>74287500</v>
      </c>
      <c r="BQ49" s="273">
        <f t="shared" si="11"/>
        <v>61854666</v>
      </c>
      <c r="BR49" s="273">
        <f t="shared" si="11"/>
        <v>61854666</v>
      </c>
      <c r="BS49" s="236" t="s">
        <v>1648</v>
      </c>
      <c r="BT49" s="233"/>
    </row>
    <row r="50" spans="1:72" s="27" customFormat="1" ht="140.25" customHeight="1" x14ac:dyDescent="0.2">
      <c r="A50" s="217">
        <v>309</v>
      </c>
      <c r="B50" s="216" t="s">
        <v>1617</v>
      </c>
      <c r="C50" s="213">
        <v>1</v>
      </c>
      <c r="D50" s="287" t="s">
        <v>1614</v>
      </c>
      <c r="E50" s="213">
        <v>41</v>
      </c>
      <c r="F50" s="216" t="s">
        <v>284</v>
      </c>
      <c r="G50" s="213">
        <v>4101</v>
      </c>
      <c r="H50" s="216" t="s">
        <v>285</v>
      </c>
      <c r="I50" s="213">
        <v>4101</v>
      </c>
      <c r="J50" s="216" t="s">
        <v>1605</v>
      </c>
      <c r="K50" s="216" t="s">
        <v>286</v>
      </c>
      <c r="L50" s="304">
        <v>4101023</v>
      </c>
      <c r="M50" s="216" t="s">
        <v>287</v>
      </c>
      <c r="N50" s="304">
        <v>4101023</v>
      </c>
      <c r="O50" s="216" t="s">
        <v>287</v>
      </c>
      <c r="P50" s="304">
        <v>410102300</v>
      </c>
      <c r="Q50" s="311" t="s">
        <v>288</v>
      </c>
      <c r="R50" s="304">
        <v>410102300</v>
      </c>
      <c r="S50" s="311" t="s">
        <v>288</v>
      </c>
      <c r="T50" s="236" t="s">
        <v>1673</v>
      </c>
      <c r="U50" s="76">
        <v>500</v>
      </c>
      <c r="V50" s="76">
        <v>500</v>
      </c>
      <c r="W50" s="236" t="s">
        <v>289</v>
      </c>
      <c r="X50" s="214" t="s">
        <v>290</v>
      </c>
      <c r="Y50" s="320" t="s">
        <v>291</v>
      </c>
      <c r="Z50" s="289"/>
      <c r="AA50" s="289"/>
      <c r="AB50" s="289"/>
      <c r="AC50" s="289"/>
      <c r="AD50" s="289"/>
      <c r="AE50" s="289"/>
      <c r="AF50" s="289"/>
      <c r="AG50" s="289"/>
      <c r="AH50" s="289"/>
      <c r="AI50" s="289"/>
      <c r="AJ50" s="289"/>
      <c r="AK50" s="289"/>
      <c r="AL50" s="289"/>
      <c r="AM50" s="289"/>
      <c r="AN50" s="289"/>
      <c r="AO50" s="289"/>
      <c r="AP50" s="289"/>
      <c r="AQ50" s="289"/>
      <c r="AR50" s="289"/>
      <c r="AS50" s="289"/>
      <c r="AT50" s="289"/>
      <c r="AU50" s="289"/>
      <c r="AV50" s="289"/>
      <c r="AW50" s="289"/>
      <c r="AX50" s="289"/>
      <c r="AY50" s="289"/>
      <c r="AZ50" s="289"/>
      <c r="BA50" s="289"/>
      <c r="BB50" s="289"/>
      <c r="BC50" s="289"/>
      <c r="BD50" s="366">
        <v>222950000</v>
      </c>
      <c r="BE50" s="294">
        <v>175109602</v>
      </c>
      <c r="BF50" s="294">
        <v>175109602</v>
      </c>
      <c r="BG50" s="289"/>
      <c r="BH50" s="289"/>
      <c r="BI50" s="289"/>
      <c r="BJ50" s="289"/>
      <c r="BK50" s="289"/>
      <c r="BL50" s="289"/>
      <c r="BM50" s="289"/>
      <c r="BN50" s="289"/>
      <c r="BO50" s="289"/>
      <c r="BP50" s="273">
        <f t="shared" ref="BP50:BR54" si="12">+Z50+AC50+AF50+AI50+AL50+AO50+AR50+AU50+AX50+BA50+BD50+BG50+BJ50</f>
        <v>222950000</v>
      </c>
      <c r="BQ50" s="273">
        <f t="shared" si="12"/>
        <v>175109602</v>
      </c>
      <c r="BR50" s="273">
        <f t="shared" si="12"/>
        <v>175109602</v>
      </c>
      <c r="BS50" s="236" t="s">
        <v>1648</v>
      </c>
      <c r="BT50" s="233"/>
    </row>
    <row r="51" spans="1:72" s="27" customFormat="1" ht="115.5" customHeight="1" x14ac:dyDescent="0.2">
      <c r="A51" s="217">
        <v>309</v>
      </c>
      <c r="B51" s="216" t="s">
        <v>1617</v>
      </c>
      <c r="C51" s="213">
        <v>1</v>
      </c>
      <c r="D51" s="287" t="s">
        <v>1614</v>
      </c>
      <c r="E51" s="213">
        <v>41</v>
      </c>
      <c r="F51" s="216" t="s">
        <v>284</v>
      </c>
      <c r="G51" s="213">
        <v>4101</v>
      </c>
      <c r="H51" s="216" t="s">
        <v>285</v>
      </c>
      <c r="I51" s="213">
        <v>4101</v>
      </c>
      <c r="J51" s="216" t="s">
        <v>1605</v>
      </c>
      <c r="K51" s="216" t="s">
        <v>286</v>
      </c>
      <c r="L51" s="74">
        <v>4101025</v>
      </c>
      <c r="M51" s="216" t="s">
        <v>292</v>
      </c>
      <c r="N51" s="304">
        <v>4101025</v>
      </c>
      <c r="O51" s="216" t="s">
        <v>292</v>
      </c>
      <c r="P51" s="304">
        <v>410102511</v>
      </c>
      <c r="Q51" s="216" t="s">
        <v>293</v>
      </c>
      <c r="R51" s="304">
        <v>410102511</v>
      </c>
      <c r="S51" s="216" t="s">
        <v>293</v>
      </c>
      <c r="T51" s="236" t="s">
        <v>1673</v>
      </c>
      <c r="U51" s="76">
        <v>100</v>
      </c>
      <c r="V51" s="76">
        <v>96</v>
      </c>
      <c r="W51" s="236" t="s">
        <v>289</v>
      </c>
      <c r="X51" s="214" t="s">
        <v>290</v>
      </c>
      <c r="Y51" s="320" t="s">
        <v>291</v>
      </c>
      <c r="Z51" s="289"/>
      <c r="AA51" s="289"/>
      <c r="AB51" s="289"/>
      <c r="AC51" s="289"/>
      <c r="AD51" s="289"/>
      <c r="AE51" s="289"/>
      <c r="AF51" s="289"/>
      <c r="AG51" s="289"/>
      <c r="AH51" s="289"/>
      <c r="AI51" s="289"/>
      <c r="AJ51" s="289"/>
      <c r="AK51" s="289"/>
      <c r="AL51" s="289"/>
      <c r="AM51" s="289"/>
      <c r="AN51" s="289"/>
      <c r="AO51" s="289"/>
      <c r="AP51" s="289"/>
      <c r="AQ51" s="289"/>
      <c r="AR51" s="289"/>
      <c r="AS51" s="289"/>
      <c r="AT51" s="289"/>
      <c r="AU51" s="289"/>
      <c r="AV51" s="289"/>
      <c r="AW51" s="289"/>
      <c r="AX51" s="289"/>
      <c r="AY51" s="289"/>
      <c r="AZ51" s="289"/>
      <c r="BA51" s="289"/>
      <c r="BB51" s="289"/>
      <c r="BC51" s="289"/>
      <c r="BD51" s="294">
        <v>52000000</v>
      </c>
      <c r="BE51" s="294">
        <v>35920648</v>
      </c>
      <c r="BF51" s="294">
        <v>35920648</v>
      </c>
      <c r="BG51" s="289"/>
      <c r="BH51" s="289"/>
      <c r="BI51" s="289"/>
      <c r="BJ51" s="289"/>
      <c r="BK51" s="289"/>
      <c r="BL51" s="289"/>
      <c r="BM51" s="289"/>
      <c r="BN51" s="289"/>
      <c r="BO51" s="289"/>
      <c r="BP51" s="273">
        <f t="shared" si="12"/>
        <v>52000000</v>
      </c>
      <c r="BQ51" s="273">
        <f t="shared" si="12"/>
        <v>35920648</v>
      </c>
      <c r="BR51" s="273">
        <f t="shared" si="12"/>
        <v>35920648</v>
      </c>
      <c r="BS51" s="236" t="s">
        <v>1648</v>
      </c>
      <c r="BT51" s="233"/>
    </row>
    <row r="52" spans="1:72" s="27" customFormat="1" ht="117.75" customHeight="1" x14ac:dyDescent="0.2">
      <c r="A52" s="217">
        <v>309</v>
      </c>
      <c r="B52" s="216" t="s">
        <v>1617</v>
      </c>
      <c r="C52" s="213">
        <v>1</v>
      </c>
      <c r="D52" s="287" t="s">
        <v>1614</v>
      </c>
      <c r="E52" s="213">
        <v>41</v>
      </c>
      <c r="F52" s="216" t="s">
        <v>284</v>
      </c>
      <c r="G52" s="213">
        <v>4101</v>
      </c>
      <c r="H52" s="216" t="s">
        <v>285</v>
      </c>
      <c r="I52" s="213">
        <v>4101</v>
      </c>
      <c r="J52" s="216" t="s">
        <v>1605</v>
      </c>
      <c r="K52" s="216" t="s">
        <v>286</v>
      </c>
      <c r="L52" s="304">
        <v>4101038</v>
      </c>
      <c r="M52" s="216" t="s">
        <v>294</v>
      </c>
      <c r="N52" s="304">
        <v>4101038</v>
      </c>
      <c r="O52" s="216" t="s">
        <v>294</v>
      </c>
      <c r="P52" s="304">
        <v>410103800</v>
      </c>
      <c r="Q52" s="216" t="s">
        <v>295</v>
      </c>
      <c r="R52" s="304">
        <v>410103800</v>
      </c>
      <c r="S52" s="216" t="s">
        <v>295</v>
      </c>
      <c r="T52" s="236" t="s">
        <v>1673</v>
      </c>
      <c r="U52" s="76">
        <v>12</v>
      </c>
      <c r="V52" s="76">
        <v>12</v>
      </c>
      <c r="W52" s="236" t="s">
        <v>289</v>
      </c>
      <c r="X52" s="214" t="s">
        <v>290</v>
      </c>
      <c r="Y52" s="320" t="s">
        <v>291</v>
      </c>
      <c r="Z52" s="289"/>
      <c r="AA52" s="289"/>
      <c r="AB52" s="289"/>
      <c r="AC52" s="289"/>
      <c r="AD52" s="289"/>
      <c r="AE52" s="289"/>
      <c r="AF52" s="289"/>
      <c r="AG52" s="289"/>
      <c r="AH52" s="289"/>
      <c r="AI52" s="289"/>
      <c r="AJ52" s="289"/>
      <c r="AK52" s="289"/>
      <c r="AL52" s="289"/>
      <c r="AM52" s="289"/>
      <c r="AN52" s="289"/>
      <c r="AO52" s="289"/>
      <c r="AP52" s="289"/>
      <c r="AQ52" s="289"/>
      <c r="AR52" s="289"/>
      <c r="AS52" s="289"/>
      <c r="AT52" s="289"/>
      <c r="AU52" s="289"/>
      <c r="AV52" s="289"/>
      <c r="AW52" s="289"/>
      <c r="AX52" s="289"/>
      <c r="AY52" s="289"/>
      <c r="AZ52" s="289"/>
      <c r="BA52" s="289"/>
      <c r="BB52" s="289"/>
      <c r="BC52" s="289"/>
      <c r="BD52" s="366">
        <v>44000000</v>
      </c>
      <c r="BE52" s="294">
        <v>38363904</v>
      </c>
      <c r="BF52" s="294">
        <v>38363904</v>
      </c>
      <c r="BG52" s="289"/>
      <c r="BH52" s="289"/>
      <c r="BI52" s="289"/>
      <c r="BJ52" s="289"/>
      <c r="BK52" s="289"/>
      <c r="BL52" s="289"/>
      <c r="BM52" s="289"/>
      <c r="BN52" s="289"/>
      <c r="BO52" s="289"/>
      <c r="BP52" s="273">
        <f t="shared" si="12"/>
        <v>44000000</v>
      </c>
      <c r="BQ52" s="273">
        <f t="shared" si="12"/>
        <v>38363904</v>
      </c>
      <c r="BR52" s="273">
        <f t="shared" si="12"/>
        <v>38363904</v>
      </c>
      <c r="BS52" s="236" t="s">
        <v>1648</v>
      </c>
      <c r="BT52" s="233"/>
    </row>
    <row r="53" spans="1:72" s="27" customFormat="1" ht="109.5" customHeight="1" x14ac:dyDescent="0.2">
      <c r="A53" s="217">
        <v>309</v>
      </c>
      <c r="B53" s="216" t="s">
        <v>1617</v>
      </c>
      <c r="C53" s="213">
        <v>1</v>
      </c>
      <c r="D53" s="287" t="s">
        <v>1614</v>
      </c>
      <c r="E53" s="213">
        <v>41</v>
      </c>
      <c r="F53" s="216" t="s">
        <v>284</v>
      </c>
      <c r="G53" s="213">
        <v>4101</v>
      </c>
      <c r="H53" s="216" t="s">
        <v>285</v>
      </c>
      <c r="I53" s="213">
        <v>4101</v>
      </c>
      <c r="J53" s="216" t="s">
        <v>1605</v>
      </c>
      <c r="K53" s="216" t="s">
        <v>296</v>
      </c>
      <c r="L53" s="304">
        <v>4101073</v>
      </c>
      <c r="M53" s="216" t="s">
        <v>297</v>
      </c>
      <c r="N53" s="304">
        <v>4101073</v>
      </c>
      <c r="O53" s="216" t="s">
        <v>297</v>
      </c>
      <c r="P53" s="304">
        <v>410107300</v>
      </c>
      <c r="Q53" s="216" t="s">
        <v>298</v>
      </c>
      <c r="R53" s="304">
        <v>410107300</v>
      </c>
      <c r="S53" s="216" t="s">
        <v>298</v>
      </c>
      <c r="T53" s="236" t="s">
        <v>1673</v>
      </c>
      <c r="U53" s="76">
        <v>30</v>
      </c>
      <c r="V53" s="76">
        <v>30</v>
      </c>
      <c r="W53" s="236" t="s">
        <v>289</v>
      </c>
      <c r="X53" s="214" t="s">
        <v>290</v>
      </c>
      <c r="Y53" s="320" t="s">
        <v>291</v>
      </c>
      <c r="Z53" s="289"/>
      <c r="AA53" s="289"/>
      <c r="AB53" s="289"/>
      <c r="AC53" s="289"/>
      <c r="AD53" s="289"/>
      <c r="AE53" s="289"/>
      <c r="AF53" s="289"/>
      <c r="AG53" s="289"/>
      <c r="AH53" s="289"/>
      <c r="AI53" s="289"/>
      <c r="AJ53" s="289"/>
      <c r="AK53" s="289"/>
      <c r="AL53" s="289"/>
      <c r="AM53" s="289"/>
      <c r="AN53" s="289"/>
      <c r="AO53" s="289"/>
      <c r="AP53" s="289"/>
      <c r="AQ53" s="289"/>
      <c r="AR53" s="289"/>
      <c r="AS53" s="289"/>
      <c r="AT53" s="289"/>
      <c r="AU53" s="289"/>
      <c r="AV53" s="289"/>
      <c r="AW53" s="289"/>
      <c r="AX53" s="289"/>
      <c r="AY53" s="289"/>
      <c r="AZ53" s="289"/>
      <c r="BA53" s="289"/>
      <c r="BB53" s="289"/>
      <c r="BC53" s="289"/>
      <c r="BD53" s="294">
        <v>136707113</v>
      </c>
      <c r="BE53" s="294">
        <v>110644280.95</v>
      </c>
      <c r="BF53" s="294">
        <v>110644280.95</v>
      </c>
      <c r="BG53" s="289"/>
      <c r="BH53" s="289"/>
      <c r="BI53" s="289"/>
      <c r="BJ53" s="289"/>
      <c r="BK53" s="289"/>
      <c r="BL53" s="289"/>
      <c r="BM53" s="289"/>
      <c r="BN53" s="289"/>
      <c r="BO53" s="289"/>
      <c r="BP53" s="273">
        <f t="shared" si="12"/>
        <v>136707113</v>
      </c>
      <c r="BQ53" s="273">
        <f t="shared" si="12"/>
        <v>110644280.95</v>
      </c>
      <c r="BR53" s="273">
        <f t="shared" si="12"/>
        <v>110644280.95</v>
      </c>
      <c r="BS53" s="236" t="s">
        <v>1648</v>
      </c>
      <c r="BT53" s="233"/>
    </row>
    <row r="54" spans="1:72" s="27" customFormat="1" ht="105" x14ac:dyDescent="0.2">
      <c r="A54" s="217">
        <v>309</v>
      </c>
      <c r="B54" s="216" t="s">
        <v>1617</v>
      </c>
      <c r="C54" s="213">
        <v>1</v>
      </c>
      <c r="D54" s="287" t="s">
        <v>1614</v>
      </c>
      <c r="E54" s="213">
        <v>41</v>
      </c>
      <c r="F54" s="216" t="s">
        <v>284</v>
      </c>
      <c r="G54" s="213">
        <v>4101</v>
      </c>
      <c r="H54" s="216" t="s">
        <v>285</v>
      </c>
      <c r="I54" s="213">
        <v>4101</v>
      </c>
      <c r="J54" s="216" t="s">
        <v>1605</v>
      </c>
      <c r="K54" s="216" t="s">
        <v>299</v>
      </c>
      <c r="L54" s="304">
        <v>4101011</v>
      </c>
      <c r="M54" s="216" t="s">
        <v>300</v>
      </c>
      <c r="N54" s="304">
        <v>4101011</v>
      </c>
      <c r="O54" s="216" t="s">
        <v>300</v>
      </c>
      <c r="P54" s="304">
        <v>410101100</v>
      </c>
      <c r="Q54" s="216" t="s">
        <v>301</v>
      </c>
      <c r="R54" s="304">
        <v>410101100</v>
      </c>
      <c r="S54" s="216" t="s">
        <v>301</v>
      </c>
      <c r="T54" s="236" t="s">
        <v>1673</v>
      </c>
      <c r="U54" s="76">
        <v>2</v>
      </c>
      <c r="V54" s="76">
        <v>2</v>
      </c>
      <c r="W54" s="236" t="s">
        <v>289</v>
      </c>
      <c r="X54" s="214" t="s">
        <v>290</v>
      </c>
      <c r="Y54" s="320" t="s">
        <v>291</v>
      </c>
      <c r="Z54" s="289"/>
      <c r="AA54" s="289"/>
      <c r="AB54" s="289"/>
      <c r="AC54" s="289"/>
      <c r="AD54" s="289"/>
      <c r="AE54" s="289"/>
      <c r="AF54" s="289"/>
      <c r="AG54" s="289"/>
      <c r="AH54" s="289"/>
      <c r="AI54" s="289"/>
      <c r="AJ54" s="289"/>
      <c r="AK54" s="289"/>
      <c r="AL54" s="289"/>
      <c r="AM54" s="289"/>
      <c r="AN54" s="289"/>
      <c r="AO54" s="289"/>
      <c r="AP54" s="289"/>
      <c r="AQ54" s="289"/>
      <c r="AR54" s="289"/>
      <c r="AS54" s="289"/>
      <c r="AT54" s="289"/>
      <c r="AU54" s="289"/>
      <c r="AV54" s="289"/>
      <c r="AW54" s="289"/>
      <c r="AX54" s="289"/>
      <c r="AY54" s="289"/>
      <c r="AZ54" s="289"/>
      <c r="BA54" s="289"/>
      <c r="BB54" s="289"/>
      <c r="BC54" s="289"/>
      <c r="BD54" s="294">
        <v>47000000</v>
      </c>
      <c r="BE54" s="294">
        <v>27980833</v>
      </c>
      <c r="BF54" s="294">
        <v>27980833</v>
      </c>
      <c r="BG54" s="289"/>
      <c r="BH54" s="289"/>
      <c r="BI54" s="289"/>
      <c r="BJ54" s="289"/>
      <c r="BK54" s="289"/>
      <c r="BL54" s="289"/>
      <c r="BM54" s="289"/>
      <c r="BN54" s="289"/>
      <c r="BO54" s="289"/>
      <c r="BP54" s="273">
        <f t="shared" si="12"/>
        <v>47000000</v>
      </c>
      <c r="BQ54" s="273">
        <f t="shared" si="12"/>
        <v>27980833</v>
      </c>
      <c r="BR54" s="273">
        <f t="shared" si="12"/>
        <v>27980833</v>
      </c>
      <c r="BS54" s="236" t="s">
        <v>1648</v>
      </c>
      <c r="BT54" s="233"/>
    </row>
    <row r="55" spans="1:72" s="27" customFormat="1" ht="129.75" customHeight="1" x14ac:dyDescent="0.2">
      <c r="A55" s="217">
        <v>309</v>
      </c>
      <c r="B55" s="216" t="s">
        <v>1617</v>
      </c>
      <c r="C55" s="213">
        <v>1</v>
      </c>
      <c r="D55" s="287" t="s">
        <v>1614</v>
      </c>
      <c r="E55" s="213">
        <v>41</v>
      </c>
      <c r="F55" s="216" t="s">
        <v>284</v>
      </c>
      <c r="G55" s="213">
        <v>4103</v>
      </c>
      <c r="H55" s="216" t="s">
        <v>302</v>
      </c>
      <c r="I55" s="213">
        <v>4103</v>
      </c>
      <c r="J55" s="216" t="s">
        <v>1606</v>
      </c>
      <c r="K55" s="216" t="s">
        <v>303</v>
      </c>
      <c r="L55" s="213" t="s">
        <v>41</v>
      </c>
      <c r="M55" s="216" t="s">
        <v>304</v>
      </c>
      <c r="N55" s="304">
        <v>4103052</v>
      </c>
      <c r="O55" s="216" t="s">
        <v>305</v>
      </c>
      <c r="P55" s="213" t="s">
        <v>41</v>
      </c>
      <c r="Q55" s="216" t="s">
        <v>306</v>
      </c>
      <c r="R55" s="304">
        <v>410305201</v>
      </c>
      <c r="S55" s="216" t="s">
        <v>307</v>
      </c>
      <c r="T55" s="236" t="s">
        <v>1673</v>
      </c>
      <c r="U55" s="76">
        <v>25</v>
      </c>
      <c r="V55" s="76">
        <v>25</v>
      </c>
      <c r="W55" s="236" t="s">
        <v>308</v>
      </c>
      <c r="X55" s="216" t="s">
        <v>309</v>
      </c>
      <c r="Y55" s="216" t="s">
        <v>310</v>
      </c>
      <c r="Z55" s="289"/>
      <c r="AA55" s="289"/>
      <c r="AB55" s="289"/>
      <c r="AC55" s="289"/>
      <c r="AD55" s="289"/>
      <c r="AE55" s="289"/>
      <c r="AF55" s="289"/>
      <c r="AG55" s="289"/>
      <c r="AH55" s="289"/>
      <c r="AI55" s="289"/>
      <c r="AJ55" s="289"/>
      <c r="AK55" s="289"/>
      <c r="AL55" s="289"/>
      <c r="AM55" s="289"/>
      <c r="AN55" s="289"/>
      <c r="AO55" s="289"/>
      <c r="AP55" s="289"/>
      <c r="AQ55" s="289"/>
      <c r="AR55" s="289"/>
      <c r="AS55" s="289"/>
      <c r="AT55" s="289"/>
      <c r="AU55" s="289"/>
      <c r="AV55" s="289"/>
      <c r="AW55" s="289"/>
      <c r="AX55" s="289"/>
      <c r="AY55" s="289"/>
      <c r="AZ55" s="289"/>
      <c r="BA55" s="289"/>
      <c r="BB55" s="289"/>
      <c r="BC55" s="289"/>
      <c r="BD55" s="294">
        <v>34027629</v>
      </c>
      <c r="BE55" s="294">
        <v>16292129</v>
      </c>
      <c r="BF55" s="294">
        <v>16292129</v>
      </c>
      <c r="BG55" s="289"/>
      <c r="BH55" s="289"/>
      <c r="BI55" s="289"/>
      <c r="BJ55" s="289"/>
      <c r="BK55" s="289"/>
      <c r="BL55" s="289"/>
      <c r="BM55" s="289"/>
      <c r="BN55" s="289"/>
      <c r="BO55" s="289"/>
      <c r="BP55" s="273">
        <f>+Z55+AC55+AF55+AI55+AL55+AO55+AR55+AU55+AX55+BA55+BD55+BG55+BJ55</f>
        <v>34027629</v>
      </c>
      <c r="BQ55" s="273">
        <f>+AA55+AD55+AG55+AJ55+AM55+AP55+AS55+AV55+AY55+BB55+BE55+BH55+BK55</f>
        <v>16292129</v>
      </c>
      <c r="BR55" s="273">
        <f>+AB55+AE55+AH55+AK55+AN55+AQ55+AT55+AW55+AZ55+BC55+BF55+BI55+BL55</f>
        <v>16292129</v>
      </c>
      <c r="BS55" s="236" t="s">
        <v>1648</v>
      </c>
      <c r="BT55" s="233"/>
    </row>
    <row r="56" spans="1:72" s="27" customFormat="1" ht="188.25" customHeight="1" x14ac:dyDescent="0.2">
      <c r="A56" s="217">
        <v>309</v>
      </c>
      <c r="B56" s="216" t="s">
        <v>1617</v>
      </c>
      <c r="C56" s="213">
        <v>1</v>
      </c>
      <c r="D56" s="287" t="s">
        <v>1614</v>
      </c>
      <c r="E56" s="213">
        <v>45</v>
      </c>
      <c r="F56" s="216" t="s">
        <v>38</v>
      </c>
      <c r="G56" s="213">
        <v>4501</v>
      </c>
      <c r="H56" s="216" t="s">
        <v>311</v>
      </c>
      <c r="I56" s="213">
        <v>4501</v>
      </c>
      <c r="J56" s="216" t="s">
        <v>1609</v>
      </c>
      <c r="K56" s="216" t="s">
        <v>139</v>
      </c>
      <c r="L56" s="213" t="s">
        <v>41</v>
      </c>
      <c r="M56" s="216" t="s">
        <v>312</v>
      </c>
      <c r="N56" s="304">
        <v>4501029</v>
      </c>
      <c r="O56" s="216" t="s">
        <v>313</v>
      </c>
      <c r="P56" s="213" t="s">
        <v>41</v>
      </c>
      <c r="Q56" s="216" t="s">
        <v>314</v>
      </c>
      <c r="R56" s="304">
        <v>450102900</v>
      </c>
      <c r="S56" s="216" t="s">
        <v>315</v>
      </c>
      <c r="T56" s="236" t="s">
        <v>1673</v>
      </c>
      <c r="U56" s="76">
        <v>5</v>
      </c>
      <c r="V56" s="76">
        <v>5</v>
      </c>
      <c r="W56" s="236" t="s">
        <v>316</v>
      </c>
      <c r="X56" s="216" t="s">
        <v>317</v>
      </c>
      <c r="Y56" s="216" t="s">
        <v>318</v>
      </c>
      <c r="Z56" s="289"/>
      <c r="AA56" s="289"/>
      <c r="AB56" s="289"/>
      <c r="AC56" s="326">
        <v>4387879528.3299999</v>
      </c>
      <c r="AD56" s="326">
        <v>1133578214.1599998</v>
      </c>
      <c r="AE56" s="326">
        <v>1133578214.1599998</v>
      </c>
      <c r="AF56" s="289"/>
      <c r="AG56" s="289"/>
      <c r="AH56" s="289"/>
      <c r="AI56" s="289"/>
      <c r="AJ56" s="289"/>
      <c r="AK56" s="289"/>
      <c r="AL56" s="289"/>
      <c r="AM56" s="289"/>
      <c r="AN56" s="289"/>
      <c r="AO56" s="289"/>
      <c r="AP56" s="289"/>
      <c r="AQ56" s="289"/>
      <c r="AR56" s="289"/>
      <c r="AS56" s="289"/>
      <c r="AT56" s="289"/>
      <c r="AU56" s="289"/>
      <c r="AV56" s="289"/>
      <c r="AW56" s="289"/>
      <c r="AX56" s="289"/>
      <c r="AY56" s="289"/>
      <c r="AZ56" s="289"/>
      <c r="BA56" s="289"/>
      <c r="BB56" s="289"/>
      <c r="BC56" s="289"/>
      <c r="BD56" s="294"/>
      <c r="BE56" s="294"/>
      <c r="BF56" s="294"/>
      <c r="BG56" s="289"/>
      <c r="BH56" s="289"/>
      <c r="BI56" s="289"/>
      <c r="BJ56" s="289"/>
      <c r="BK56" s="289"/>
      <c r="BL56" s="289"/>
      <c r="BM56" s="289"/>
      <c r="BN56" s="289"/>
      <c r="BO56" s="289"/>
      <c r="BP56" s="273">
        <f t="shared" ref="BP56:BR57" si="13">+Z56+AC56+AF56+AI56+AL56+AO56+AR56+AU56+AX56+BA56+BD56+BG56+BJ56</f>
        <v>4387879528.3299999</v>
      </c>
      <c r="BQ56" s="273">
        <f t="shared" si="13"/>
        <v>1133578214.1599998</v>
      </c>
      <c r="BR56" s="273">
        <f t="shared" si="13"/>
        <v>1133578214.1599998</v>
      </c>
      <c r="BS56" s="236" t="s">
        <v>1648</v>
      </c>
      <c r="BT56" s="233"/>
    </row>
    <row r="57" spans="1:72" s="27" customFormat="1" ht="188.25" customHeight="1" x14ac:dyDescent="0.2">
      <c r="A57" s="217">
        <v>309</v>
      </c>
      <c r="B57" s="216" t="s">
        <v>1617</v>
      </c>
      <c r="C57" s="213">
        <v>1</v>
      </c>
      <c r="D57" s="287" t="s">
        <v>1614</v>
      </c>
      <c r="E57" s="213">
        <v>45</v>
      </c>
      <c r="F57" s="216" t="s">
        <v>38</v>
      </c>
      <c r="G57" s="213">
        <v>4501</v>
      </c>
      <c r="H57" s="216" t="s">
        <v>311</v>
      </c>
      <c r="I57" s="213">
        <v>4501</v>
      </c>
      <c r="J57" s="216" t="s">
        <v>1609</v>
      </c>
      <c r="K57" s="216" t="s">
        <v>139</v>
      </c>
      <c r="L57" s="213">
        <v>4501001</v>
      </c>
      <c r="M57" s="327" t="s">
        <v>103</v>
      </c>
      <c r="N57" s="213">
        <v>4501001</v>
      </c>
      <c r="O57" s="327" t="s">
        <v>103</v>
      </c>
      <c r="P57" s="213">
        <v>450100100</v>
      </c>
      <c r="Q57" s="216" t="s">
        <v>1674</v>
      </c>
      <c r="R57" s="213">
        <v>450100100</v>
      </c>
      <c r="S57" s="216" t="s">
        <v>319</v>
      </c>
      <c r="T57" s="236" t="s">
        <v>1673</v>
      </c>
      <c r="U57" s="76">
        <v>12</v>
      </c>
      <c r="V57" s="76">
        <v>12</v>
      </c>
      <c r="W57" s="236" t="s">
        <v>320</v>
      </c>
      <c r="X57" s="216" t="s">
        <v>1475</v>
      </c>
      <c r="Y57" s="327" t="s">
        <v>321</v>
      </c>
      <c r="Z57" s="328">
        <v>0</v>
      </c>
      <c r="AA57" s="214"/>
      <c r="AB57" s="214"/>
      <c r="AC57" s="289">
        <v>0</v>
      </c>
      <c r="AD57" s="289"/>
      <c r="AE57" s="289"/>
      <c r="AF57" s="289">
        <v>0</v>
      </c>
      <c r="AG57" s="289"/>
      <c r="AH57" s="289"/>
      <c r="AI57" s="289">
        <v>0</v>
      </c>
      <c r="AJ57" s="289"/>
      <c r="AK57" s="289"/>
      <c r="AL57" s="289">
        <v>0</v>
      </c>
      <c r="AM57" s="289"/>
      <c r="AN57" s="289"/>
      <c r="AO57" s="289">
        <v>0</v>
      </c>
      <c r="AP57" s="289"/>
      <c r="AQ57" s="289"/>
      <c r="AR57" s="289">
        <v>0</v>
      </c>
      <c r="AS57" s="289"/>
      <c r="AT57" s="289"/>
      <c r="AU57" s="289">
        <v>0</v>
      </c>
      <c r="AV57" s="289"/>
      <c r="AW57" s="289"/>
      <c r="AX57" s="289">
        <v>0</v>
      </c>
      <c r="AY57" s="289"/>
      <c r="AZ57" s="289"/>
      <c r="BA57" s="289">
        <v>0</v>
      </c>
      <c r="BB57" s="289"/>
      <c r="BC57" s="289"/>
      <c r="BD57" s="367">
        <v>49500000</v>
      </c>
      <c r="BE57" s="329">
        <v>46916499</v>
      </c>
      <c r="BF57" s="329">
        <v>46916499</v>
      </c>
      <c r="BG57" s="289">
        <v>0</v>
      </c>
      <c r="BH57" s="289"/>
      <c r="BI57" s="289"/>
      <c r="BJ57" s="289">
        <v>0</v>
      </c>
      <c r="BK57" s="289"/>
      <c r="BL57" s="289"/>
      <c r="BM57" s="289"/>
      <c r="BN57" s="289"/>
      <c r="BO57" s="289"/>
      <c r="BP57" s="273">
        <f t="shared" si="13"/>
        <v>49500000</v>
      </c>
      <c r="BQ57" s="273">
        <f t="shared" si="13"/>
        <v>46916499</v>
      </c>
      <c r="BR57" s="273">
        <f t="shared" si="13"/>
        <v>46916499</v>
      </c>
      <c r="BS57" s="236" t="s">
        <v>1648</v>
      </c>
      <c r="BT57" s="233"/>
    </row>
    <row r="58" spans="1:72" s="27" customFormat="1" ht="155.25" customHeight="1" x14ac:dyDescent="0.2">
      <c r="A58" s="217">
        <v>309</v>
      </c>
      <c r="B58" s="216" t="s">
        <v>1617</v>
      </c>
      <c r="C58" s="307">
        <v>3</v>
      </c>
      <c r="D58" s="216" t="s">
        <v>1619</v>
      </c>
      <c r="E58" s="213">
        <v>32</v>
      </c>
      <c r="F58" s="216" t="s">
        <v>207</v>
      </c>
      <c r="G58" s="213">
        <v>3205</v>
      </c>
      <c r="H58" s="216" t="s">
        <v>208</v>
      </c>
      <c r="I58" s="213">
        <v>3205</v>
      </c>
      <c r="J58" s="216" t="s">
        <v>1596</v>
      </c>
      <c r="K58" s="216" t="s">
        <v>322</v>
      </c>
      <c r="L58" s="213">
        <v>3205002</v>
      </c>
      <c r="M58" s="216" t="s">
        <v>323</v>
      </c>
      <c r="N58" s="213">
        <v>3205002</v>
      </c>
      <c r="O58" s="216" t="s">
        <v>323</v>
      </c>
      <c r="P58" s="213">
        <v>320500200</v>
      </c>
      <c r="Q58" s="216" t="s">
        <v>324</v>
      </c>
      <c r="R58" s="213">
        <v>320500200</v>
      </c>
      <c r="S58" s="216" t="s">
        <v>324</v>
      </c>
      <c r="T58" s="236" t="s">
        <v>1673</v>
      </c>
      <c r="U58" s="76">
        <v>3</v>
      </c>
      <c r="V58" s="76">
        <v>2</v>
      </c>
      <c r="W58" s="236" t="s">
        <v>325</v>
      </c>
      <c r="X58" s="214" t="s">
        <v>326</v>
      </c>
      <c r="Y58" s="214" t="s">
        <v>327</v>
      </c>
      <c r="Z58" s="289"/>
      <c r="AA58" s="289"/>
      <c r="AB58" s="289"/>
      <c r="AC58" s="289"/>
      <c r="AD58" s="289"/>
      <c r="AE58" s="289"/>
      <c r="AF58" s="289"/>
      <c r="AG58" s="289"/>
      <c r="AH58" s="289"/>
      <c r="AI58" s="289"/>
      <c r="AJ58" s="289"/>
      <c r="AK58" s="289"/>
      <c r="AL58" s="289"/>
      <c r="AM58" s="289"/>
      <c r="AN58" s="289"/>
      <c r="AO58" s="289"/>
      <c r="AP58" s="289"/>
      <c r="AQ58" s="289"/>
      <c r="AR58" s="289"/>
      <c r="AS58" s="289"/>
      <c r="AT58" s="289"/>
      <c r="AU58" s="289"/>
      <c r="AV58" s="289"/>
      <c r="AW58" s="289"/>
      <c r="AX58" s="289"/>
      <c r="AY58" s="289"/>
      <c r="AZ58" s="289"/>
      <c r="BA58" s="289"/>
      <c r="BB58" s="289"/>
      <c r="BC58" s="289"/>
      <c r="BD58" s="330">
        <v>243850000</v>
      </c>
      <c r="BE58" s="330">
        <v>100601333</v>
      </c>
      <c r="BF58" s="330">
        <v>100601333</v>
      </c>
      <c r="BG58" s="289"/>
      <c r="BH58" s="289"/>
      <c r="BI58" s="289"/>
      <c r="BJ58" s="289"/>
      <c r="BK58" s="289"/>
      <c r="BL58" s="289"/>
      <c r="BM58" s="289"/>
      <c r="BN58" s="289"/>
      <c r="BO58" s="289"/>
      <c r="BP58" s="273">
        <f>+Z58+AC58+AF58+AI58+AL58+AO58+AR58+AU58+AX58+BA58+BD58+BG58+BJ58</f>
        <v>243850000</v>
      </c>
      <c r="BQ58" s="273">
        <f>+AA58+AD58+AG58+AJ58+AM58+AP58+AS58+AV58+AY58+BB58+BE58+BH58+BK58</f>
        <v>100601333</v>
      </c>
      <c r="BR58" s="273">
        <f>+AB58+AE58+AH58+AK58+AN58+AQ58+AT58+AW58+AZ58+BC58+BF58+BI58+BL58</f>
        <v>100601333</v>
      </c>
      <c r="BS58" s="236" t="s">
        <v>1648</v>
      </c>
      <c r="BT58" s="233"/>
    </row>
    <row r="59" spans="1:72" s="27" customFormat="1" ht="100.5" customHeight="1" x14ac:dyDescent="0.2">
      <c r="A59" s="217">
        <v>309</v>
      </c>
      <c r="B59" s="216" t="s">
        <v>1617</v>
      </c>
      <c r="C59" s="307">
        <v>3</v>
      </c>
      <c r="D59" s="216" t="s">
        <v>1619</v>
      </c>
      <c r="E59" s="213">
        <v>45</v>
      </c>
      <c r="F59" s="216" t="s">
        <v>38</v>
      </c>
      <c r="G59" s="213">
        <v>4503</v>
      </c>
      <c r="H59" s="216" t="s">
        <v>1568</v>
      </c>
      <c r="I59" s="213">
        <v>4503</v>
      </c>
      <c r="J59" s="216" t="s">
        <v>1569</v>
      </c>
      <c r="K59" s="216" t="s">
        <v>328</v>
      </c>
      <c r="L59" s="213">
        <v>4503002</v>
      </c>
      <c r="M59" s="216" t="s">
        <v>329</v>
      </c>
      <c r="N59" s="213">
        <v>4503002</v>
      </c>
      <c r="O59" s="216" t="s">
        <v>329</v>
      </c>
      <c r="P59" s="213">
        <v>450300200</v>
      </c>
      <c r="Q59" s="216" t="s">
        <v>330</v>
      </c>
      <c r="R59" s="213">
        <v>450300200</v>
      </c>
      <c r="S59" s="216" t="s">
        <v>330</v>
      </c>
      <c r="T59" s="236" t="s">
        <v>1673</v>
      </c>
      <c r="U59" s="76">
        <v>4000</v>
      </c>
      <c r="V59" s="76">
        <v>4790</v>
      </c>
      <c r="W59" s="236" t="s">
        <v>331</v>
      </c>
      <c r="X59" s="214" t="s">
        <v>332</v>
      </c>
      <c r="Y59" s="320" t="s">
        <v>333</v>
      </c>
      <c r="Z59" s="289"/>
      <c r="AA59" s="289"/>
      <c r="AB59" s="289"/>
      <c r="AC59" s="289"/>
      <c r="AD59" s="289"/>
      <c r="AE59" s="289"/>
      <c r="AF59" s="289"/>
      <c r="AG59" s="289"/>
      <c r="AH59" s="289"/>
      <c r="AI59" s="289"/>
      <c r="AJ59" s="289"/>
      <c r="AK59" s="289"/>
      <c r="AL59" s="289"/>
      <c r="AM59" s="289"/>
      <c r="AN59" s="289"/>
      <c r="AO59" s="289"/>
      <c r="AP59" s="289"/>
      <c r="AQ59" s="289"/>
      <c r="AR59" s="289"/>
      <c r="AS59" s="289"/>
      <c r="AT59" s="289"/>
      <c r="AU59" s="289"/>
      <c r="AV59" s="289"/>
      <c r="AW59" s="289"/>
      <c r="AX59" s="289"/>
      <c r="AY59" s="289"/>
      <c r="AZ59" s="289"/>
      <c r="BA59" s="289"/>
      <c r="BB59" s="289"/>
      <c r="BC59" s="289"/>
      <c r="BD59" s="366">
        <v>35000000</v>
      </c>
      <c r="BE59" s="294">
        <v>27141567</v>
      </c>
      <c r="BF59" s="294">
        <v>27141567</v>
      </c>
      <c r="BG59" s="289"/>
      <c r="BH59" s="289"/>
      <c r="BI59" s="289"/>
      <c r="BJ59" s="289"/>
      <c r="BK59" s="289"/>
      <c r="BL59" s="289"/>
      <c r="BM59" s="289"/>
      <c r="BN59" s="289"/>
      <c r="BO59" s="289"/>
      <c r="BP59" s="273">
        <f t="shared" ref="BP59:BR61" si="14">+Z59+AC59+AF59+AI59+AL59+AO59+AR59+AU59+AX59+BA59+BD59+BG59+BJ59</f>
        <v>35000000</v>
      </c>
      <c r="BQ59" s="273">
        <f t="shared" si="14"/>
        <v>27141567</v>
      </c>
      <c r="BR59" s="273">
        <f t="shared" si="14"/>
        <v>27141567</v>
      </c>
      <c r="BS59" s="236" t="s">
        <v>1648</v>
      </c>
      <c r="BT59" s="233"/>
    </row>
    <row r="60" spans="1:72" s="27" customFormat="1" ht="100.5" customHeight="1" x14ac:dyDescent="0.2">
      <c r="A60" s="217">
        <v>309</v>
      </c>
      <c r="B60" s="216" t="s">
        <v>1617</v>
      </c>
      <c r="C60" s="307">
        <v>3</v>
      </c>
      <c r="D60" s="216" t="s">
        <v>1619</v>
      </c>
      <c r="E60" s="213">
        <v>45</v>
      </c>
      <c r="F60" s="216" t="s">
        <v>38</v>
      </c>
      <c r="G60" s="213">
        <v>4503</v>
      </c>
      <c r="H60" s="216" t="s">
        <v>1568</v>
      </c>
      <c r="I60" s="213">
        <v>4503</v>
      </c>
      <c r="J60" s="216" t="s">
        <v>1569</v>
      </c>
      <c r="K60" s="216" t="s">
        <v>334</v>
      </c>
      <c r="L60" s="213">
        <v>4503003</v>
      </c>
      <c r="M60" s="216" t="s">
        <v>103</v>
      </c>
      <c r="N60" s="213">
        <v>4503003</v>
      </c>
      <c r="O60" s="216" t="s">
        <v>103</v>
      </c>
      <c r="P60" s="213">
        <v>450300300</v>
      </c>
      <c r="Q60" s="216" t="s">
        <v>335</v>
      </c>
      <c r="R60" s="213">
        <v>450300300</v>
      </c>
      <c r="S60" s="216" t="s">
        <v>335</v>
      </c>
      <c r="T60" s="236" t="s">
        <v>1671</v>
      </c>
      <c r="U60" s="76">
        <v>12</v>
      </c>
      <c r="V60" s="76">
        <v>12</v>
      </c>
      <c r="W60" s="236" t="s">
        <v>331</v>
      </c>
      <c r="X60" s="214" t="s">
        <v>332</v>
      </c>
      <c r="Y60" s="320" t="s">
        <v>333</v>
      </c>
      <c r="Z60" s="289"/>
      <c r="AA60" s="289"/>
      <c r="AB60" s="289"/>
      <c r="AC60" s="289"/>
      <c r="AD60" s="289"/>
      <c r="AE60" s="289"/>
      <c r="AF60" s="289"/>
      <c r="AG60" s="289"/>
      <c r="AH60" s="289"/>
      <c r="AI60" s="289"/>
      <c r="AJ60" s="289"/>
      <c r="AK60" s="289"/>
      <c r="AL60" s="289"/>
      <c r="AM60" s="289"/>
      <c r="AN60" s="289"/>
      <c r="AO60" s="289"/>
      <c r="AP60" s="289"/>
      <c r="AQ60" s="289"/>
      <c r="AR60" s="289"/>
      <c r="AS60" s="289"/>
      <c r="AT60" s="289"/>
      <c r="AU60" s="289"/>
      <c r="AV60" s="289"/>
      <c r="AW60" s="289"/>
      <c r="AX60" s="289"/>
      <c r="AY60" s="289"/>
      <c r="AZ60" s="289"/>
      <c r="BA60" s="289"/>
      <c r="BB60" s="289"/>
      <c r="BC60" s="289"/>
      <c r="BD60" s="366">
        <v>400809656</v>
      </c>
      <c r="BE60" s="294">
        <v>201609054.06</v>
      </c>
      <c r="BF60" s="294">
        <v>201609054.06</v>
      </c>
      <c r="BG60" s="289"/>
      <c r="BH60" s="289"/>
      <c r="BI60" s="289"/>
      <c r="BJ60" s="289"/>
      <c r="BK60" s="289"/>
      <c r="BL60" s="289"/>
      <c r="BM60" s="289"/>
      <c r="BN60" s="289"/>
      <c r="BO60" s="289"/>
      <c r="BP60" s="273">
        <f t="shared" si="14"/>
        <v>400809656</v>
      </c>
      <c r="BQ60" s="273">
        <f t="shared" si="14"/>
        <v>201609054.06</v>
      </c>
      <c r="BR60" s="273">
        <f t="shared" si="14"/>
        <v>201609054.06</v>
      </c>
      <c r="BS60" s="236" t="s">
        <v>1648</v>
      </c>
      <c r="BT60" s="233"/>
    </row>
    <row r="61" spans="1:72" s="27" customFormat="1" ht="113.25" customHeight="1" x14ac:dyDescent="0.2">
      <c r="A61" s="217">
        <v>309</v>
      </c>
      <c r="B61" s="216" t="s">
        <v>1617</v>
      </c>
      <c r="C61" s="307">
        <v>3</v>
      </c>
      <c r="D61" s="216" t="s">
        <v>1619</v>
      </c>
      <c r="E61" s="213">
        <v>45</v>
      </c>
      <c r="F61" s="216" t="s">
        <v>38</v>
      </c>
      <c r="G61" s="213">
        <v>4503</v>
      </c>
      <c r="H61" s="216" t="s">
        <v>1568</v>
      </c>
      <c r="I61" s="213">
        <v>4503</v>
      </c>
      <c r="J61" s="216" t="s">
        <v>1569</v>
      </c>
      <c r="K61" s="216" t="s">
        <v>334</v>
      </c>
      <c r="L61" s="213">
        <v>4503004</v>
      </c>
      <c r="M61" s="216" t="s">
        <v>336</v>
      </c>
      <c r="N61" s="213">
        <v>4503016</v>
      </c>
      <c r="O61" s="216" t="s">
        <v>337</v>
      </c>
      <c r="P61" s="213" t="s">
        <v>41</v>
      </c>
      <c r="Q61" s="216" t="s">
        <v>338</v>
      </c>
      <c r="R61" s="213">
        <v>450301600</v>
      </c>
      <c r="S61" s="216" t="s">
        <v>339</v>
      </c>
      <c r="T61" s="236" t="s">
        <v>1671</v>
      </c>
      <c r="U61" s="76">
        <v>1</v>
      </c>
      <c r="V61" s="76">
        <v>1</v>
      </c>
      <c r="W61" s="236" t="s">
        <v>331</v>
      </c>
      <c r="X61" s="214" t="s">
        <v>332</v>
      </c>
      <c r="Y61" s="320" t="s">
        <v>333</v>
      </c>
      <c r="Z61" s="289"/>
      <c r="AA61" s="289"/>
      <c r="AB61" s="289"/>
      <c r="AC61" s="289"/>
      <c r="AD61" s="289"/>
      <c r="AE61" s="289"/>
      <c r="AF61" s="289"/>
      <c r="AG61" s="289"/>
      <c r="AH61" s="289"/>
      <c r="AI61" s="289"/>
      <c r="AJ61" s="289"/>
      <c r="AK61" s="289"/>
      <c r="AL61" s="289"/>
      <c r="AM61" s="289"/>
      <c r="AN61" s="289"/>
      <c r="AO61" s="289"/>
      <c r="AP61" s="289"/>
      <c r="AQ61" s="289"/>
      <c r="AR61" s="289"/>
      <c r="AS61" s="289"/>
      <c r="AT61" s="289"/>
      <c r="AU61" s="289"/>
      <c r="AV61" s="289"/>
      <c r="AW61" s="289"/>
      <c r="AX61" s="289"/>
      <c r="AY61" s="289"/>
      <c r="AZ61" s="289"/>
      <c r="BA61" s="289"/>
      <c r="BB61" s="289"/>
      <c r="BC61" s="289"/>
      <c r="BD61" s="294">
        <v>92505448</v>
      </c>
      <c r="BE61" s="294">
        <v>62352102</v>
      </c>
      <c r="BF61" s="294">
        <v>62352102</v>
      </c>
      <c r="BG61" s="289"/>
      <c r="BH61" s="289"/>
      <c r="BI61" s="289"/>
      <c r="BJ61" s="289"/>
      <c r="BK61" s="289"/>
      <c r="BL61" s="289"/>
      <c r="BM61" s="289"/>
      <c r="BN61" s="289"/>
      <c r="BO61" s="289"/>
      <c r="BP61" s="273">
        <f t="shared" si="14"/>
        <v>92505448</v>
      </c>
      <c r="BQ61" s="273">
        <f t="shared" si="14"/>
        <v>62352102</v>
      </c>
      <c r="BR61" s="273">
        <f t="shared" si="14"/>
        <v>62352102</v>
      </c>
      <c r="BS61" s="236" t="s">
        <v>1648</v>
      </c>
      <c r="BT61" s="233"/>
    </row>
    <row r="62" spans="1:72" s="27" customFormat="1" ht="156" customHeight="1" x14ac:dyDescent="0.2">
      <c r="A62" s="217">
        <v>309</v>
      </c>
      <c r="B62" s="216" t="s">
        <v>1617</v>
      </c>
      <c r="C62" s="213">
        <v>4</v>
      </c>
      <c r="D62" s="287" t="s">
        <v>1612</v>
      </c>
      <c r="E62" s="213">
        <v>45</v>
      </c>
      <c r="F62" s="216" t="s">
        <v>38</v>
      </c>
      <c r="G62" s="213">
        <v>4502</v>
      </c>
      <c r="H62" s="216" t="s">
        <v>1566</v>
      </c>
      <c r="I62" s="213">
        <v>4502</v>
      </c>
      <c r="J62" s="216" t="s">
        <v>1567</v>
      </c>
      <c r="K62" s="216" t="s">
        <v>340</v>
      </c>
      <c r="L62" s="213">
        <v>4502024</v>
      </c>
      <c r="M62" s="216" t="s">
        <v>341</v>
      </c>
      <c r="N62" s="213">
        <v>4502024</v>
      </c>
      <c r="O62" s="216" t="s">
        <v>341</v>
      </c>
      <c r="P62" s="292">
        <v>450202400</v>
      </c>
      <c r="Q62" s="216" t="s">
        <v>342</v>
      </c>
      <c r="R62" s="292">
        <v>450202400</v>
      </c>
      <c r="S62" s="311" t="s">
        <v>342</v>
      </c>
      <c r="T62" s="236" t="s">
        <v>1671</v>
      </c>
      <c r="U62" s="76">
        <v>10</v>
      </c>
      <c r="V62" s="76">
        <v>10</v>
      </c>
      <c r="W62" s="236" t="s">
        <v>343</v>
      </c>
      <c r="X62" s="216" t="s">
        <v>344</v>
      </c>
      <c r="Y62" s="216" t="s">
        <v>345</v>
      </c>
      <c r="Z62" s="289"/>
      <c r="AA62" s="289"/>
      <c r="AB62" s="289"/>
      <c r="AC62" s="289"/>
      <c r="AD62" s="289"/>
      <c r="AE62" s="289"/>
      <c r="AF62" s="289"/>
      <c r="AG62" s="289"/>
      <c r="AH62" s="289"/>
      <c r="AI62" s="289"/>
      <c r="AJ62" s="289"/>
      <c r="AK62" s="289"/>
      <c r="AL62" s="289"/>
      <c r="AM62" s="289"/>
      <c r="AN62" s="289"/>
      <c r="AO62" s="289"/>
      <c r="AP62" s="289"/>
      <c r="AQ62" s="289"/>
      <c r="AR62" s="289"/>
      <c r="AS62" s="289"/>
      <c r="AT62" s="289"/>
      <c r="AU62" s="289"/>
      <c r="AV62" s="289"/>
      <c r="AW62" s="289"/>
      <c r="AX62" s="289"/>
      <c r="AY62" s="289"/>
      <c r="AZ62" s="289"/>
      <c r="BA62" s="289"/>
      <c r="BB62" s="289"/>
      <c r="BC62" s="289"/>
      <c r="BD62" s="294">
        <v>89000000</v>
      </c>
      <c r="BE62" s="294">
        <v>73017284</v>
      </c>
      <c r="BF62" s="294">
        <v>73017284</v>
      </c>
      <c r="BG62" s="289"/>
      <c r="BH62" s="289"/>
      <c r="BI62" s="289"/>
      <c r="BJ62" s="289"/>
      <c r="BK62" s="289"/>
      <c r="BL62" s="289"/>
      <c r="BM62" s="289"/>
      <c r="BN62" s="289"/>
      <c r="BO62" s="289"/>
      <c r="BP62" s="273">
        <f t="shared" ref="BP62:BR66" si="15">+Z62+AC62+AF62+AI62+AL62+AO62+AR62+AU62+AX62+BA62+BD62+BG62+BJ62</f>
        <v>89000000</v>
      </c>
      <c r="BQ62" s="273">
        <f t="shared" si="15"/>
        <v>73017284</v>
      </c>
      <c r="BR62" s="273">
        <f t="shared" si="15"/>
        <v>73017284</v>
      </c>
      <c r="BS62" s="236" t="s">
        <v>1648</v>
      </c>
      <c r="BT62" s="233"/>
    </row>
    <row r="63" spans="1:72" s="27" customFormat="1" ht="100.5" customHeight="1" x14ac:dyDescent="0.2">
      <c r="A63" s="217">
        <v>309</v>
      </c>
      <c r="B63" s="216" t="s">
        <v>1617</v>
      </c>
      <c r="C63" s="213">
        <v>4</v>
      </c>
      <c r="D63" s="287" t="s">
        <v>1612</v>
      </c>
      <c r="E63" s="213">
        <v>45</v>
      </c>
      <c r="F63" s="216" t="s">
        <v>38</v>
      </c>
      <c r="G63" s="213">
        <v>4502</v>
      </c>
      <c r="H63" s="216" t="s">
        <v>1566</v>
      </c>
      <c r="I63" s="213">
        <v>4502</v>
      </c>
      <c r="J63" s="216" t="s">
        <v>1567</v>
      </c>
      <c r="K63" s="216" t="s">
        <v>61</v>
      </c>
      <c r="L63" s="217">
        <v>4502001</v>
      </c>
      <c r="M63" s="216" t="s">
        <v>72</v>
      </c>
      <c r="N63" s="217">
        <v>4502001</v>
      </c>
      <c r="O63" s="216" t="s">
        <v>72</v>
      </c>
      <c r="P63" s="213">
        <v>450200100</v>
      </c>
      <c r="Q63" s="216" t="s">
        <v>346</v>
      </c>
      <c r="R63" s="213">
        <v>450200100</v>
      </c>
      <c r="S63" s="216" t="s">
        <v>74</v>
      </c>
      <c r="T63" s="236" t="s">
        <v>1671</v>
      </c>
      <c r="U63" s="76">
        <v>3</v>
      </c>
      <c r="V63" s="76">
        <v>3</v>
      </c>
      <c r="W63" s="236" t="s">
        <v>347</v>
      </c>
      <c r="X63" s="216" t="s">
        <v>348</v>
      </c>
      <c r="Y63" s="216" t="s">
        <v>349</v>
      </c>
      <c r="Z63" s="289"/>
      <c r="AA63" s="289"/>
      <c r="AB63" s="289"/>
      <c r="AC63" s="289"/>
      <c r="AD63" s="289"/>
      <c r="AE63" s="289"/>
      <c r="AF63" s="289"/>
      <c r="AG63" s="289"/>
      <c r="AH63" s="289"/>
      <c r="AI63" s="289"/>
      <c r="AJ63" s="289"/>
      <c r="AK63" s="289"/>
      <c r="AL63" s="289"/>
      <c r="AM63" s="289"/>
      <c r="AN63" s="289"/>
      <c r="AO63" s="289"/>
      <c r="AP63" s="289"/>
      <c r="AQ63" s="289"/>
      <c r="AR63" s="289"/>
      <c r="AS63" s="289"/>
      <c r="AT63" s="289"/>
      <c r="AU63" s="289"/>
      <c r="AV63" s="289"/>
      <c r="AW63" s="289"/>
      <c r="AX63" s="289"/>
      <c r="AY63" s="289"/>
      <c r="AZ63" s="289"/>
      <c r="BA63" s="289"/>
      <c r="BB63" s="289"/>
      <c r="BC63" s="289"/>
      <c r="BD63" s="366">
        <v>132073332</v>
      </c>
      <c r="BE63" s="294">
        <v>108729776</v>
      </c>
      <c r="BF63" s="294">
        <v>108729776</v>
      </c>
      <c r="BG63" s="289"/>
      <c r="BH63" s="289"/>
      <c r="BI63" s="289"/>
      <c r="BJ63" s="289"/>
      <c r="BK63" s="289"/>
      <c r="BL63" s="289"/>
      <c r="BM63" s="289"/>
      <c r="BN63" s="289"/>
      <c r="BO63" s="289"/>
      <c r="BP63" s="273">
        <f t="shared" si="15"/>
        <v>132073332</v>
      </c>
      <c r="BQ63" s="273">
        <f t="shared" si="15"/>
        <v>108729776</v>
      </c>
      <c r="BR63" s="273">
        <f t="shared" si="15"/>
        <v>108729776</v>
      </c>
      <c r="BS63" s="236" t="s">
        <v>1648</v>
      </c>
      <c r="BT63" s="233"/>
    </row>
    <row r="64" spans="1:72" s="27" customFormat="1" ht="87" customHeight="1" x14ac:dyDescent="0.2">
      <c r="A64" s="217">
        <v>309</v>
      </c>
      <c r="B64" s="216" t="s">
        <v>1617</v>
      </c>
      <c r="C64" s="213">
        <v>4</v>
      </c>
      <c r="D64" s="287" t="s">
        <v>1612</v>
      </c>
      <c r="E64" s="213">
        <v>45</v>
      </c>
      <c r="F64" s="216" t="s">
        <v>38</v>
      </c>
      <c r="G64" s="213">
        <v>4502</v>
      </c>
      <c r="H64" s="216" t="s">
        <v>1566</v>
      </c>
      <c r="I64" s="213">
        <v>4502</v>
      </c>
      <c r="J64" s="216" t="s">
        <v>1567</v>
      </c>
      <c r="K64" s="216" t="s">
        <v>61</v>
      </c>
      <c r="L64" s="213" t="s">
        <v>41</v>
      </c>
      <c r="M64" s="216" t="s">
        <v>350</v>
      </c>
      <c r="N64" s="217">
        <v>4502001</v>
      </c>
      <c r="O64" s="216" t="s">
        <v>72</v>
      </c>
      <c r="P64" s="213" t="s">
        <v>41</v>
      </c>
      <c r="Q64" s="216" t="s">
        <v>351</v>
      </c>
      <c r="R64" s="217">
        <v>450200111</v>
      </c>
      <c r="S64" s="216" t="s">
        <v>352</v>
      </c>
      <c r="T64" s="236" t="s">
        <v>1671</v>
      </c>
      <c r="U64" s="331">
        <v>1</v>
      </c>
      <c r="V64" s="331">
        <v>1</v>
      </c>
      <c r="W64" s="236" t="s">
        <v>347</v>
      </c>
      <c r="X64" s="216" t="s">
        <v>348</v>
      </c>
      <c r="Y64" s="216" t="s">
        <v>349</v>
      </c>
      <c r="Z64" s="289"/>
      <c r="AA64" s="289"/>
      <c r="AB64" s="289"/>
      <c r="AC64" s="289"/>
      <c r="AD64" s="289"/>
      <c r="AE64" s="289"/>
      <c r="AF64" s="289"/>
      <c r="AG64" s="289"/>
      <c r="AH64" s="289"/>
      <c r="AI64" s="289"/>
      <c r="AJ64" s="289"/>
      <c r="AK64" s="289"/>
      <c r="AL64" s="289"/>
      <c r="AM64" s="289"/>
      <c r="AN64" s="289"/>
      <c r="AO64" s="289"/>
      <c r="AP64" s="289"/>
      <c r="AQ64" s="289"/>
      <c r="AR64" s="289"/>
      <c r="AS64" s="289"/>
      <c r="AT64" s="289"/>
      <c r="AU64" s="289"/>
      <c r="AV64" s="289"/>
      <c r="AW64" s="289"/>
      <c r="AX64" s="289"/>
      <c r="AY64" s="289"/>
      <c r="AZ64" s="289"/>
      <c r="BA64" s="289"/>
      <c r="BB64" s="289"/>
      <c r="BC64" s="289"/>
      <c r="BD64" s="366">
        <v>59000000</v>
      </c>
      <c r="BE64" s="294">
        <v>57147600</v>
      </c>
      <c r="BF64" s="294">
        <v>57147600</v>
      </c>
      <c r="BG64" s="289"/>
      <c r="BH64" s="289"/>
      <c r="BI64" s="289"/>
      <c r="BJ64" s="289"/>
      <c r="BK64" s="289"/>
      <c r="BL64" s="289"/>
      <c r="BM64" s="289"/>
      <c r="BN64" s="289"/>
      <c r="BO64" s="289"/>
      <c r="BP64" s="273">
        <f t="shared" si="15"/>
        <v>59000000</v>
      </c>
      <c r="BQ64" s="273">
        <f t="shared" si="15"/>
        <v>57147600</v>
      </c>
      <c r="BR64" s="273">
        <f t="shared" si="15"/>
        <v>57147600</v>
      </c>
      <c r="BS64" s="236" t="s">
        <v>1648</v>
      </c>
      <c r="BT64" s="233"/>
    </row>
    <row r="65" spans="1:74" s="27" customFormat="1" ht="108.75" customHeight="1" x14ac:dyDescent="0.2">
      <c r="A65" s="217">
        <v>309</v>
      </c>
      <c r="B65" s="216" t="s">
        <v>1617</v>
      </c>
      <c r="C65" s="213">
        <v>4</v>
      </c>
      <c r="D65" s="287" t="s">
        <v>1612</v>
      </c>
      <c r="E65" s="213">
        <v>45</v>
      </c>
      <c r="F65" s="216" t="s">
        <v>38</v>
      </c>
      <c r="G65" s="213">
        <v>4502</v>
      </c>
      <c r="H65" s="216" t="s">
        <v>1566</v>
      </c>
      <c r="I65" s="213">
        <v>4502</v>
      </c>
      <c r="J65" s="216" t="s">
        <v>1567</v>
      </c>
      <c r="K65" s="216" t="s">
        <v>61</v>
      </c>
      <c r="L65" s="213" t="s">
        <v>41</v>
      </c>
      <c r="M65" s="216" t="s">
        <v>353</v>
      </c>
      <c r="N65" s="213">
        <v>4502001</v>
      </c>
      <c r="O65" s="216" t="s">
        <v>72</v>
      </c>
      <c r="P65" s="213" t="s">
        <v>41</v>
      </c>
      <c r="Q65" s="216" t="s">
        <v>1477</v>
      </c>
      <c r="R65" s="213">
        <v>450200109</v>
      </c>
      <c r="S65" s="216" t="s">
        <v>354</v>
      </c>
      <c r="T65" s="236" t="s">
        <v>1671</v>
      </c>
      <c r="U65" s="76">
        <v>12</v>
      </c>
      <c r="V65" s="76">
        <v>12</v>
      </c>
      <c r="W65" s="236" t="s">
        <v>347</v>
      </c>
      <c r="X65" s="216" t="s">
        <v>348</v>
      </c>
      <c r="Y65" s="216" t="s">
        <v>349</v>
      </c>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366">
        <v>65953401</v>
      </c>
      <c r="BE65" s="294">
        <v>57571332</v>
      </c>
      <c r="BF65" s="294">
        <v>57571332</v>
      </c>
      <c r="BG65" s="289"/>
      <c r="BH65" s="289"/>
      <c r="BI65" s="289"/>
      <c r="BJ65" s="289"/>
      <c r="BK65" s="289"/>
      <c r="BL65" s="289"/>
      <c r="BM65" s="289"/>
      <c r="BN65" s="289"/>
      <c r="BO65" s="289"/>
      <c r="BP65" s="273">
        <f t="shared" si="15"/>
        <v>65953401</v>
      </c>
      <c r="BQ65" s="273">
        <f t="shared" si="15"/>
        <v>57571332</v>
      </c>
      <c r="BR65" s="273">
        <f t="shared" si="15"/>
        <v>57571332</v>
      </c>
      <c r="BS65" s="236" t="s">
        <v>1648</v>
      </c>
      <c r="BT65" s="233"/>
    </row>
    <row r="66" spans="1:74" s="27" customFormat="1" ht="96.75" customHeight="1" x14ac:dyDescent="0.2">
      <c r="A66" s="217">
        <v>309</v>
      </c>
      <c r="B66" s="216" t="s">
        <v>1617</v>
      </c>
      <c r="C66" s="213">
        <v>4</v>
      </c>
      <c r="D66" s="287" t="s">
        <v>1612</v>
      </c>
      <c r="E66" s="213">
        <v>45</v>
      </c>
      <c r="F66" s="216" t="s">
        <v>38</v>
      </c>
      <c r="G66" s="213">
        <v>4502</v>
      </c>
      <c r="H66" s="216" t="s">
        <v>1566</v>
      </c>
      <c r="I66" s="213">
        <v>4502</v>
      </c>
      <c r="J66" s="216" t="s">
        <v>1567</v>
      </c>
      <c r="K66" s="216" t="s">
        <v>61</v>
      </c>
      <c r="L66" s="213" t="s">
        <v>41</v>
      </c>
      <c r="M66" s="216" t="s">
        <v>355</v>
      </c>
      <c r="N66" s="217">
        <v>4502035</v>
      </c>
      <c r="O66" s="216" t="s">
        <v>356</v>
      </c>
      <c r="P66" s="213" t="s">
        <v>41</v>
      </c>
      <c r="Q66" s="216" t="s">
        <v>357</v>
      </c>
      <c r="R66" s="217">
        <v>450203501</v>
      </c>
      <c r="S66" s="216" t="s">
        <v>358</v>
      </c>
      <c r="T66" s="236" t="s">
        <v>1673</v>
      </c>
      <c r="U66" s="76">
        <v>0.4</v>
      </c>
      <c r="V66" s="76">
        <v>0.4</v>
      </c>
      <c r="W66" s="236" t="s">
        <v>347</v>
      </c>
      <c r="X66" s="216" t="s">
        <v>348</v>
      </c>
      <c r="Y66" s="216" t="s">
        <v>349</v>
      </c>
      <c r="Z66" s="289"/>
      <c r="AA66" s="289"/>
      <c r="AB66" s="289"/>
      <c r="AC66" s="289"/>
      <c r="AD66" s="289"/>
      <c r="AE66" s="289"/>
      <c r="AF66" s="289"/>
      <c r="AG66" s="289"/>
      <c r="AH66" s="289"/>
      <c r="AI66" s="289"/>
      <c r="AJ66" s="289"/>
      <c r="AK66" s="289"/>
      <c r="AL66" s="289"/>
      <c r="AM66" s="289"/>
      <c r="AN66" s="289"/>
      <c r="AO66" s="289"/>
      <c r="AP66" s="289"/>
      <c r="AQ66" s="289"/>
      <c r="AR66" s="289"/>
      <c r="AS66" s="289"/>
      <c r="AT66" s="289"/>
      <c r="AU66" s="289"/>
      <c r="AV66" s="289"/>
      <c r="AW66" s="289"/>
      <c r="AX66" s="289"/>
      <c r="AY66" s="289"/>
      <c r="AZ66" s="289"/>
      <c r="BA66" s="289"/>
      <c r="BB66" s="289"/>
      <c r="BC66" s="289"/>
      <c r="BD66" s="294">
        <v>44600000</v>
      </c>
      <c r="BE66" s="294">
        <v>43565000</v>
      </c>
      <c r="BF66" s="294">
        <v>43565000</v>
      </c>
      <c r="BG66" s="289"/>
      <c r="BH66" s="289"/>
      <c r="BI66" s="289"/>
      <c r="BJ66" s="289"/>
      <c r="BK66" s="289"/>
      <c r="BL66" s="289"/>
      <c r="BM66" s="289"/>
      <c r="BN66" s="289"/>
      <c r="BO66" s="289"/>
      <c r="BP66" s="273">
        <f t="shared" si="15"/>
        <v>44600000</v>
      </c>
      <c r="BQ66" s="273">
        <f t="shared" si="15"/>
        <v>43565000</v>
      </c>
      <c r="BR66" s="273">
        <f t="shared" si="15"/>
        <v>43565000</v>
      </c>
      <c r="BS66" s="236" t="s">
        <v>1648</v>
      </c>
      <c r="BT66" s="233"/>
    </row>
    <row r="67" spans="1:74" s="27" customFormat="1" ht="144" customHeight="1" x14ac:dyDescent="0.2">
      <c r="A67" s="217">
        <v>310</v>
      </c>
      <c r="B67" s="216" t="s">
        <v>1620</v>
      </c>
      <c r="C67" s="213">
        <v>1</v>
      </c>
      <c r="D67" s="216" t="s">
        <v>1614</v>
      </c>
      <c r="E67" s="213">
        <v>33</v>
      </c>
      <c r="F67" s="287" t="s">
        <v>166</v>
      </c>
      <c r="G67" s="213">
        <v>3301</v>
      </c>
      <c r="H67" s="216" t="s">
        <v>167</v>
      </c>
      <c r="I67" s="213">
        <v>3301</v>
      </c>
      <c r="J67" s="216" t="s">
        <v>1598</v>
      </c>
      <c r="K67" s="216" t="s">
        <v>360</v>
      </c>
      <c r="L67" s="213">
        <v>3301087</v>
      </c>
      <c r="M67" s="216" t="s">
        <v>361</v>
      </c>
      <c r="N67" s="213">
        <v>3301087</v>
      </c>
      <c r="O67" s="216" t="s">
        <v>361</v>
      </c>
      <c r="P67" s="213">
        <v>330108701</v>
      </c>
      <c r="Q67" s="216" t="s">
        <v>330</v>
      </c>
      <c r="R67" s="213">
        <v>330108701</v>
      </c>
      <c r="S67" s="216" t="s">
        <v>330</v>
      </c>
      <c r="T67" s="236" t="s">
        <v>1673</v>
      </c>
      <c r="U67" s="76">
        <f>5700+1428</f>
        <v>7128</v>
      </c>
      <c r="V67" s="76">
        <v>6819</v>
      </c>
      <c r="W67" s="236" t="s">
        <v>362</v>
      </c>
      <c r="X67" s="216" t="s">
        <v>363</v>
      </c>
      <c r="Y67" s="216" t="s">
        <v>364</v>
      </c>
      <c r="Z67" s="332"/>
      <c r="AA67" s="332"/>
      <c r="AB67" s="332"/>
      <c r="AC67" s="289"/>
      <c r="AD67" s="289"/>
      <c r="AE67" s="289"/>
      <c r="AF67" s="289"/>
      <c r="AG67" s="289"/>
      <c r="AH67" s="289"/>
      <c r="AI67" s="289"/>
      <c r="AJ67" s="289"/>
      <c r="AK67" s="289"/>
      <c r="AL67" s="289"/>
      <c r="AM67" s="289"/>
      <c r="AN67" s="289"/>
      <c r="AO67" s="289"/>
      <c r="AP67" s="289"/>
      <c r="AQ67" s="289"/>
      <c r="AR67" s="289"/>
      <c r="AS67" s="289"/>
      <c r="AT67" s="289"/>
      <c r="AU67" s="289"/>
      <c r="AV67" s="289"/>
      <c r="AW67" s="289"/>
      <c r="AX67" s="289"/>
      <c r="AY67" s="289"/>
      <c r="AZ67" s="289"/>
      <c r="BA67" s="289"/>
      <c r="BB67" s="289"/>
      <c r="BC67" s="289"/>
      <c r="BD67" s="235">
        <v>322900000</v>
      </c>
      <c r="BE67" s="235">
        <v>312153999.64999998</v>
      </c>
      <c r="BF67" s="235">
        <v>312153999.64999998</v>
      </c>
      <c r="BG67" s="290"/>
      <c r="BH67" s="289"/>
      <c r="BI67" s="289"/>
      <c r="BJ67" s="289"/>
      <c r="BK67" s="289"/>
      <c r="BL67" s="289"/>
      <c r="BM67" s="289"/>
      <c r="BN67" s="289"/>
      <c r="BO67" s="289"/>
      <c r="BP67" s="273">
        <f>+Z67+AC67+AF67+AI67+AL67+AO67+AR67+AU67+AX67+BA67+BD67+BG67+BJ67</f>
        <v>322900000</v>
      </c>
      <c r="BQ67" s="273">
        <f>+AA67+AD67+AG67+AJ67+AM67+AP67+AS67+AV67+AY67+BB67+BE67+BH67+BK67</f>
        <v>312153999.64999998</v>
      </c>
      <c r="BR67" s="273">
        <f>+AB67+AE67+AH67+AK67+AN67+AQ67+AT67+AW67+AZ67+BC67+BF67+BI67+BL67</f>
        <v>312153999.64999998</v>
      </c>
      <c r="BS67" s="236" t="s">
        <v>1649</v>
      </c>
      <c r="BT67" s="233"/>
    </row>
    <row r="68" spans="1:74" s="27" customFormat="1" ht="135" customHeight="1" x14ac:dyDescent="0.2">
      <c r="A68" s="217">
        <v>310</v>
      </c>
      <c r="B68" s="216" t="s">
        <v>1620</v>
      </c>
      <c r="C68" s="213">
        <v>1</v>
      </c>
      <c r="D68" s="216" t="s">
        <v>1614</v>
      </c>
      <c r="E68" s="213">
        <v>33</v>
      </c>
      <c r="F68" s="287" t="s">
        <v>166</v>
      </c>
      <c r="G68" s="213">
        <v>3301</v>
      </c>
      <c r="H68" s="216" t="s">
        <v>167</v>
      </c>
      <c r="I68" s="213">
        <v>3301</v>
      </c>
      <c r="J68" s="216" t="s">
        <v>1598</v>
      </c>
      <c r="K68" s="216" t="s">
        <v>168</v>
      </c>
      <c r="L68" s="213">
        <v>3301073</v>
      </c>
      <c r="M68" s="216" t="s">
        <v>365</v>
      </c>
      <c r="N68" s="213">
        <v>3301073</v>
      </c>
      <c r="O68" s="216" t="s">
        <v>365</v>
      </c>
      <c r="P68" s="213">
        <v>330107301</v>
      </c>
      <c r="Q68" s="216" t="s">
        <v>366</v>
      </c>
      <c r="R68" s="213">
        <v>330107301</v>
      </c>
      <c r="S68" s="216" t="s">
        <v>366</v>
      </c>
      <c r="T68" s="236" t="s">
        <v>1673</v>
      </c>
      <c r="U68" s="76">
        <v>500</v>
      </c>
      <c r="V68" s="76">
        <v>500</v>
      </c>
      <c r="W68" s="236" t="s">
        <v>362</v>
      </c>
      <c r="X68" s="216" t="s">
        <v>363</v>
      </c>
      <c r="Y68" s="216" t="s">
        <v>364</v>
      </c>
      <c r="Z68" s="235">
        <v>1280078703.8999999</v>
      </c>
      <c r="AA68" s="235">
        <v>1159980058.4100001</v>
      </c>
      <c r="AB68" s="235">
        <v>1159980058.4100001</v>
      </c>
      <c r="AC68" s="289"/>
      <c r="AD68" s="289"/>
      <c r="AE68" s="289"/>
      <c r="AF68" s="289"/>
      <c r="AG68" s="289"/>
      <c r="AH68" s="289"/>
      <c r="AI68" s="289"/>
      <c r="AJ68" s="289"/>
      <c r="AK68" s="289"/>
      <c r="AL68" s="289"/>
      <c r="AM68" s="289"/>
      <c r="AN68" s="289"/>
      <c r="AO68" s="289"/>
      <c r="AP68" s="289"/>
      <c r="AQ68" s="289"/>
      <c r="AR68" s="289"/>
      <c r="AS68" s="289"/>
      <c r="AT68" s="289"/>
      <c r="AU68" s="289"/>
      <c r="AV68" s="289"/>
      <c r="AW68" s="289"/>
      <c r="AX68" s="289"/>
      <c r="AY68" s="289"/>
      <c r="AZ68" s="289"/>
      <c r="BA68" s="289"/>
      <c r="BB68" s="289"/>
      <c r="BC68" s="289"/>
      <c r="BD68" s="235">
        <v>333700000</v>
      </c>
      <c r="BE68" s="235">
        <v>279793500</v>
      </c>
      <c r="BF68" s="235">
        <v>279793500</v>
      </c>
      <c r="BG68" s="290"/>
      <c r="BH68" s="289"/>
      <c r="BI68" s="289"/>
      <c r="BJ68" s="289"/>
      <c r="BK68" s="289"/>
      <c r="BL68" s="289"/>
      <c r="BM68" s="289"/>
      <c r="BN68" s="289"/>
      <c r="BO68" s="289"/>
      <c r="BP68" s="273">
        <f t="shared" ref="BP68:BP74" si="16">+Z68+AC68+AF68+AI68+AL68+AO68+AR68+AU68+AX68+BA68+BD68+BG68+BJ68</f>
        <v>1613778703.8999999</v>
      </c>
      <c r="BQ68" s="273">
        <f t="shared" ref="BQ68:BQ74" si="17">+AA68+AD68+AG68+AJ68+AM68+AP68+AS68+AV68+AY68+BB68+BE68+BH68+BK68</f>
        <v>1439773558.4100001</v>
      </c>
      <c r="BR68" s="273">
        <f t="shared" ref="BR68:BR74" si="18">+AB68+AE68+AH68+AK68+AN68+AQ68+AT68+AW68+AZ68+BC68+BF68+BI68+BL68</f>
        <v>1439773558.4100001</v>
      </c>
      <c r="BS68" s="236" t="s">
        <v>1649</v>
      </c>
      <c r="BT68" s="233"/>
    </row>
    <row r="69" spans="1:74" s="27" customFormat="1" ht="151.5" customHeight="1" x14ac:dyDescent="0.2">
      <c r="A69" s="217">
        <v>310</v>
      </c>
      <c r="B69" s="216" t="s">
        <v>1620</v>
      </c>
      <c r="C69" s="213">
        <v>1</v>
      </c>
      <c r="D69" s="216" t="s">
        <v>1614</v>
      </c>
      <c r="E69" s="213">
        <v>33</v>
      </c>
      <c r="F69" s="287" t="s">
        <v>166</v>
      </c>
      <c r="G69" s="213">
        <v>3301</v>
      </c>
      <c r="H69" s="216" t="s">
        <v>167</v>
      </c>
      <c r="I69" s="213">
        <v>3301</v>
      </c>
      <c r="J69" s="216" t="s">
        <v>1598</v>
      </c>
      <c r="K69" s="216" t="s">
        <v>367</v>
      </c>
      <c r="L69" s="213" t="s">
        <v>41</v>
      </c>
      <c r="M69" s="216" t="s">
        <v>368</v>
      </c>
      <c r="N69" s="213">
        <v>3301070</v>
      </c>
      <c r="O69" s="216" t="s">
        <v>369</v>
      </c>
      <c r="P69" s="213" t="s">
        <v>41</v>
      </c>
      <c r="Q69" s="216" t="s">
        <v>370</v>
      </c>
      <c r="R69" s="213">
        <v>330107000</v>
      </c>
      <c r="S69" s="216" t="s">
        <v>86</v>
      </c>
      <c r="T69" s="236" t="s">
        <v>1673</v>
      </c>
      <c r="U69" s="76">
        <v>0.3</v>
      </c>
      <c r="V69" s="76">
        <v>0.25</v>
      </c>
      <c r="W69" s="236" t="s">
        <v>362</v>
      </c>
      <c r="X69" s="216" t="s">
        <v>363</v>
      </c>
      <c r="Y69" s="216" t="s">
        <v>364</v>
      </c>
      <c r="Z69" s="333"/>
      <c r="AA69" s="333"/>
      <c r="AB69" s="333"/>
      <c r="AC69" s="289"/>
      <c r="AD69" s="289"/>
      <c r="AE69" s="289"/>
      <c r="AF69" s="289"/>
      <c r="AG69" s="289"/>
      <c r="AH69" s="289"/>
      <c r="AI69" s="289"/>
      <c r="AJ69" s="289"/>
      <c r="AK69" s="289"/>
      <c r="AL69" s="289"/>
      <c r="AM69" s="289"/>
      <c r="AN69" s="289"/>
      <c r="AO69" s="289"/>
      <c r="AP69" s="289"/>
      <c r="AQ69" s="289"/>
      <c r="AR69" s="289"/>
      <c r="AS69" s="289"/>
      <c r="AT69" s="289"/>
      <c r="AU69" s="289"/>
      <c r="AV69" s="289"/>
      <c r="AW69" s="289"/>
      <c r="AX69" s="289"/>
      <c r="AY69" s="289"/>
      <c r="AZ69" s="289"/>
      <c r="BA69" s="289"/>
      <c r="BB69" s="289"/>
      <c r="BC69" s="289"/>
      <c r="BD69" s="235">
        <v>20000000</v>
      </c>
      <c r="BE69" s="235">
        <v>19944166</v>
      </c>
      <c r="BF69" s="235">
        <v>19944166</v>
      </c>
      <c r="BG69" s="290"/>
      <c r="BH69" s="289"/>
      <c r="BI69" s="289"/>
      <c r="BJ69" s="289"/>
      <c r="BK69" s="289"/>
      <c r="BL69" s="289"/>
      <c r="BM69" s="289"/>
      <c r="BN69" s="289"/>
      <c r="BO69" s="289"/>
      <c r="BP69" s="273">
        <f>+Z69+AC69+AF69+AI69+AL69+AO69+AR69+AU69+AX69+BA69+BD69+BG69+BJ69</f>
        <v>20000000</v>
      </c>
      <c r="BQ69" s="273">
        <f t="shared" si="17"/>
        <v>19944166</v>
      </c>
      <c r="BR69" s="273">
        <f t="shared" si="18"/>
        <v>19944166</v>
      </c>
      <c r="BS69" s="236" t="s">
        <v>1649</v>
      </c>
      <c r="BT69" s="233"/>
    </row>
    <row r="70" spans="1:74" s="27" customFormat="1" ht="96" customHeight="1" x14ac:dyDescent="0.2">
      <c r="A70" s="217">
        <v>310</v>
      </c>
      <c r="B70" s="216" t="s">
        <v>1620</v>
      </c>
      <c r="C70" s="213">
        <v>1</v>
      </c>
      <c r="D70" s="216" t="s">
        <v>1614</v>
      </c>
      <c r="E70" s="213">
        <v>33</v>
      </c>
      <c r="F70" s="287" t="s">
        <v>166</v>
      </c>
      <c r="G70" s="213">
        <v>3301</v>
      </c>
      <c r="H70" s="216" t="s">
        <v>167</v>
      </c>
      <c r="I70" s="213">
        <v>3301</v>
      </c>
      <c r="J70" s="216" t="s">
        <v>1598</v>
      </c>
      <c r="K70" s="216" t="s">
        <v>168</v>
      </c>
      <c r="L70" s="213">
        <v>3301099</v>
      </c>
      <c r="M70" s="216" t="s">
        <v>1478</v>
      </c>
      <c r="N70" s="213">
        <v>3301099</v>
      </c>
      <c r="O70" s="216" t="s">
        <v>1478</v>
      </c>
      <c r="P70" s="213">
        <v>330109900</v>
      </c>
      <c r="Q70" s="216" t="s">
        <v>1479</v>
      </c>
      <c r="R70" s="213">
        <v>330109900</v>
      </c>
      <c r="S70" s="216" t="s">
        <v>1479</v>
      </c>
      <c r="T70" s="236" t="s">
        <v>1671</v>
      </c>
      <c r="U70" s="76">
        <v>1</v>
      </c>
      <c r="V70" s="76">
        <v>1</v>
      </c>
      <c r="W70" s="236" t="s">
        <v>362</v>
      </c>
      <c r="X70" s="216" t="s">
        <v>363</v>
      </c>
      <c r="Y70" s="216" t="s">
        <v>364</v>
      </c>
      <c r="Z70" s="333"/>
      <c r="AA70" s="333"/>
      <c r="AB70" s="333"/>
      <c r="AC70" s="289"/>
      <c r="AD70" s="289"/>
      <c r="AE70" s="289"/>
      <c r="AF70" s="289"/>
      <c r="AG70" s="289"/>
      <c r="AH70" s="289"/>
      <c r="AI70" s="289"/>
      <c r="AJ70" s="289"/>
      <c r="AK70" s="289"/>
      <c r="AL70" s="289"/>
      <c r="AM70" s="289"/>
      <c r="AN70" s="289"/>
      <c r="AO70" s="289"/>
      <c r="AP70" s="289"/>
      <c r="AQ70" s="289"/>
      <c r="AR70" s="289"/>
      <c r="AS70" s="289"/>
      <c r="AT70" s="289"/>
      <c r="AU70" s="289"/>
      <c r="AV70" s="289"/>
      <c r="AW70" s="289"/>
      <c r="AX70" s="289"/>
      <c r="AY70" s="289"/>
      <c r="AZ70" s="289"/>
      <c r="BA70" s="289"/>
      <c r="BB70" s="289"/>
      <c r="BC70" s="289"/>
      <c r="BD70" s="235">
        <v>5400000</v>
      </c>
      <c r="BE70" s="235">
        <v>5400000</v>
      </c>
      <c r="BF70" s="235">
        <v>5400000</v>
      </c>
      <c r="BG70" s="290"/>
      <c r="BH70" s="289"/>
      <c r="BI70" s="289"/>
      <c r="BJ70" s="289"/>
      <c r="BK70" s="289"/>
      <c r="BL70" s="289"/>
      <c r="BM70" s="289"/>
      <c r="BN70" s="289"/>
      <c r="BO70" s="289"/>
      <c r="BP70" s="273">
        <f>+Z70+AC70+AF70+AI70+AL70+AO70+AR70+AU70+AX70+BA70+BD70+BG70+BJ70</f>
        <v>5400000</v>
      </c>
      <c r="BQ70" s="273">
        <f t="shared" si="17"/>
        <v>5400000</v>
      </c>
      <c r="BR70" s="273">
        <f t="shared" si="18"/>
        <v>5400000</v>
      </c>
      <c r="BS70" s="236" t="s">
        <v>1649</v>
      </c>
      <c r="BT70" s="233"/>
    </row>
    <row r="71" spans="1:74" s="27" customFormat="1" ht="139.5" customHeight="1" x14ac:dyDescent="0.2">
      <c r="A71" s="217">
        <v>310</v>
      </c>
      <c r="B71" s="216" t="s">
        <v>1620</v>
      </c>
      <c r="C71" s="213">
        <v>1</v>
      </c>
      <c r="D71" s="216" t="s">
        <v>1614</v>
      </c>
      <c r="E71" s="213">
        <v>33</v>
      </c>
      <c r="F71" s="287" t="s">
        <v>166</v>
      </c>
      <c r="G71" s="213">
        <v>3301</v>
      </c>
      <c r="H71" s="216" t="s">
        <v>167</v>
      </c>
      <c r="I71" s="213">
        <v>3301</v>
      </c>
      <c r="J71" s="216" t="s">
        <v>1598</v>
      </c>
      <c r="K71" s="216" t="s">
        <v>360</v>
      </c>
      <c r="L71" s="213">
        <v>3301052</v>
      </c>
      <c r="M71" s="216" t="s">
        <v>371</v>
      </c>
      <c r="N71" s="213">
        <v>3301052</v>
      </c>
      <c r="O71" s="216" t="s">
        <v>371</v>
      </c>
      <c r="P71" s="334">
        <v>330105203</v>
      </c>
      <c r="Q71" s="216" t="s">
        <v>372</v>
      </c>
      <c r="R71" s="334">
        <v>330105203</v>
      </c>
      <c r="S71" s="216" t="s">
        <v>372</v>
      </c>
      <c r="T71" s="236" t="s">
        <v>1671</v>
      </c>
      <c r="U71" s="76">
        <v>135</v>
      </c>
      <c r="V71" s="76">
        <v>0</v>
      </c>
      <c r="W71" s="236" t="s">
        <v>362</v>
      </c>
      <c r="X71" s="216" t="s">
        <v>363</v>
      </c>
      <c r="Y71" s="216" t="s">
        <v>364</v>
      </c>
      <c r="Z71" s="333"/>
      <c r="AA71" s="333"/>
      <c r="AB71" s="333"/>
      <c r="AC71" s="289"/>
      <c r="AD71" s="289"/>
      <c r="AE71" s="289"/>
      <c r="AF71" s="289"/>
      <c r="AG71" s="289"/>
      <c r="AH71" s="289"/>
      <c r="AI71" s="289"/>
      <c r="AJ71" s="289"/>
      <c r="AK71" s="289"/>
      <c r="AL71" s="289"/>
      <c r="AM71" s="289"/>
      <c r="AN71" s="289"/>
      <c r="AO71" s="289"/>
      <c r="AP71" s="289"/>
      <c r="AQ71" s="289"/>
      <c r="AR71" s="289"/>
      <c r="AS71" s="289"/>
      <c r="AT71" s="289"/>
      <c r="AU71" s="289"/>
      <c r="AV71" s="289"/>
      <c r="AW71" s="289"/>
      <c r="AX71" s="289"/>
      <c r="AY71" s="289"/>
      <c r="AZ71" s="289"/>
      <c r="BA71" s="289"/>
      <c r="BB71" s="289"/>
      <c r="BC71" s="289"/>
      <c r="BD71" s="235">
        <v>18000000</v>
      </c>
      <c r="BE71" s="235">
        <v>0</v>
      </c>
      <c r="BF71" s="235">
        <v>0</v>
      </c>
      <c r="BG71" s="290"/>
      <c r="BH71" s="289"/>
      <c r="BI71" s="289"/>
      <c r="BJ71" s="289"/>
      <c r="BK71" s="289"/>
      <c r="BL71" s="289"/>
      <c r="BM71" s="289"/>
      <c r="BN71" s="289"/>
      <c r="BO71" s="289"/>
      <c r="BP71" s="273">
        <f>+Z71+AC71+AF71+AI71+AL71+AO71+AR71+AU71+AX71+BA71+BD71+BG71+BJ71</f>
        <v>18000000</v>
      </c>
      <c r="BQ71" s="273">
        <f t="shared" si="17"/>
        <v>0</v>
      </c>
      <c r="BR71" s="273">
        <f t="shared" si="18"/>
        <v>0</v>
      </c>
      <c r="BS71" s="236" t="s">
        <v>1649</v>
      </c>
      <c r="BT71" s="233"/>
    </row>
    <row r="72" spans="1:74" s="27" customFormat="1" ht="103.5" customHeight="1" x14ac:dyDescent="0.2">
      <c r="A72" s="217">
        <v>310</v>
      </c>
      <c r="B72" s="216" t="s">
        <v>1620</v>
      </c>
      <c r="C72" s="213">
        <v>1</v>
      </c>
      <c r="D72" s="216" t="s">
        <v>1614</v>
      </c>
      <c r="E72" s="213">
        <v>33</v>
      </c>
      <c r="F72" s="287" t="s">
        <v>166</v>
      </c>
      <c r="G72" s="213">
        <v>3301</v>
      </c>
      <c r="H72" s="216" t="s">
        <v>167</v>
      </c>
      <c r="I72" s="213">
        <v>3301</v>
      </c>
      <c r="J72" s="216" t="s">
        <v>1598</v>
      </c>
      <c r="K72" s="216" t="s">
        <v>373</v>
      </c>
      <c r="L72" s="213">
        <v>3301085</v>
      </c>
      <c r="M72" s="216" t="s">
        <v>374</v>
      </c>
      <c r="N72" s="213">
        <v>3301085</v>
      </c>
      <c r="O72" s="216" t="s">
        <v>374</v>
      </c>
      <c r="P72" s="213" t="s">
        <v>375</v>
      </c>
      <c r="Q72" s="216" t="s">
        <v>376</v>
      </c>
      <c r="R72" s="213">
        <v>330108500</v>
      </c>
      <c r="S72" s="216" t="s">
        <v>376</v>
      </c>
      <c r="T72" s="236" t="s">
        <v>1673</v>
      </c>
      <c r="U72" s="76">
        <v>40000</v>
      </c>
      <c r="V72" s="76">
        <v>72390</v>
      </c>
      <c r="W72" s="236" t="s">
        <v>377</v>
      </c>
      <c r="X72" s="216" t="s">
        <v>378</v>
      </c>
      <c r="Y72" s="216" t="s">
        <v>379</v>
      </c>
      <c r="Z72" s="333">
        <v>235000000</v>
      </c>
      <c r="AA72" s="235">
        <v>151366323.75</v>
      </c>
      <c r="AB72" s="235">
        <v>151366323.75</v>
      </c>
      <c r="AC72" s="289"/>
      <c r="AD72" s="289"/>
      <c r="AE72" s="289"/>
      <c r="AF72" s="289"/>
      <c r="AG72" s="289"/>
      <c r="AH72" s="289"/>
      <c r="AI72" s="289"/>
      <c r="AJ72" s="289"/>
      <c r="AK72" s="289"/>
      <c r="AL72" s="289"/>
      <c r="AM72" s="289"/>
      <c r="AN72" s="289"/>
      <c r="AO72" s="289"/>
      <c r="AP72" s="289"/>
      <c r="AQ72" s="289"/>
      <c r="AR72" s="289"/>
      <c r="AS72" s="289"/>
      <c r="AT72" s="289"/>
      <c r="AU72" s="289"/>
      <c r="AV72" s="289"/>
      <c r="AW72" s="289"/>
      <c r="AX72" s="289"/>
      <c r="AY72" s="289"/>
      <c r="AZ72" s="289"/>
      <c r="BA72" s="289"/>
      <c r="BB72" s="289"/>
      <c r="BC72" s="289"/>
      <c r="BD72" s="271">
        <v>14000000</v>
      </c>
      <c r="BE72" s="235">
        <v>12714300</v>
      </c>
      <c r="BF72" s="235">
        <v>12714300</v>
      </c>
      <c r="BG72" s="290"/>
      <c r="BH72" s="289"/>
      <c r="BI72" s="289"/>
      <c r="BJ72" s="289">
        <v>12090000</v>
      </c>
      <c r="BK72" s="289">
        <v>9205000</v>
      </c>
      <c r="BL72" s="289">
        <v>9205000</v>
      </c>
      <c r="BM72" s="289"/>
      <c r="BN72" s="289"/>
      <c r="BO72" s="289"/>
      <c r="BP72" s="273">
        <f t="shared" si="16"/>
        <v>261090000</v>
      </c>
      <c r="BQ72" s="273">
        <f t="shared" si="17"/>
        <v>173285623.75</v>
      </c>
      <c r="BR72" s="273">
        <f t="shared" si="18"/>
        <v>173285623.75</v>
      </c>
      <c r="BS72" s="236" t="s">
        <v>1649</v>
      </c>
      <c r="BT72" s="233"/>
      <c r="BU72" s="233"/>
      <c r="BV72" s="233"/>
    </row>
    <row r="73" spans="1:74" s="27" customFormat="1" ht="100.5" customHeight="1" x14ac:dyDescent="0.2">
      <c r="A73" s="217">
        <v>310</v>
      </c>
      <c r="B73" s="216" t="s">
        <v>1620</v>
      </c>
      <c r="C73" s="213">
        <v>1</v>
      </c>
      <c r="D73" s="216" t="s">
        <v>1614</v>
      </c>
      <c r="E73" s="213">
        <v>33</v>
      </c>
      <c r="F73" s="287" t="s">
        <v>166</v>
      </c>
      <c r="G73" s="213">
        <v>3301</v>
      </c>
      <c r="H73" s="216" t="s">
        <v>167</v>
      </c>
      <c r="I73" s="213">
        <v>3301</v>
      </c>
      <c r="J73" s="216" t="s">
        <v>1598</v>
      </c>
      <c r="K73" s="216" t="s">
        <v>373</v>
      </c>
      <c r="L73" s="213">
        <v>3301100</v>
      </c>
      <c r="M73" s="216" t="s">
        <v>380</v>
      </c>
      <c r="N73" s="213">
        <v>3301100</v>
      </c>
      <c r="O73" s="216" t="s">
        <v>380</v>
      </c>
      <c r="P73" s="334" t="s">
        <v>381</v>
      </c>
      <c r="Q73" s="216" t="s">
        <v>382</v>
      </c>
      <c r="R73" s="334">
        <v>330110000</v>
      </c>
      <c r="S73" s="216" t="s">
        <v>382</v>
      </c>
      <c r="T73" s="236" t="s">
        <v>1673</v>
      </c>
      <c r="U73" s="76">
        <f>10+5</f>
        <v>15</v>
      </c>
      <c r="V73" s="76">
        <v>15</v>
      </c>
      <c r="W73" s="236" t="s">
        <v>377</v>
      </c>
      <c r="X73" s="216" t="s">
        <v>378</v>
      </c>
      <c r="Y73" s="216" t="s">
        <v>379</v>
      </c>
      <c r="Z73" s="333">
        <v>64013297.600000001</v>
      </c>
      <c r="AA73" s="235">
        <v>35240000</v>
      </c>
      <c r="AB73" s="235">
        <v>35240000</v>
      </c>
      <c r="AC73" s="289"/>
      <c r="AD73" s="289"/>
      <c r="AE73" s="289"/>
      <c r="AF73" s="289"/>
      <c r="AG73" s="289"/>
      <c r="AH73" s="289"/>
      <c r="AI73" s="289"/>
      <c r="AJ73" s="289"/>
      <c r="AK73" s="289"/>
      <c r="AL73" s="289"/>
      <c r="AM73" s="289"/>
      <c r="AN73" s="289"/>
      <c r="AO73" s="289"/>
      <c r="AP73" s="289"/>
      <c r="AQ73" s="289"/>
      <c r="AR73" s="289"/>
      <c r="AS73" s="289"/>
      <c r="AT73" s="289"/>
      <c r="AU73" s="289"/>
      <c r="AV73" s="289"/>
      <c r="AW73" s="289"/>
      <c r="AX73" s="289"/>
      <c r="AY73" s="289"/>
      <c r="AZ73" s="289"/>
      <c r="BA73" s="289"/>
      <c r="BB73" s="289"/>
      <c r="BC73" s="289"/>
      <c r="BD73" s="271">
        <v>8000000</v>
      </c>
      <c r="BE73" s="290">
        <v>8000000</v>
      </c>
      <c r="BF73" s="290">
        <v>8000000</v>
      </c>
      <c r="BG73" s="290"/>
      <c r="BH73" s="289"/>
      <c r="BI73" s="289"/>
      <c r="BJ73" s="289"/>
      <c r="BK73" s="289"/>
      <c r="BL73" s="289"/>
      <c r="BM73" s="289"/>
      <c r="BN73" s="289"/>
      <c r="BO73" s="289"/>
      <c r="BP73" s="273">
        <f t="shared" si="16"/>
        <v>72013297.599999994</v>
      </c>
      <c r="BQ73" s="273">
        <f t="shared" si="17"/>
        <v>43240000</v>
      </c>
      <c r="BR73" s="273">
        <f t="shared" si="18"/>
        <v>43240000</v>
      </c>
      <c r="BS73" s="236" t="s">
        <v>1649</v>
      </c>
      <c r="BT73" s="233"/>
    </row>
    <row r="74" spans="1:74" s="27" customFormat="1" ht="111.75" customHeight="1" x14ac:dyDescent="0.2">
      <c r="A74" s="217">
        <v>310</v>
      </c>
      <c r="B74" s="216" t="s">
        <v>1620</v>
      </c>
      <c r="C74" s="213">
        <v>1</v>
      </c>
      <c r="D74" s="216" t="s">
        <v>1614</v>
      </c>
      <c r="E74" s="213">
        <v>33</v>
      </c>
      <c r="F74" s="287" t="s">
        <v>166</v>
      </c>
      <c r="G74" s="213">
        <v>3301</v>
      </c>
      <c r="H74" s="216" t="s">
        <v>167</v>
      </c>
      <c r="I74" s="213">
        <v>3301</v>
      </c>
      <c r="J74" s="216" t="s">
        <v>1598</v>
      </c>
      <c r="K74" s="216" t="s">
        <v>168</v>
      </c>
      <c r="L74" s="213">
        <v>3301095</v>
      </c>
      <c r="M74" s="216" t="s">
        <v>383</v>
      </c>
      <c r="N74" s="213">
        <v>3301095</v>
      </c>
      <c r="O74" s="216" t="s">
        <v>383</v>
      </c>
      <c r="P74" s="213" t="s">
        <v>384</v>
      </c>
      <c r="Q74" s="216" t="s">
        <v>385</v>
      </c>
      <c r="R74" s="213" t="s">
        <v>384</v>
      </c>
      <c r="S74" s="216" t="s">
        <v>385</v>
      </c>
      <c r="T74" s="236" t="s">
        <v>1673</v>
      </c>
      <c r="U74" s="76">
        <v>150</v>
      </c>
      <c r="V74" s="76">
        <v>50</v>
      </c>
      <c r="W74" s="236" t="s">
        <v>386</v>
      </c>
      <c r="X74" s="214" t="s">
        <v>387</v>
      </c>
      <c r="Y74" s="214" t="s">
        <v>388</v>
      </c>
      <c r="Z74" s="333">
        <v>1401227081.52</v>
      </c>
      <c r="AA74" s="333">
        <v>1144764638</v>
      </c>
      <c r="AB74" s="333">
        <v>1144764638</v>
      </c>
      <c r="AC74" s="289"/>
      <c r="AD74" s="289"/>
      <c r="AE74" s="289"/>
      <c r="AF74" s="289"/>
      <c r="AG74" s="289"/>
      <c r="AH74" s="289"/>
      <c r="AI74" s="289"/>
      <c r="AJ74" s="289"/>
      <c r="AK74" s="289"/>
      <c r="AL74" s="289"/>
      <c r="AM74" s="289"/>
      <c r="AN74" s="289"/>
      <c r="AO74" s="289"/>
      <c r="AP74" s="289"/>
      <c r="AQ74" s="289"/>
      <c r="AR74" s="289"/>
      <c r="AS74" s="289"/>
      <c r="AT74" s="289"/>
      <c r="AU74" s="289"/>
      <c r="AV74" s="289"/>
      <c r="AW74" s="289"/>
      <c r="AX74" s="289"/>
      <c r="AY74" s="289"/>
      <c r="AZ74" s="289"/>
      <c r="BA74" s="289"/>
      <c r="BB74" s="289"/>
      <c r="BC74" s="289"/>
      <c r="BD74" s="235"/>
      <c r="BE74" s="235"/>
      <c r="BF74" s="235"/>
      <c r="BG74" s="290"/>
      <c r="BH74" s="289"/>
      <c r="BI74" s="289"/>
      <c r="BJ74" s="289"/>
      <c r="BK74" s="289"/>
      <c r="BL74" s="289"/>
      <c r="BM74" s="289"/>
      <c r="BN74" s="289"/>
      <c r="BO74" s="289"/>
      <c r="BP74" s="273">
        <f t="shared" si="16"/>
        <v>1401227081.52</v>
      </c>
      <c r="BQ74" s="273">
        <f t="shared" si="17"/>
        <v>1144764638</v>
      </c>
      <c r="BR74" s="273">
        <f t="shared" si="18"/>
        <v>1144764638</v>
      </c>
      <c r="BS74" s="236" t="s">
        <v>1649</v>
      </c>
      <c r="BT74" s="233"/>
    </row>
    <row r="75" spans="1:74" s="27" customFormat="1" ht="123" customHeight="1" x14ac:dyDescent="0.2">
      <c r="A75" s="217">
        <v>310</v>
      </c>
      <c r="B75" s="216" t="s">
        <v>1620</v>
      </c>
      <c r="C75" s="213">
        <v>1</v>
      </c>
      <c r="D75" s="216" t="s">
        <v>1614</v>
      </c>
      <c r="E75" s="213">
        <v>33</v>
      </c>
      <c r="F75" s="287" t="s">
        <v>166</v>
      </c>
      <c r="G75" s="213">
        <v>3302</v>
      </c>
      <c r="H75" s="325" t="s">
        <v>389</v>
      </c>
      <c r="I75" s="213">
        <v>3302</v>
      </c>
      <c r="J75" s="325" t="s">
        <v>1599</v>
      </c>
      <c r="K75" s="216" t="s">
        <v>390</v>
      </c>
      <c r="L75" s="316">
        <v>3302042</v>
      </c>
      <c r="M75" s="216" t="s">
        <v>391</v>
      </c>
      <c r="N75" s="316">
        <v>3302042</v>
      </c>
      <c r="O75" s="216" t="s">
        <v>391</v>
      </c>
      <c r="P75" s="213" t="s">
        <v>392</v>
      </c>
      <c r="Q75" s="216" t="s">
        <v>393</v>
      </c>
      <c r="R75" s="213" t="s">
        <v>392</v>
      </c>
      <c r="S75" s="216" t="s">
        <v>393</v>
      </c>
      <c r="T75" s="236" t="s">
        <v>1673</v>
      </c>
      <c r="U75" s="76">
        <v>12</v>
      </c>
      <c r="V75" s="76">
        <v>12</v>
      </c>
      <c r="W75" s="236" t="s">
        <v>394</v>
      </c>
      <c r="X75" s="214" t="s">
        <v>395</v>
      </c>
      <c r="Y75" s="320" t="s">
        <v>396</v>
      </c>
      <c r="Z75" s="289"/>
      <c r="AA75" s="289"/>
      <c r="AB75" s="289"/>
      <c r="AC75" s="289"/>
      <c r="AD75" s="289"/>
      <c r="AE75" s="289"/>
      <c r="AF75" s="289"/>
      <c r="AG75" s="289"/>
      <c r="AH75" s="289"/>
      <c r="AI75" s="289"/>
      <c r="AJ75" s="289"/>
      <c r="AK75" s="289"/>
      <c r="AL75" s="289"/>
      <c r="AM75" s="289"/>
      <c r="AN75" s="289"/>
      <c r="AO75" s="289"/>
      <c r="AP75" s="289"/>
      <c r="AQ75" s="289"/>
      <c r="AR75" s="289"/>
      <c r="AS75" s="289"/>
      <c r="AT75" s="289"/>
      <c r="AU75" s="289"/>
      <c r="AV75" s="289"/>
      <c r="AW75" s="289"/>
      <c r="AX75" s="289"/>
      <c r="AY75" s="289"/>
      <c r="AZ75" s="289"/>
      <c r="BA75" s="289"/>
      <c r="BB75" s="289"/>
      <c r="BC75" s="289"/>
      <c r="BD75" s="235">
        <v>66500000</v>
      </c>
      <c r="BE75" s="235">
        <v>62563999</v>
      </c>
      <c r="BF75" s="235">
        <v>62563999</v>
      </c>
      <c r="BG75" s="290"/>
      <c r="BH75" s="317"/>
      <c r="BI75" s="317"/>
      <c r="BJ75" s="323"/>
      <c r="BK75" s="323"/>
      <c r="BL75" s="323"/>
      <c r="BM75" s="323"/>
      <c r="BN75" s="323"/>
      <c r="BO75" s="323"/>
      <c r="BP75" s="273">
        <f t="shared" ref="BP75:BR76" si="19">+Z75+AC75+AF75+AI75+AL75+AO75+AR75+AU75+AX75+BA75+BD75+BG75+BJ75</f>
        <v>66500000</v>
      </c>
      <c r="BQ75" s="273">
        <f t="shared" si="19"/>
        <v>62563999</v>
      </c>
      <c r="BR75" s="273">
        <f t="shared" si="19"/>
        <v>62563999</v>
      </c>
      <c r="BS75" s="236" t="s">
        <v>1649</v>
      </c>
      <c r="BT75" s="233"/>
    </row>
    <row r="76" spans="1:74" s="27" customFormat="1" ht="130.5" customHeight="1" x14ac:dyDescent="0.2">
      <c r="A76" s="217">
        <v>310</v>
      </c>
      <c r="B76" s="216" t="s">
        <v>1620</v>
      </c>
      <c r="C76" s="213">
        <v>1</v>
      </c>
      <c r="D76" s="216" t="s">
        <v>1614</v>
      </c>
      <c r="E76" s="213">
        <v>33</v>
      </c>
      <c r="F76" s="287" t="s">
        <v>166</v>
      </c>
      <c r="G76" s="213">
        <v>3302</v>
      </c>
      <c r="H76" s="325" t="s">
        <v>389</v>
      </c>
      <c r="I76" s="213">
        <v>3302</v>
      </c>
      <c r="J76" s="325" t="s">
        <v>1599</v>
      </c>
      <c r="K76" s="216" t="s">
        <v>390</v>
      </c>
      <c r="L76" s="316">
        <v>3302070</v>
      </c>
      <c r="M76" s="216" t="s">
        <v>397</v>
      </c>
      <c r="N76" s="316">
        <v>3302070</v>
      </c>
      <c r="O76" s="216" t="s">
        <v>397</v>
      </c>
      <c r="P76" s="334" t="s">
        <v>398</v>
      </c>
      <c r="Q76" s="216" t="s">
        <v>382</v>
      </c>
      <c r="R76" s="334" t="s">
        <v>398</v>
      </c>
      <c r="S76" s="216" t="s">
        <v>382</v>
      </c>
      <c r="T76" s="236" t="s">
        <v>1671</v>
      </c>
      <c r="U76" s="76">
        <v>4</v>
      </c>
      <c r="V76" s="76">
        <v>4</v>
      </c>
      <c r="W76" s="236" t="s">
        <v>394</v>
      </c>
      <c r="X76" s="214" t="s">
        <v>395</v>
      </c>
      <c r="Y76" s="320" t="s">
        <v>396</v>
      </c>
      <c r="Z76" s="297"/>
      <c r="AA76" s="297"/>
      <c r="AB76" s="297"/>
      <c r="AC76" s="289"/>
      <c r="AD76" s="289"/>
      <c r="AE76" s="289"/>
      <c r="AF76" s="289"/>
      <c r="AG76" s="289"/>
      <c r="AH76" s="289"/>
      <c r="AI76" s="289"/>
      <c r="AJ76" s="289"/>
      <c r="AK76" s="289"/>
      <c r="AL76" s="289"/>
      <c r="AM76" s="289"/>
      <c r="AN76" s="289"/>
      <c r="AO76" s="289"/>
      <c r="AP76" s="289"/>
      <c r="AQ76" s="289"/>
      <c r="AR76" s="289"/>
      <c r="AS76" s="289"/>
      <c r="AT76" s="289"/>
      <c r="AU76" s="289"/>
      <c r="AV76" s="289"/>
      <c r="AW76" s="289"/>
      <c r="AX76" s="289"/>
      <c r="AY76" s="289"/>
      <c r="AZ76" s="289"/>
      <c r="BA76" s="289"/>
      <c r="BB76" s="289"/>
      <c r="BC76" s="289"/>
      <c r="BD76" s="235">
        <v>66500000</v>
      </c>
      <c r="BE76" s="235">
        <v>56615666</v>
      </c>
      <c r="BF76" s="235">
        <v>56615666</v>
      </c>
      <c r="BG76" s="335">
        <v>141198236.30000001</v>
      </c>
      <c r="BH76" s="335">
        <v>141163803</v>
      </c>
      <c r="BI76" s="335">
        <v>141163803</v>
      </c>
      <c r="BJ76" s="323"/>
      <c r="BK76" s="323"/>
      <c r="BL76" s="323"/>
      <c r="BM76" s="323"/>
      <c r="BN76" s="323"/>
      <c r="BO76" s="323"/>
      <c r="BP76" s="273">
        <f t="shared" si="19"/>
        <v>207698236.30000001</v>
      </c>
      <c r="BQ76" s="273">
        <f t="shared" si="19"/>
        <v>197779469</v>
      </c>
      <c r="BR76" s="273">
        <f t="shared" si="19"/>
        <v>197779469</v>
      </c>
      <c r="BS76" s="236" t="s">
        <v>1649</v>
      </c>
      <c r="BT76" s="233"/>
    </row>
    <row r="77" spans="1:74" s="27" customFormat="1" ht="72.75" customHeight="1" x14ac:dyDescent="0.2">
      <c r="A77" s="217">
        <v>311</v>
      </c>
      <c r="B77" s="216" t="s">
        <v>1623</v>
      </c>
      <c r="C77" s="213">
        <v>2</v>
      </c>
      <c r="D77" s="216" t="s">
        <v>1621</v>
      </c>
      <c r="E77" s="213">
        <v>35</v>
      </c>
      <c r="F77" s="216" t="s">
        <v>401</v>
      </c>
      <c r="G77" s="213">
        <v>3502</v>
      </c>
      <c r="H77" s="216" t="s">
        <v>1583</v>
      </c>
      <c r="I77" s="213">
        <v>3502</v>
      </c>
      <c r="J77" s="216" t="s">
        <v>1582</v>
      </c>
      <c r="K77" s="216" t="s">
        <v>403</v>
      </c>
      <c r="L77" s="217">
        <v>3502006</v>
      </c>
      <c r="M77" s="216" t="s">
        <v>404</v>
      </c>
      <c r="N77" s="217">
        <v>3502006</v>
      </c>
      <c r="O77" s="216" t="s">
        <v>404</v>
      </c>
      <c r="P77" s="213" t="s">
        <v>405</v>
      </c>
      <c r="Q77" s="216" t="s">
        <v>406</v>
      </c>
      <c r="R77" s="213" t="s">
        <v>405</v>
      </c>
      <c r="S77" s="216" t="s">
        <v>406</v>
      </c>
      <c r="T77" s="236" t="s">
        <v>1673</v>
      </c>
      <c r="U77" s="76">
        <v>1</v>
      </c>
      <c r="V77" s="76">
        <v>1</v>
      </c>
      <c r="W77" s="236" t="s">
        <v>407</v>
      </c>
      <c r="X77" s="214" t="s">
        <v>408</v>
      </c>
      <c r="Y77" s="320" t="s">
        <v>409</v>
      </c>
      <c r="Z77" s="289"/>
      <c r="AA77" s="289"/>
      <c r="AB77" s="289"/>
      <c r="AC77" s="289"/>
      <c r="AD77" s="289"/>
      <c r="AE77" s="289"/>
      <c r="AF77" s="289"/>
      <c r="AG77" s="289"/>
      <c r="AH77" s="289"/>
      <c r="AI77" s="289"/>
      <c r="AJ77" s="289"/>
      <c r="AK77" s="289"/>
      <c r="AL77" s="289"/>
      <c r="AM77" s="289"/>
      <c r="AN77" s="289"/>
      <c r="AO77" s="289"/>
      <c r="AP77" s="289"/>
      <c r="AQ77" s="289"/>
      <c r="AR77" s="289"/>
      <c r="AS77" s="289"/>
      <c r="AT77" s="289"/>
      <c r="AU77" s="289"/>
      <c r="AV77" s="289"/>
      <c r="AW77" s="289"/>
      <c r="AX77" s="289"/>
      <c r="AY77" s="289"/>
      <c r="AZ77" s="289"/>
      <c r="BA77" s="289"/>
      <c r="BB77" s="289"/>
      <c r="BC77" s="289"/>
      <c r="BD77" s="294">
        <v>27000000</v>
      </c>
      <c r="BE77" s="294">
        <v>27000000</v>
      </c>
      <c r="BF77" s="294">
        <v>27000000</v>
      </c>
      <c r="BG77" s="289"/>
      <c r="BH77" s="289"/>
      <c r="BI77" s="289"/>
      <c r="BJ77" s="289"/>
      <c r="BK77" s="289"/>
      <c r="BL77" s="289"/>
      <c r="BM77" s="289"/>
      <c r="BN77" s="289"/>
      <c r="BO77" s="289"/>
      <c r="BP77" s="273">
        <f t="shared" ref="BP77:BR78" si="20">+Z77+AC77+AF77+AI77+AL77+AO77+AR77+AU77+AX77+BA77+BD77+BG77+BJ77</f>
        <v>27000000</v>
      </c>
      <c r="BQ77" s="273">
        <f t="shared" si="20"/>
        <v>27000000</v>
      </c>
      <c r="BR77" s="273">
        <f t="shared" si="20"/>
        <v>27000000</v>
      </c>
      <c r="BS77" s="267" t="s">
        <v>1650</v>
      </c>
      <c r="BT77" s="233"/>
    </row>
    <row r="78" spans="1:74" s="27" customFormat="1" ht="87" customHeight="1" x14ac:dyDescent="0.2">
      <c r="A78" s="217">
        <v>311</v>
      </c>
      <c r="B78" s="216" t="s">
        <v>1623</v>
      </c>
      <c r="C78" s="213">
        <v>2</v>
      </c>
      <c r="D78" s="216" t="s">
        <v>1621</v>
      </c>
      <c r="E78" s="213">
        <v>35</v>
      </c>
      <c r="F78" s="216" t="s">
        <v>401</v>
      </c>
      <c r="G78" s="213">
        <v>3502</v>
      </c>
      <c r="H78" s="216" t="s">
        <v>1583</v>
      </c>
      <c r="I78" s="213">
        <v>3502</v>
      </c>
      <c r="J78" s="216" t="s">
        <v>1582</v>
      </c>
      <c r="K78" s="216" t="s">
        <v>403</v>
      </c>
      <c r="L78" s="217">
        <v>3502007</v>
      </c>
      <c r="M78" s="216" t="s">
        <v>410</v>
      </c>
      <c r="N78" s="217">
        <v>3502007</v>
      </c>
      <c r="O78" s="216" t="s">
        <v>410</v>
      </c>
      <c r="P78" s="213" t="s">
        <v>411</v>
      </c>
      <c r="Q78" s="216" t="s">
        <v>412</v>
      </c>
      <c r="R78" s="213" t="s">
        <v>411</v>
      </c>
      <c r="S78" s="216" t="s">
        <v>412</v>
      </c>
      <c r="T78" s="236" t="s">
        <v>1671</v>
      </c>
      <c r="U78" s="76">
        <v>7</v>
      </c>
      <c r="V78" s="76">
        <v>7</v>
      </c>
      <c r="W78" s="236" t="s">
        <v>407</v>
      </c>
      <c r="X78" s="214" t="s">
        <v>408</v>
      </c>
      <c r="Y78" s="320" t="s">
        <v>409</v>
      </c>
      <c r="Z78" s="289"/>
      <c r="AA78" s="289"/>
      <c r="AB78" s="289"/>
      <c r="AC78" s="289"/>
      <c r="AD78" s="289"/>
      <c r="AE78" s="289"/>
      <c r="AF78" s="289"/>
      <c r="AG78" s="289"/>
      <c r="AH78" s="289"/>
      <c r="AI78" s="289"/>
      <c r="AJ78" s="289"/>
      <c r="AK78" s="289"/>
      <c r="AL78" s="289"/>
      <c r="AM78" s="289"/>
      <c r="AN78" s="289"/>
      <c r="AO78" s="289"/>
      <c r="AP78" s="289"/>
      <c r="AQ78" s="289"/>
      <c r="AR78" s="289"/>
      <c r="AS78" s="289"/>
      <c r="AT78" s="289"/>
      <c r="AU78" s="289"/>
      <c r="AV78" s="289"/>
      <c r="AW78" s="289"/>
      <c r="AX78" s="289"/>
      <c r="AY78" s="289"/>
      <c r="AZ78" s="289"/>
      <c r="BA78" s="289"/>
      <c r="BB78" s="289"/>
      <c r="BC78" s="289"/>
      <c r="BD78" s="366">
        <f>50000000+66000000</f>
        <v>116000000</v>
      </c>
      <c r="BE78" s="294">
        <v>115910333</v>
      </c>
      <c r="BF78" s="294">
        <v>115910333</v>
      </c>
      <c r="BG78" s="289"/>
      <c r="BH78" s="289"/>
      <c r="BI78" s="289"/>
      <c r="BJ78" s="289"/>
      <c r="BK78" s="289"/>
      <c r="BL78" s="289"/>
      <c r="BM78" s="289"/>
      <c r="BN78" s="289"/>
      <c r="BO78" s="289"/>
      <c r="BP78" s="273">
        <f t="shared" si="20"/>
        <v>116000000</v>
      </c>
      <c r="BQ78" s="273">
        <f t="shared" si="20"/>
        <v>115910333</v>
      </c>
      <c r="BR78" s="273">
        <f t="shared" si="20"/>
        <v>115910333</v>
      </c>
      <c r="BS78" s="267" t="s">
        <v>1650</v>
      </c>
      <c r="BT78" s="233"/>
    </row>
    <row r="79" spans="1:74" s="27" customFormat="1" ht="68.25" customHeight="1" x14ac:dyDescent="0.2">
      <c r="A79" s="217">
        <v>311</v>
      </c>
      <c r="B79" s="216" t="s">
        <v>1623</v>
      </c>
      <c r="C79" s="213">
        <v>2</v>
      </c>
      <c r="D79" s="216" t="s">
        <v>1621</v>
      </c>
      <c r="E79" s="213">
        <v>35</v>
      </c>
      <c r="F79" s="216" t="s">
        <v>401</v>
      </c>
      <c r="G79" s="213">
        <v>3502</v>
      </c>
      <c r="H79" s="216" t="s">
        <v>1583</v>
      </c>
      <c r="I79" s="213">
        <v>3502</v>
      </c>
      <c r="J79" s="216" t="s">
        <v>1582</v>
      </c>
      <c r="K79" s="216" t="s">
        <v>403</v>
      </c>
      <c r="L79" s="304">
        <v>3502022</v>
      </c>
      <c r="M79" s="216" t="s">
        <v>1480</v>
      </c>
      <c r="N79" s="304">
        <v>3502022</v>
      </c>
      <c r="O79" s="216" t="s">
        <v>1480</v>
      </c>
      <c r="P79" s="74" t="s">
        <v>413</v>
      </c>
      <c r="Q79" s="216" t="s">
        <v>414</v>
      </c>
      <c r="R79" s="74" t="s">
        <v>413</v>
      </c>
      <c r="S79" s="216" t="s">
        <v>414</v>
      </c>
      <c r="T79" s="236" t="s">
        <v>1671</v>
      </c>
      <c r="U79" s="76">
        <v>14</v>
      </c>
      <c r="V79" s="76">
        <v>14</v>
      </c>
      <c r="W79" s="236" t="s">
        <v>415</v>
      </c>
      <c r="X79" s="214" t="s">
        <v>416</v>
      </c>
      <c r="Y79" s="320" t="s">
        <v>417</v>
      </c>
      <c r="Z79" s="289"/>
      <c r="AA79" s="289"/>
      <c r="AB79" s="289"/>
      <c r="AC79" s="289"/>
      <c r="AD79" s="289"/>
      <c r="AE79" s="289"/>
      <c r="AF79" s="289"/>
      <c r="AG79" s="289"/>
      <c r="AH79" s="289"/>
      <c r="AI79" s="289"/>
      <c r="AJ79" s="289"/>
      <c r="AK79" s="289"/>
      <c r="AL79" s="289"/>
      <c r="AM79" s="289"/>
      <c r="AN79" s="289"/>
      <c r="AO79" s="289"/>
      <c r="AP79" s="289"/>
      <c r="AQ79" s="289"/>
      <c r="AR79" s="289"/>
      <c r="AS79" s="289"/>
      <c r="AT79" s="289"/>
      <c r="AU79" s="289"/>
      <c r="AV79" s="289"/>
      <c r="AW79" s="289"/>
      <c r="AX79" s="289"/>
      <c r="AY79" s="289"/>
      <c r="AZ79" s="289"/>
      <c r="BA79" s="289"/>
      <c r="BB79" s="289"/>
      <c r="BC79" s="289"/>
      <c r="BD79" s="366">
        <f>90000000-60000000</f>
        <v>30000000</v>
      </c>
      <c r="BE79" s="294">
        <v>22420000</v>
      </c>
      <c r="BF79" s="294">
        <v>22420000</v>
      </c>
      <c r="BG79" s="289"/>
      <c r="BH79" s="289"/>
      <c r="BI79" s="289"/>
      <c r="BJ79" s="289"/>
      <c r="BK79" s="289"/>
      <c r="BL79" s="289"/>
      <c r="BM79" s="289"/>
      <c r="BN79" s="289"/>
      <c r="BO79" s="289"/>
      <c r="BP79" s="273">
        <f t="shared" ref="BP79:BP84" si="21">+Z79+AC79+AF79+AI79+AL79+AO79+AR79+AU79+AX79+BA79+BD79+BG79+BJ79</f>
        <v>30000000</v>
      </c>
      <c r="BQ79" s="273">
        <f t="shared" ref="BQ79:BR84" si="22">+AA79+AD79+AG79+AJ79+AM79+AP79+AS79+AV79+AY79+BB79+BE79+BH79+BK79</f>
        <v>22420000</v>
      </c>
      <c r="BR79" s="273">
        <f t="shared" si="22"/>
        <v>22420000</v>
      </c>
      <c r="BS79" s="267" t="s">
        <v>1650</v>
      </c>
      <c r="BT79" s="233"/>
    </row>
    <row r="80" spans="1:74" s="27" customFormat="1" ht="84.75" customHeight="1" x14ac:dyDescent="0.2">
      <c r="A80" s="217">
        <v>311</v>
      </c>
      <c r="B80" s="216" t="s">
        <v>1623</v>
      </c>
      <c r="C80" s="213">
        <v>2</v>
      </c>
      <c r="D80" s="216" t="s">
        <v>1621</v>
      </c>
      <c r="E80" s="213">
        <v>35</v>
      </c>
      <c r="F80" s="216" t="s">
        <v>401</v>
      </c>
      <c r="G80" s="213">
        <v>3502</v>
      </c>
      <c r="H80" s="216" t="s">
        <v>1583</v>
      </c>
      <c r="I80" s="213">
        <v>3502</v>
      </c>
      <c r="J80" s="216" t="s">
        <v>1582</v>
      </c>
      <c r="K80" s="216" t="s">
        <v>403</v>
      </c>
      <c r="L80" s="304">
        <v>3502047</v>
      </c>
      <c r="M80" s="216" t="s">
        <v>233</v>
      </c>
      <c r="N80" s="304">
        <v>3502047</v>
      </c>
      <c r="O80" s="216" t="s">
        <v>233</v>
      </c>
      <c r="P80" s="74" t="s">
        <v>418</v>
      </c>
      <c r="Q80" s="311" t="s">
        <v>235</v>
      </c>
      <c r="R80" s="74" t="s">
        <v>418</v>
      </c>
      <c r="S80" s="311" t="s">
        <v>235</v>
      </c>
      <c r="T80" s="236" t="s">
        <v>1673</v>
      </c>
      <c r="U80" s="76">
        <v>0.7</v>
      </c>
      <c r="V80" s="76">
        <v>0.7</v>
      </c>
      <c r="W80" s="236" t="s">
        <v>415</v>
      </c>
      <c r="X80" s="214" t="s">
        <v>416</v>
      </c>
      <c r="Y80" s="320" t="s">
        <v>417</v>
      </c>
      <c r="Z80" s="289"/>
      <c r="AA80" s="289"/>
      <c r="AB80" s="289"/>
      <c r="AC80" s="289"/>
      <c r="AD80" s="289"/>
      <c r="AE80" s="289"/>
      <c r="AF80" s="289"/>
      <c r="AG80" s="289"/>
      <c r="AH80" s="289"/>
      <c r="AI80" s="289"/>
      <c r="AJ80" s="289"/>
      <c r="AK80" s="289"/>
      <c r="AL80" s="289"/>
      <c r="AM80" s="289"/>
      <c r="AN80" s="289"/>
      <c r="AO80" s="289"/>
      <c r="AP80" s="289"/>
      <c r="AQ80" s="289"/>
      <c r="AR80" s="289"/>
      <c r="AS80" s="289"/>
      <c r="AT80" s="289"/>
      <c r="AU80" s="289"/>
      <c r="AV80" s="289"/>
      <c r="AW80" s="289"/>
      <c r="AX80" s="289"/>
      <c r="AY80" s="289"/>
      <c r="AZ80" s="289"/>
      <c r="BA80" s="289"/>
      <c r="BB80" s="289"/>
      <c r="BC80" s="289"/>
      <c r="BD80" s="366">
        <f>130000000+30000000-66000000</f>
        <v>94000000</v>
      </c>
      <c r="BE80" s="294">
        <v>91872500</v>
      </c>
      <c r="BF80" s="294">
        <v>91872500</v>
      </c>
      <c r="BG80" s="289"/>
      <c r="BH80" s="289"/>
      <c r="BI80" s="289"/>
      <c r="BJ80" s="289"/>
      <c r="BK80" s="289"/>
      <c r="BL80" s="289"/>
      <c r="BM80" s="289"/>
      <c r="BN80" s="289"/>
      <c r="BO80" s="289"/>
      <c r="BP80" s="273">
        <f t="shared" si="21"/>
        <v>94000000</v>
      </c>
      <c r="BQ80" s="273">
        <f t="shared" si="22"/>
        <v>91872500</v>
      </c>
      <c r="BR80" s="273">
        <f t="shared" si="22"/>
        <v>91872500</v>
      </c>
      <c r="BS80" s="267" t="s">
        <v>1650</v>
      </c>
      <c r="BT80" s="233"/>
    </row>
    <row r="81" spans="1:72" s="27" customFormat="1" ht="126" customHeight="1" x14ac:dyDescent="0.2">
      <c r="A81" s="217">
        <v>311</v>
      </c>
      <c r="B81" s="216" t="s">
        <v>1623</v>
      </c>
      <c r="C81" s="213">
        <v>2</v>
      </c>
      <c r="D81" s="216" t="s">
        <v>1621</v>
      </c>
      <c r="E81" s="213">
        <v>35</v>
      </c>
      <c r="F81" s="216" t="s">
        <v>401</v>
      </c>
      <c r="G81" s="213">
        <v>3502</v>
      </c>
      <c r="H81" s="216" t="s">
        <v>1583</v>
      </c>
      <c r="I81" s="213">
        <v>3502</v>
      </c>
      <c r="J81" s="216" t="s">
        <v>1582</v>
      </c>
      <c r="K81" s="216" t="s">
        <v>420</v>
      </c>
      <c r="L81" s="304">
        <v>3502039</v>
      </c>
      <c r="M81" s="216" t="s">
        <v>421</v>
      </c>
      <c r="N81" s="304">
        <v>3502039</v>
      </c>
      <c r="O81" s="216" t="s">
        <v>421</v>
      </c>
      <c r="P81" s="213" t="s">
        <v>422</v>
      </c>
      <c r="Q81" s="216" t="s">
        <v>105</v>
      </c>
      <c r="R81" s="213" t="s">
        <v>422</v>
      </c>
      <c r="S81" s="216" t="s">
        <v>105</v>
      </c>
      <c r="T81" s="236" t="s">
        <v>1671</v>
      </c>
      <c r="U81" s="76">
        <v>12</v>
      </c>
      <c r="V81" s="76">
        <v>12</v>
      </c>
      <c r="W81" s="236" t="s">
        <v>423</v>
      </c>
      <c r="X81" s="214" t="s">
        <v>424</v>
      </c>
      <c r="Y81" s="320" t="s">
        <v>425</v>
      </c>
      <c r="Z81" s="289"/>
      <c r="AA81" s="289"/>
      <c r="AB81" s="289"/>
      <c r="AC81" s="289"/>
      <c r="AD81" s="289"/>
      <c r="AE81" s="289"/>
      <c r="AF81" s="289"/>
      <c r="AG81" s="289"/>
      <c r="AH81" s="289"/>
      <c r="AI81" s="289"/>
      <c r="AJ81" s="289"/>
      <c r="AK81" s="289"/>
      <c r="AL81" s="289"/>
      <c r="AM81" s="289"/>
      <c r="AN81" s="289"/>
      <c r="AO81" s="289"/>
      <c r="AP81" s="289"/>
      <c r="AQ81" s="289"/>
      <c r="AR81" s="289"/>
      <c r="AS81" s="289"/>
      <c r="AT81" s="289"/>
      <c r="AU81" s="289"/>
      <c r="AV81" s="289"/>
      <c r="AW81" s="289"/>
      <c r="AX81" s="289"/>
      <c r="AY81" s="289"/>
      <c r="AZ81" s="289"/>
      <c r="BA81" s="289"/>
      <c r="BB81" s="289"/>
      <c r="BC81" s="289"/>
      <c r="BD81" s="366">
        <v>175000000</v>
      </c>
      <c r="BE81" s="549">
        <v>169053497</v>
      </c>
      <c r="BF81" s="549">
        <v>169053497</v>
      </c>
      <c r="BG81" s="289"/>
      <c r="BH81" s="289"/>
      <c r="BI81" s="289"/>
      <c r="BJ81" s="289"/>
      <c r="BK81" s="289"/>
      <c r="BL81" s="289"/>
      <c r="BM81" s="289"/>
      <c r="BN81" s="289"/>
      <c r="BO81" s="289"/>
      <c r="BP81" s="273">
        <f t="shared" si="21"/>
        <v>175000000</v>
      </c>
      <c r="BQ81" s="273">
        <f t="shared" si="22"/>
        <v>169053497</v>
      </c>
      <c r="BR81" s="273">
        <f t="shared" si="22"/>
        <v>169053497</v>
      </c>
      <c r="BS81" s="267" t="s">
        <v>1650</v>
      </c>
      <c r="BT81" s="233"/>
    </row>
    <row r="82" spans="1:72" s="27" customFormat="1" ht="116.25" customHeight="1" x14ac:dyDescent="0.2">
      <c r="A82" s="217">
        <v>311</v>
      </c>
      <c r="B82" s="216" t="s">
        <v>1623</v>
      </c>
      <c r="C82" s="213">
        <v>2</v>
      </c>
      <c r="D82" s="216" t="s">
        <v>1621</v>
      </c>
      <c r="E82" s="213">
        <v>35</v>
      </c>
      <c r="F82" s="216" t="s">
        <v>401</v>
      </c>
      <c r="G82" s="213">
        <v>3502</v>
      </c>
      <c r="H82" s="216" t="s">
        <v>1583</v>
      </c>
      <c r="I82" s="213">
        <v>3502</v>
      </c>
      <c r="J82" s="216" t="s">
        <v>1582</v>
      </c>
      <c r="K82" s="216" t="s">
        <v>403</v>
      </c>
      <c r="L82" s="304">
        <v>3502047</v>
      </c>
      <c r="M82" s="216" t="s">
        <v>233</v>
      </c>
      <c r="N82" s="304">
        <v>3502047</v>
      </c>
      <c r="O82" s="216" t="s">
        <v>233</v>
      </c>
      <c r="P82" s="213" t="s">
        <v>418</v>
      </c>
      <c r="Q82" s="216" t="s">
        <v>235</v>
      </c>
      <c r="R82" s="213" t="s">
        <v>418</v>
      </c>
      <c r="S82" s="216" t="s">
        <v>235</v>
      </c>
      <c r="T82" s="236" t="s">
        <v>1673</v>
      </c>
      <c r="U82" s="76" t="s">
        <v>419</v>
      </c>
      <c r="V82" s="76">
        <v>0.7</v>
      </c>
      <c r="W82" s="236" t="s">
        <v>423</v>
      </c>
      <c r="X82" s="214" t="s">
        <v>424</v>
      </c>
      <c r="Y82" s="320" t="s">
        <v>425</v>
      </c>
      <c r="Z82" s="289"/>
      <c r="AA82" s="289"/>
      <c r="AB82" s="289"/>
      <c r="AC82" s="289"/>
      <c r="AD82" s="289"/>
      <c r="AE82" s="289"/>
      <c r="AF82" s="289"/>
      <c r="AG82" s="289"/>
      <c r="AH82" s="289"/>
      <c r="AI82" s="289"/>
      <c r="AJ82" s="289"/>
      <c r="AK82" s="289"/>
      <c r="AL82" s="289"/>
      <c r="AM82" s="289"/>
      <c r="AN82" s="289"/>
      <c r="AO82" s="289"/>
      <c r="AP82" s="289"/>
      <c r="AQ82" s="289"/>
      <c r="AR82" s="289"/>
      <c r="AS82" s="289"/>
      <c r="AT82" s="289"/>
      <c r="AU82" s="289"/>
      <c r="AV82" s="289"/>
      <c r="AW82" s="289"/>
      <c r="AX82" s="289"/>
      <c r="AY82" s="289"/>
      <c r="AZ82" s="289"/>
      <c r="BA82" s="289"/>
      <c r="BB82" s="289"/>
      <c r="BC82" s="289"/>
      <c r="BD82" s="294">
        <v>18000000</v>
      </c>
      <c r="BE82" s="294">
        <v>18000000</v>
      </c>
      <c r="BF82" s="294">
        <v>18000000</v>
      </c>
      <c r="BG82" s="289"/>
      <c r="BH82" s="289"/>
      <c r="BI82" s="289"/>
      <c r="BJ82" s="289"/>
      <c r="BK82" s="289"/>
      <c r="BL82" s="289"/>
      <c r="BM82" s="289"/>
      <c r="BN82" s="289"/>
      <c r="BO82" s="289"/>
      <c r="BP82" s="273">
        <f>+Z82+AC82+AF82+AI82+AL82+AO82+AR82+AU82+AX82+BA82+BD82+BG82+BJ82</f>
        <v>18000000</v>
      </c>
      <c r="BQ82" s="273">
        <f t="shared" si="22"/>
        <v>18000000</v>
      </c>
      <c r="BR82" s="273">
        <f t="shared" si="22"/>
        <v>18000000</v>
      </c>
      <c r="BS82" s="267" t="s">
        <v>1650</v>
      </c>
      <c r="BT82" s="233"/>
    </row>
    <row r="83" spans="1:72" s="27" customFormat="1" ht="111" customHeight="1" x14ac:dyDescent="0.2">
      <c r="A83" s="217">
        <v>311</v>
      </c>
      <c r="B83" s="216" t="s">
        <v>1623</v>
      </c>
      <c r="C83" s="213">
        <v>2</v>
      </c>
      <c r="D83" s="216" t="s">
        <v>1621</v>
      </c>
      <c r="E83" s="213">
        <v>35</v>
      </c>
      <c r="F83" s="216" t="s">
        <v>401</v>
      </c>
      <c r="G83" s="213">
        <v>3502</v>
      </c>
      <c r="H83" s="216" t="s">
        <v>1583</v>
      </c>
      <c r="I83" s="213">
        <v>3502</v>
      </c>
      <c r="J83" s="216" t="s">
        <v>1582</v>
      </c>
      <c r="K83" s="216" t="s">
        <v>420</v>
      </c>
      <c r="L83" s="304">
        <v>3502039</v>
      </c>
      <c r="M83" s="216" t="s">
        <v>421</v>
      </c>
      <c r="N83" s="304">
        <v>3502039</v>
      </c>
      <c r="O83" s="216" t="s">
        <v>421</v>
      </c>
      <c r="P83" s="74">
        <v>350203910</v>
      </c>
      <c r="Q83" s="216" t="s">
        <v>426</v>
      </c>
      <c r="R83" s="74">
        <v>350203910</v>
      </c>
      <c r="S83" s="216" t="s">
        <v>426</v>
      </c>
      <c r="T83" s="236" t="s">
        <v>1673</v>
      </c>
      <c r="U83" s="76">
        <v>1</v>
      </c>
      <c r="V83" s="76">
        <v>3</v>
      </c>
      <c r="W83" s="236" t="s">
        <v>423</v>
      </c>
      <c r="X83" s="214" t="s">
        <v>424</v>
      </c>
      <c r="Y83" s="320" t="s">
        <v>425</v>
      </c>
      <c r="Z83" s="289"/>
      <c r="AA83" s="289"/>
      <c r="AB83" s="289"/>
      <c r="AC83" s="289"/>
      <c r="AD83" s="289"/>
      <c r="AE83" s="289"/>
      <c r="AF83" s="289"/>
      <c r="AG83" s="289"/>
      <c r="AH83" s="289"/>
      <c r="AI83" s="289"/>
      <c r="AJ83" s="289"/>
      <c r="AK83" s="289"/>
      <c r="AL83" s="289"/>
      <c r="AM83" s="289"/>
      <c r="AN83" s="289"/>
      <c r="AO83" s="289"/>
      <c r="AP83" s="289"/>
      <c r="AQ83" s="289"/>
      <c r="AR83" s="289"/>
      <c r="AS83" s="289"/>
      <c r="AT83" s="289"/>
      <c r="AU83" s="289"/>
      <c r="AV83" s="289"/>
      <c r="AW83" s="289"/>
      <c r="AX83" s="289"/>
      <c r="AY83" s="289"/>
      <c r="AZ83" s="289"/>
      <c r="BA83" s="289"/>
      <c r="BB83" s="289"/>
      <c r="BC83" s="289"/>
      <c r="BD83" s="294">
        <f>100000000+1498856036</f>
        <v>1598856036</v>
      </c>
      <c r="BE83" s="549">
        <v>1598856036</v>
      </c>
      <c r="BF83" s="549">
        <v>1598856036</v>
      </c>
      <c r="BG83" s="289"/>
      <c r="BH83" s="289"/>
      <c r="BI83" s="289"/>
      <c r="BJ83" s="289"/>
      <c r="BK83" s="289"/>
      <c r="BL83" s="289"/>
      <c r="BM83" s="289"/>
      <c r="BN83" s="289"/>
      <c r="BO83" s="289"/>
      <c r="BP83" s="273">
        <f t="shared" si="21"/>
        <v>1598856036</v>
      </c>
      <c r="BQ83" s="273">
        <f t="shared" si="22"/>
        <v>1598856036</v>
      </c>
      <c r="BR83" s="273">
        <f t="shared" si="22"/>
        <v>1598856036</v>
      </c>
      <c r="BS83" s="267" t="s">
        <v>1650</v>
      </c>
      <c r="BT83" s="233"/>
    </row>
    <row r="84" spans="1:72" s="211" customFormat="1" ht="98.25" customHeight="1" x14ac:dyDescent="0.25">
      <c r="A84" s="217">
        <v>311</v>
      </c>
      <c r="B84" s="216" t="s">
        <v>1623</v>
      </c>
      <c r="C84" s="213">
        <v>2</v>
      </c>
      <c r="D84" s="216" t="s">
        <v>1621</v>
      </c>
      <c r="E84" s="213">
        <v>35</v>
      </c>
      <c r="F84" s="216" t="s">
        <v>401</v>
      </c>
      <c r="G84" s="213">
        <v>3502</v>
      </c>
      <c r="H84" s="216" t="s">
        <v>1583</v>
      </c>
      <c r="I84" s="213">
        <v>3502</v>
      </c>
      <c r="J84" s="216" t="s">
        <v>1582</v>
      </c>
      <c r="K84" s="216" t="s">
        <v>420</v>
      </c>
      <c r="L84" s="304">
        <v>3502046</v>
      </c>
      <c r="M84" s="216" t="s">
        <v>427</v>
      </c>
      <c r="N84" s="304">
        <v>3502046</v>
      </c>
      <c r="O84" s="216" t="s">
        <v>427</v>
      </c>
      <c r="P84" s="213" t="s">
        <v>428</v>
      </c>
      <c r="Q84" s="216" t="s">
        <v>429</v>
      </c>
      <c r="R84" s="213" t="s">
        <v>428</v>
      </c>
      <c r="S84" s="216" t="s">
        <v>429</v>
      </c>
      <c r="T84" s="236" t="s">
        <v>1673</v>
      </c>
      <c r="U84" s="76">
        <v>1</v>
      </c>
      <c r="V84" s="76">
        <v>1</v>
      </c>
      <c r="W84" s="236" t="s">
        <v>430</v>
      </c>
      <c r="X84" s="216" t="s">
        <v>431</v>
      </c>
      <c r="Y84" s="216" t="s">
        <v>432</v>
      </c>
      <c r="Z84" s="289"/>
      <c r="AA84" s="289"/>
      <c r="AB84" s="289"/>
      <c r="AC84" s="289"/>
      <c r="AD84" s="289"/>
      <c r="AE84" s="289"/>
      <c r="AF84" s="289"/>
      <c r="AG84" s="289"/>
      <c r="AH84" s="289"/>
      <c r="AI84" s="289"/>
      <c r="AJ84" s="289"/>
      <c r="AK84" s="289"/>
      <c r="AL84" s="289"/>
      <c r="AM84" s="289"/>
      <c r="AN84" s="289"/>
      <c r="AO84" s="289"/>
      <c r="AP84" s="289"/>
      <c r="AQ84" s="289"/>
      <c r="AR84" s="289"/>
      <c r="AS84" s="289"/>
      <c r="AT84" s="289"/>
      <c r="AU84" s="289"/>
      <c r="AV84" s="289"/>
      <c r="AW84" s="289"/>
      <c r="AX84" s="289"/>
      <c r="AY84" s="289"/>
      <c r="AZ84" s="289"/>
      <c r="BA84" s="289"/>
      <c r="BB84" s="289"/>
      <c r="BC84" s="289"/>
      <c r="BD84" s="366">
        <f>100000000+20000000+150000000-15000000</f>
        <v>255000000</v>
      </c>
      <c r="BE84" s="294">
        <v>197404833</v>
      </c>
      <c r="BF84" s="294">
        <v>197404833</v>
      </c>
      <c r="BG84" s="322">
        <f>664872303.76+340359369.85</f>
        <v>1005231673.61</v>
      </c>
      <c r="BH84" s="322">
        <v>461920395.50999999</v>
      </c>
      <c r="BI84" s="322">
        <v>461920395.50999999</v>
      </c>
      <c r="BJ84" s="322"/>
      <c r="BK84" s="322"/>
      <c r="BL84" s="322"/>
      <c r="BM84" s="322"/>
      <c r="BN84" s="322"/>
      <c r="BO84" s="322"/>
      <c r="BP84" s="273">
        <f t="shared" si="21"/>
        <v>1260231673.6100001</v>
      </c>
      <c r="BQ84" s="273">
        <f t="shared" si="22"/>
        <v>659325228.50999999</v>
      </c>
      <c r="BR84" s="273">
        <f t="shared" si="22"/>
        <v>659325228.50999999</v>
      </c>
      <c r="BS84" s="267" t="s">
        <v>1650</v>
      </c>
      <c r="BT84" s="233"/>
    </row>
    <row r="85" spans="1:72" s="27" customFormat="1" ht="84" customHeight="1" x14ac:dyDescent="0.2">
      <c r="A85" s="217">
        <v>311</v>
      </c>
      <c r="B85" s="216" t="s">
        <v>1623</v>
      </c>
      <c r="C85" s="213">
        <v>2</v>
      </c>
      <c r="D85" s="216" t="s">
        <v>1621</v>
      </c>
      <c r="E85" s="213">
        <v>36</v>
      </c>
      <c r="F85" s="213" t="s">
        <v>433</v>
      </c>
      <c r="G85" s="213">
        <v>3602</v>
      </c>
      <c r="H85" s="216" t="s">
        <v>434</v>
      </c>
      <c r="I85" s="213">
        <v>3602</v>
      </c>
      <c r="J85" s="216" t="s">
        <v>1600</v>
      </c>
      <c r="K85" s="216" t="s">
        <v>403</v>
      </c>
      <c r="L85" s="213">
        <v>3602018</v>
      </c>
      <c r="M85" s="216" t="s">
        <v>435</v>
      </c>
      <c r="N85" s="213">
        <v>3602018</v>
      </c>
      <c r="O85" s="216" t="s">
        <v>435</v>
      </c>
      <c r="P85" s="74" t="s">
        <v>436</v>
      </c>
      <c r="Q85" s="311" t="s">
        <v>437</v>
      </c>
      <c r="R85" s="74">
        <v>360201800</v>
      </c>
      <c r="S85" s="311" t="s">
        <v>437</v>
      </c>
      <c r="T85" s="236" t="s">
        <v>1673</v>
      </c>
      <c r="U85" s="76">
        <v>3</v>
      </c>
      <c r="V85" s="76">
        <v>0</v>
      </c>
      <c r="W85" s="236" t="s">
        <v>438</v>
      </c>
      <c r="X85" s="216" t="s">
        <v>439</v>
      </c>
      <c r="Y85" s="216" t="s">
        <v>440</v>
      </c>
      <c r="Z85" s="289"/>
      <c r="AA85" s="289"/>
      <c r="AB85" s="289"/>
      <c r="AC85" s="289"/>
      <c r="AD85" s="289"/>
      <c r="AE85" s="289"/>
      <c r="AF85" s="289"/>
      <c r="AG85" s="289"/>
      <c r="AH85" s="289"/>
      <c r="AI85" s="289"/>
      <c r="AJ85" s="289"/>
      <c r="AK85" s="289"/>
      <c r="AL85" s="289"/>
      <c r="AM85" s="289"/>
      <c r="AN85" s="289"/>
      <c r="AO85" s="289"/>
      <c r="AP85" s="289"/>
      <c r="AQ85" s="289"/>
      <c r="AR85" s="289"/>
      <c r="AS85" s="289"/>
      <c r="AT85" s="289"/>
      <c r="AU85" s="289"/>
      <c r="AV85" s="289"/>
      <c r="AW85" s="289"/>
      <c r="AX85" s="289"/>
      <c r="AY85" s="289"/>
      <c r="AZ85" s="289"/>
      <c r="BA85" s="289"/>
      <c r="BB85" s="289"/>
      <c r="BC85" s="289"/>
      <c r="BD85" s="366">
        <f>120000000-24000000-27345000</f>
        <v>68655000</v>
      </c>
      <c r="BE85" s="294">
        <v>68655000</v>
      </c>
      <c r="BF85" s="294">
        <v>68655000</v>
      </c>
      <c r="BG85" s="289"/>
      <c r="BH85" s="289"/>
      <c r="BI85" s="289"/>
      <c r="BJ85" s="289"/>
      <c r="BK85" s="289"/>
      <c r="BL85" s="289"/>
      <c r="BM85" s="289"/>
      <c r="BN85" s="289"/>
      <c r="BO85" s="289"/>
      <c r="BP85" s="273">
        <f>+Z85+AC85+AF85+AI85+AL85+AO85+AR85+AU85+AX85+BA85+BD85+BG85+BJ85</f>
        <v>68655000</v>
      </c>
      <c r="BQ85" s="273">
        <f t="shared" ref="BP85:BR88" si="23">+AA85+AD85+AG85+AJ85+AM85+AP85+AS85+AV85+AY85+BB85+BE85+BH85+BK85</f>
        <v>68655000</v>
      </c>
      <c r="BR85" s="273">
        <f t="shared" si="23"/>
        <v>68655000</v>
      </c>
      <c r="BS85" s="267" t="s">
        <v>1650</v>
      </c>
      <c r="BT85" s="233"/>
    </row>
    <row r="86" spans="1:72" s="27" customFormat="1" ht="75.75" customHeight="1" x14ac:dyDescent="0.2">
      <c r="A86" s="217">
        <v>311</v>
      </c>
      <c r="B86" s="216" t="s">
        <v>1623</v>
      </c>
      <c r="C86" s="213">
        <v>2</v>
      </c>
      <c r="D86" s="216" t="s">
        <v>1621</v>
      </c>
      <c r="E86" s="213">
        <v>36</v>
      </c>
      <c r="F86" s="213" t="s">
        <v>433</v>
      </c>
      <c r="G86" s="213">
        <v>3602</v>
      </c>
      <c r="H86" s="216" t="s">
        <v>434</v>
      </c>
      <c r="I86" s="213">
        <v>3602</v>
      </c>
      <c r="J86" s="216" t="s">
        <v>1600</v>
      </c>
      <c r="K86" s="216" t="s">
        <v>403</v>
      </c>
      <c r="L86" s="217">
        <v>3602032</v>
      </c>
      <c r="M86" s="216" t="s">
        <v>441</v>
      </c>
      <c r="N86" s="217">
        <v>3602032</v>
      </c>
      <c r="O86" s="216" t="s">
        <v>441</v>
      </c>
      <c r="P86" s="74" t="s">
        <v>442</v>
      </c>
      <c r="Q86" s="311" t="s">
        <v>443</v>
      </c>
      <c r="R86" s="74">
        <v>360203201</v>
      </c>
      <c r="S86" s="311" t="s">
        <v>443</v>
      </c>
      <c r="T86" s="236" t="s">
        <v>1671</v>
      </c>
      <c r="U86" s="76">
        <v>14</v>
      </c>
      <c r="V86" s="76">
        <v>14</v>
      </c>
      <c r="W86" s="236" t="s">
        <v>438</v>
      </c>
      <c r="X86" s="216" t="s">
        <v>439</v>
      </c>
      <c r="Y86" s="216" t="s">
        <v>440</v>
      </c>
      <c r="Z86" s="289"/>
      <c r="AA86" s="289"/>
      <c r="AB86" s="289"/>
      <c r="AC86" s="289"/>
      <c r="AD86" s="289"/>
      <c r="AE86" s="289"/>
      <c r="AF86" s="289"/>
      <c r="AG86" s="289"/>
      <c r="AH86" s="289"/>
      <c r="AI86" s="289"/>
      <c r="AJ86" s="289"/>
      <c r="AK86" s="289"/>
      <c r="AL86" s="289"/>
      <c r="AM86" s="289"/>
      <c r="AN86" s="289"/>
      <c r="AO86" s="289"/>
      <c r="AP86" s="289"/>
      <c r="AQ86" s="289"/>
      <c r="AR86" s="289"/>
      <c r="AS86" s="289"/>
      <c r="AT86" s="289"/>
      <c r="AU86" s="289"/>
      <c r="AV86" s="289"/>
      <c r="AW86" s="289"/>
      <c r="AX86" s="289"/>
      <c r="AY86" s="289"/>
      <c r="AZ86" s="289"/>
      <c r="BA86" s="289"/>
      <c r="BB86" s="289"/>
      <c r="BC86" s="289"/>
      <c r="BD86" s="366">
        <f>60000000+31150000+27345000</f>
        <v>118495000</v>
      </c>
      <c r="BE86" s="294">
        <v>116697000</v>
      </c>
      <c r="BF86" s="294">
        <v>116697000</v>
      </c>
      <c r="BG86" s="289"/>
      <c r="BH86" s="289"/>
      <c r="BI86" s="289"/>
      <c r="BJ86" s="289"/>
      <c r="BK86" s="289"/>
      <c r="BL86" s="289"/>
      <c r="BM86" s="289"/>
      <c r="BN86" s="289"/>
      <c r="BO86" s="289"/>
      <c r="BP86" s="273">
        <f t="shared" si="23"/>
        <v>118495000</v>
      </c>
      <c r="BQ86" s="273">
        <f t="shared" si="23"/>
        <v>116697000</v>
      </c>
      <c r="BR86" s="273">
        <f t="shared" si="23"/>
        <v>116697000</v>
      </c>
      <c r="BS86" s="267" t="s">
        <v>1650</v>
      </c>
      <c r="BT86" s="233"/>
    </row>
    <row r="87" spans="1:72" s="27" customFormat="1" ht="81" customHeight="1" x14ac:dyDescent="0.2">
      <c r="A87" s="217">
        <v>311</v>
      </c>
      <c r="B87" s="216" t="s">
        <v>1623</v>
      </c>
      <c r="C87" s="213">
        <v>2</v>
      </c>
      <c r="D87" s="216" t="s">
        <v>1621</v>
      </c>
      <c r="E87" s="213">
        <v>36</v>
      </c>
      <c r="F87" s="213" t="s">
        <v>433</v>
      </c>
      <c r="G87" s="213">
        <v>3602</v>
      </c>
      <c r="H87" s="216" t="s">
        <v>434</v>
      </c>
      <c r="I87" s="213">
        <v>3602</v>
      </c>
      <c r="J87" s="216" t="s">
        <v>1600</v>
      </c>
      <c r="K87" s="216" t="s">
        <v>403</v>
      </c>
      <c r="L87" s="217">
        <v>3602029</v>
      </c>
      <c r="M87" s="216" t="s">
        <v>444</v>
      </c>
      <c r="N87" s="217">
        <v>3602029</v>
      </c>
      <c r="O87" s="216" t="s">
        <v>444</v>
      </c>
      <c r="P87" s="74" t="s">
        <v>445</v>
      </c>
      <c r="Q87" s="311" t="s">
        <v>446</v>
      </c>
      <c r="R87" s="74">
        <v>360202904</v>
      </c>
      <c r="S87" s="311" t="s">
        <v>446</v>
      </c>
      <c r="T87" s="236" t="s">
        <v>1673</v>
      </c>
      <c r="U87" s="76">
        <v>12</v>
      </c>
      <c r="V87" s="76">
        <v>12</v>
      </c>
      <c r="W87" s="236" t="s">
        <v>438</v>
      </c>
      <c r="X87" s="216" t="s">
        <v>439</v>
      </c>
      <c r="Y87" s="216" t="s">
        <v>440</v>
      </c>
      <c r="Z87" s="289"/>
      <c r="AA87" s="289"/>
      <c r="AB87" s="289"/>
      <c r="AC87" s="289"/>
      <c r="AD87" s="289"/>
      <c r="AE87" s="289"/>
      <c r="AF87" s="289"/>
      <c r="AG87" s="289"/>
      <c r="AH87" s="289"/>
      <c r="AI87" s="289"/>
      <c r="AJ87" s="289"/>
      <c r="AK87" s="289"/>
      <c r="AL87" s="289"/>
      <c r="AM87" s="289"/>
      <c r="AN87" s="289"/>
      <c r="AO87" s="289"/>
      <c r="AP87" s="289"/>
      <c r="AQ87" s="289"/>
      <c r="AR87" s="289"/>
      <c r="AS87" s="289"/>
      <c r="AT87" s="289"/>
      <c r="AU87" s="289"/>
      <c r="AV87" s="289"/>
      <c r="AW87" s="289"/>
      <c r="AX87" s="289"/>
      <c r="AY87" s="289"/>
      <c r="AZ87" s="289"/>
      <c r="BA87" s="289"/>
      <c r="BB87" s="289"/>
      <c r="BC87" s="289"/>
      <c r="BD87" s="234">
        <v>22500000</v>
      </c>
      <c r="BE87" s="294">
        <v>20000000</v>
      </c>
      <c r="BF87" s="294">
        <v>20000000</v>
      </c>
      <c r="BG87" s="289"/>
      <c r="BH87" s="289"/>
      <c r="BI87" s="289"/>
      <c r="BJ87" s="289"/>
      <c r="BK87" s="289"/>
      <c r="BL87" s="289"/>
      <c r="BM87" s="289"/>
      <c r="BN87" s="289"/>
      <c r="BO87" s="289"/>
      <c r="BP87" s="273">
        <f t="shared" si="23"/>
        <v>22500000</v>
      </c>
      <c r="BQ87" s="273">
        <f t="shared" si="23"/>
        <v>20000000</v>
      </c>
      <c r="BR87" s="273">
        <f t="shared" si="23"/>
        <v>20000000</v>
      </c>
      <c r="BS87" s="267" t="s">
        <v>1650</v>
      </c>
      <c r="BT87" s="233"/>
    </row>
    <row r="88" spans="1:72" s="27" customFormat="1" ht="78" customHeight="1" x14ac:dyDescent="0.2">
      <c r="A88" s="217">
        <v>311</v>
      </c>
      <c r="B88" s="216" t="s">
        <v>1623</v>
      </c>
      <c r="C88" s="213">
        <v>2</v>
      </c>
      <c r="D88" s="216" t="s">
        <v>1621</v>
      </c>
      <c r="E88" s="213">
        <v>36</v>
      </c>
      <c r="F88" s="213" t="s">
        <v>433</v>
      </c>
      <c r="G88" s="213">
        <v>3602</v>
      </c>
      <c r="H88" s="216" t="s">
        <v>434</v>
      </c>
      <c r="I88" s="213">
        <v>3602</v>
      </c>
      <c r="J88" s="216" t="s">
        <v>1600</v>
      </c>
      <c r="K88" s="216" t="s">
        <v>403</v>
      </c>
      <c r="L88" s="217">
        <v>3602030</v>
      </c>
      <c r="M88" s="216" t="s">
        <v>447</v>
      </c>
      <c r="N88" s="217">
        <v>3602030</v>
      </c>
      <c r="O88" s="216" t="s">
        <v>447</v>
      </c>
      <c r="P88" s="74" t="s">
        <v>448</v>
      </c>
      <c r="Q88" s="311" t="s">
        <v>449</v>
      </c>
      <c r="R88" s="74">
        <v>360203000</v>
      </c>
      <c r="S88" s="311" t="s">
        <v>449</v>
      </c>
      <c r="T88" s="236" t="s">
        <v>1673</v>
      </c>
      <c r="U88" s="76">
        <v>3</v>
      </c>
      <c r="V88" s="76">
        <v>3</v>
      </c>
      <c r="W88" s="236" t="s">
        <v>438</v>
      </c>
      <c r="X88" s="216" t="s">
        <v>439</v>
      </c>
      <c r="Y88" s="216" t="s">
        <v>440</v>
      </c>
      <c r="Z88" s="289"/>
      <c r="AA88" s="289"/>
      <c r="AB88" s="289"/>
      <c r="AC88" s="289"/>
      <c r="AD88" s="289"/>
      <c r="AE88" s="289"/>
      <c r="AF88" s="289"/>
      <c r="AG88" s="289"/>
      <c r="AH88" s="289"/>
      <c r="AI88" s="289"/>
      <c r="AJ88" s="289"/>
      <c r="AK88" s="289"/>
      <c r="AL88" s="289"/>
      <c r="AM88" s="289"/>
      <c r="AN88" s="289"/>
      <c r="AO88" s="289"/>
      <c r="AP88" s="289"/>
      <c r="AQ88" s="289"/>
      <c r="AR88" s="289"/>
      <c r="AS88" s="289"/>
      <c r="AT88" s="289"/>
      <c r="AU88" s="289"/>
      <c r="AV88" s="289"/>
      <c r="AW88" s="289"/>
      <c r="AX88" s="289"/>
      <c r="AY88" s="289"/>
      <c r="AZ88" s="289"/>
      <c r="BA88" s="289"/>
      <c r="BB88" s="289"/>
      <c r="BC88" s="289"/>
      <c r="BD88" s="234">
        <f>35000000-7150000</f>
        <v>27850000</v>
      </c>
      <c r="BE88" s="294">
        <v>21165451</v>
      </c>
      <c r="BF88" s="294">
        <v>21165451</v>
      </c>
      <c r="BG88" s="289"/>
      <c r="BH88" s="289"/>
      <c r="BI88" s="289"/>
      <c r="BJ88" s="289"/>
      <c r="BK88" s="289"/>
      <c r="BL88" s="289"/>
      <c r="BM88" s="289"/>
      <c r="BN88" s="289"/>
      <c r="BO88" s="289"/>
      <c r="BP88" s="273">
        <f t="shared" si="23"/>
        <v>27850000</v>
      </c>
      <c r="BQ88" s="273">
        <f t="shared" si="23"/>
        <v>21165451</v>
      </c>
      <c r="BR88" s="273">
        <f t="shared" si="23"/>
        <v>21165451</v>
      </c>
      <c r="BS88" s="267" t="s">
        <v>1650</v>
      </c>
      <c r="BT88" s="233"/>
    </row>
    <row r="89" spans="1:72" s="27" customFormat="1" ht="88.5" customHeight="1" x14ac:dyDescent="0.2">
      <c r="A89" s="217">
        <v>312</v>
      </c>
      <c r="B89" s="216" t="s">
        <v>1622</v>
      </c>
      <c r="C89" s="213">
        <v>2</v>
      </c>
      <c r="D89" s="216" t="s">
        <v>1621</v>
      </c>
      <c r="E89" s="213">
        <v>17</v>
      </c>
      <c r="F89" s="216" t="s">
        <v>451</v>
      </c>
      <c r="G89" s="213">
        <v>1702</v>
      </c>
      <c r="H89" s="216" t="s">
        <v>452</v>
      </c>
      <c r="I89" s="213">
        <v>1702</v>
      </c>
      <c r="J89" s="216" t="s">
        <v>1575</v>
      </c>
      <c r="K89" s="216" t="s">
        <v>453</v>
      </c>
      <c r="L89" s="304">
        <v>1702011</v>
      </c>
      <c r="M89" s="216" t="s">
        <v>454</v>
      </c>
      <c r="N89" s="304">
        <v>1702011</v>
      </c>
      <c r="O89" s="216" t="s">
        <v>454</v>
      </c>
      <c r="P89" s="213" t="s">
        <v>455</v>
      </c>
      <c r="Q89" s="216" t="s">
        <v>456</v>
      </c>
      <c r="R89" s="213">
        <v>170201100</v>
      </c>
      <c r="S89" s="216" t="s">
        <v>456</v>
      </c>
      <c r="T89" s="236" t="s">
        <v>1671</v>
      </c>
      <c r="U89" s="76">
        <v>30</v>
      </c>
      <c r="V89" s="76">
        <v>30</v>
      </c>
      <c r="W89" s="236" t="s">
        <v>457</v>
      </c>
      <c r="X89" s="216" t="s">
        <v>458</v>
      </c>
      <c r="Y89" s="216" t="s">
        <v>459</v>
      </c>
      <c r="Z89" s="289"/>
      <c r="AA89" s="289"/>
      <c r="AB89" s="289"/>
      <c r="AC89" s="289"/>
      <c r="AD89" s="289"/>
      <c r="AE89" s="289"/>
      <c r="AF89" s="289"/>
      <c r="AG89" s="289"/>
      <c r="AH89" s="289"/>
      <c r="AI89" s="289"/>
      <c r="AJ89" s="289"/>
      <c r="AK89" s="289"/>
      <c r="AL89" s="289"/>
      <c r="AM89" s="289"/>
      <c r="AN89" s="289"/>
      <c r="AO89" s="289"/>
      <c r="AP89" s="289"/>
      <c r="AQ89" s="289"/>
      <c r="AR89" s="289"/>
      <c r="AS89" s="289"/>
      <c r="AT89" s="289"/>
      <c r="AU89" s="289"/>
      <c r="AV89" s="289"/>
      <c r="AW89" s="289"/>
      <c r="AX89" s="289"/>
      <c r="AY89" s="289"/>
      <c r="AZ89" s="289"/>
      <c r="BA89" s="289"/>
      <c r="BB89" s="289"/>
      <c r="BC89" s="289"/>
      <c r="BD89" s="235">
        <v>226000000</v>
      </c>
      <c r="BE89" s="235">
        <v>159728324</v>
      </c>
      <c r="BF89" s="235">
        <v>159728324</v>
      </c>
      <c r="BG89" s="336"/>
      <c r="BH89" s="336"/>
      <c r="BI89" s="336"/>
      <c r="BJ89" s="336"/>
      <c r="BK89" s="336"/>
      <c r="BL89" s="336"/>
      <c r="BM89" s="336"/>
      <c r="BN89" s="336"/>
      <c r="BO89" s="336"/>
      <c r="BP89" s="273">
        <f t="shared" ref="BP89:BP105" si="24">+Z89+AC89+AF89+AI89+AL89+AO89+AR89+AU89+AX89+BA89+BD89+BG89+BJ89</f>
        <v>226000000</v>
      </c>
      <c r="BQ89" s="273">
        <f t="shared" ref="BQ89:BQ99" si="25">+AA89+AD89+AG89+AJ89+AM89+AP89+AS89+AV89+AY89+BB89+BE89+BH89+BK89</f>
        <v>159728324</v>
      </c>
      <c r="BR89" s="273">
        <f t="shared" ref="BR89:BR99" si="26">+AB89+AE89+AH89+AK89+AN89+AQ89+AT89+AW89+AZ89+BC89+BF89+BI89+BL89</f>
        <v>159728324</v>
      </c>
      <c r="BS89" s="247" t="s">
        <v>1651</v>
      </c>
      <c r="BT89" s="233"/>
    </row>
    <row r="90" spans="1:72" s="27" customFormat="1" ht="86.25" customHeight="1" x14ac:dyDescent="0.2">
      <c r="A90" s="217">
        <v>312</v>
      </c>
      <c r="B90" s="216" t="s">
        <v>1622</v>
      </c>
      <c r="C90" s="213">
        <v>2</v>
      </c>
      <c r="D90" s="216" t="s">
        <v>1621</v>
      </c>
      <c r="E90" s="213">
        <v>17</v>
      </c>
      <c r="F90" s="216" t="s">
        <v>451</v>
      </c>
      <c r="G90" s="213">
        <v>1702</v>
      </c>
      <c r="H90" s="216" t="s">
        <v>452</v>
      </c>
      <c r="I90" s="213">
        <v>1702</v>
      </c>
      <c r="J90" s="216" t="s">
        <v>1575</v>
      </c>
      <c r="K90" s="216" t="s">
        <v>453</v>
      </c>
      <c r="L90" s="304">
        <v>1702007</v>
      </c>
      <c r="M90" s="216" t="s">
        <v>460</v>
      </c>
      <c r="N90" s="304">
        <v>1702007</v>
      </c>
      <c r="O90" s="216" t="s">
        <v>460</v>
      </c>
      <c r="P90" s="74" t="s">
        <v>461</v>
      </c>
      <c r="Q90" s="216" t="s">
        <v>462</v>
      </c>
      <c r="R90" s="74" t="s">
        <v>461</v>
      </c>
      <c r="S90" s="216" t="s">
        <v>462</v>
      </c>
      <c r="T90" s="236" t="s">
        <v>1673</v>
      </c>
      <c r="U90" s="76">
        <f>4+2</f>
        <v>6</v>
      </c>
      <c r="V90" s="76">
        <v>0</v>
      </c>
      <c r="W90" s="236" t="s">
        <v>457</v>
      </c>
      <c r="X90" s="216" t="s">
        <v>458</v>
      </c>
      <c r="Y90" s="216" t="s">
        <v>459</v>
      </c>
      <c r="Z90" s="337"/>
      <c r="AA90" s="337"/>
      <c r="AB90" s="337"/>
      <c r="AC90" s="337"/>
      <c r="AD90" s="337"/>
      <c r="AE90" s="337"/>
      <c r="AF90" s="337"/>
      <c r="AG90" s="337"/>
      <c r="AH90" s="337"/>
      <c r="AI90" s="337"/>
      <c r="AJ90" s="337"/>
      <c r="AK90" s="337"/>
      <c r="AL90" s="337"/>
      <c r="AM90" s="337"/>
      <c r="AN90" s="337"/>
      <c r="AO90" s="337"/>
      <c r="AP90" s="337"/>
      <c r="AQ90" s="337"/>
      <c r="AR90" s="337"/>
      <c r="AS90" s="337"/>
      <c r="AT90" s="337"/>
      <c r="AU90" s="337"/>
      <c r="AV90" s="337"/>
      <c r="AW90" s="337"/>
      <c r="AX90" s="337"/>
      <c r="AY90" s="337"/>
      <c r="AZ90" s="337"/>
      <c r="BA90" s="337"/>
      <c r="BB90" s="337"/>
      <c r="BC90" s="337"/>
      <c r="BD90" s="235">
        <v>123000000</v>
      </c>
      <c r="BE90" s="235">
        <v>0</v>
      </c>
      <c r="BF90" s="235"/>
      <c r="BG90" s="336"/>
      <c r="BH90" s="336"/>
      <c r="BI90" s="336"/>
      <c r="BJ90" s="336"/>
      <c r="BK90" s="336"/>
      <c r="BL90" s="336"/>
      <c r="BM90" s="336"/>
      <c r="BN90" s="336"/>
      <c r="BO90" s="336"/>
      <c r="BP90" s="273">
        <f t="shared" si="24"/>
        <v>123000000</v>
      </c>
      <c r="BQ90" s="273">
        <f t="shared" si="25"/>
        <v>0</v>
      </c>
      <c r="BR90" s="273">
        <f t="shared" si="26"/>
        <v>0</v>
      </c>
      <c r="BS90" s="247" t="s">
        <v>1651</v>
      </c>
      <c r="BT90" s="233"/>
    </row>
    <row r="91" spans="1:72" s="27" customFormat="1" ht="84.75" customHeight="1" x14ac:dyDescent="0.2">
      <c r="A91" s="217">
        <v>312</v>
      </c>
      <c r="B91" s="216" t="s">
        <v>1622</v>
      </c>
      <c r="C91" s="213">
        <v>2</v>
      </c>
      <c r="D91" s="216" t="s">
        <v>1621</v>
      </c>
      <c r="E91" s="213">
        <v>17</v>
      </c>
      <c r="F91" s="216" t="s">
        <v>451</v>
      </c>
      <c r="G91" s="213">
        <v>1702</v>
      </c>
      <c r="H91" s="216" t="s">
        <v>452</v>
      </c>
      <c r="I91" s="213">
        <v>1702</v>
      </c>
      <c r="J91" s="216" t="s">
        <v>1575</v>
      </c>
      <c r="K91" s="216" t="s">
        <v>453</v>
      </c>
      <c r="L91" s="304">
        <v>1702009</v>
      </c>
      <c r="M91" s="216" t="s">
        <v>463</v>
      </c>
      <c r="N91" s="304">
        <v>1702009</v>
      </c>
      <c r="O91" s="216" t="s">
        <v>463</v>
      </c>
      <c r="P91" s="74" t="s">
        <v>464</v>
      </c>
      <c r="Q91" s="311" t="s">
        <v>465</v>
      </c>
      <c r="R91" s="74" t="s">
        <v>464</v>
      </c>
      <c r="S91" s="311" t="s">
        <v>465</v>
      </c>
      <c r="T91" s="236" t="s">
        <v>1673</v>
      </c>
      <c r="U91" s="76">
        <v>168</v>
      </c>
      <c r="V91" s="76">
        <v>202</v>
      </c>
      <c r="W91" s="236" t="s">
        <v>457</v>
      </c>
      <c r="X91" s="216" t="s">
        <v>458</v>
      </c>
      <c r="Y91" s="216" t="s">
        <v>459</v>
      </c>
      <c r="Z91" s="337"/>
      <c r="AA91" s="337"/>
      <c r="AB91" s="337"/>
      <c r="AC91" s="337"/>
      <c r="AD91" s="337"/>
      <c r="AE91" s="337"/>
      <c r="AF91" s="337"/>
      <c r="AG91" s="337"/>
      <c r="AH91" s="337"/>
      <c r="AI91" s="337"/>
      <c r="AJ91" s="337"/>
      <c r="AK91" s="337"/>
      <c r="AL91" s="337"/>
      <c r="AM91" s="337"/>
      <c r="AN91" s="337"/>
      <c r="AO91" s="337"/>
      <c r="AP91" s="337"/>
      <c r="AQ91" s="337"/>
      <c r="AR91" s="337"/>
      <c r="AS91" s="337"/>
      <c r="AT91" s="337"/>
      <c r="AU91" s="337"/>
      <c r="AV91" s="337"/>
      <c r="AW91" s="337"/>
      <c r="AX91" s="337"/>
      <c r="AY91" s="337"/>
      <c r="AZ91" s="337"/>
      <c r="BA91" s="337"/>
      <c r="BB91" s="337"/>
      <c r="BC91" s="337"/>
      <c r="BD91" s="235">
        <v>90000000</v>
      </c>
      <c r="BE91" s="235">
        <v>50000000</v>
      </c>
      <c r="BF91" s="235">
        <v>50000000</v>
      </c>
      <c r="BG91" s="336"/>
      <c r="BH91" s="336"/>
      <c r="BI91" s="336"/>
      <c r="BJ91" s="336"/>
      <c r="BK91" s="336"/>
      <c r="BL91" s="336"/>
      <c r="BM91" s="235">
        <v>300000000</v>
      </c>
      <c r="BN91" s="290">
        <v>300000000</v>
      </c>
      <c r="BO91" s="290">
        <v>300000000</v>
      </c>
      <c r="BP91" s="273">
        <f>+Z91+AC91+AF91+AI91+AL91+AO91+AR91+AU91+AX91+BA91+BD91+BG91+BJ91+BM91</f>
        <v>390000000</v>
      </c>
      <c r="BQ91" s="273">
        <f>+AA91+AD91+AG91+AJ91+AM91+AP91+AS91+AV91+AY91+BB91+BE91+BH91+BK91+BN91</f>
        <v>350000000</v>
      </c>
      <c r="BR91" s="273">
        <f>+AB91+AE91+AH91+AK91+AN91+AQ91+AT91+AW91+AZ91+BC91+BF91+BI91+BL91+BO91</f>
        <v>350000000</v>
      </c>
      <c r="BS91" s="247" t="s">
        <v>1651</v>
      </c>
      <c r="BT91" s="233"/>
    </row>
    <row r="92" spans="1:72" s="27" customFormat="1" ht="156.75" customHeight="1" x14ac:dyDescent="0.2">
      <c r="A92" s="217">
        <v>312</v>
      </c>
      <c r="B92" s="216" t="s">
        <v>1622</v>
      </c>
      <c r="C92" s="213">
        <v>2</v>
      </c>
      <c r="D92" s="216" t="s">
        <v>1621</v>
      </c>
      <c r="E92" s="213">
        <v>17</v>
      </c>
      <c r="F92" s="216" t="s">
        <v>451</v>
      </c>
      <c r="G92" s="213">
        <v>1702</v>
      </c>
      <c r="H92" s="216" t="s">
        <v>452</v>
      </c>
      <c r="I92" s="213">
        <v>1702</v>
      </c>
      <c r="J92" s="216" t="s">
        <v>1575</v>
      </c>
      <c r="K92" s="216" t="s">
        <v>453</v>
      </c>
      <c r="L92" s="338">
        <v>1702017</v>
      </c>
      <c r="M92" s="216" t="s">
        <v>466</v>
      </c>
      <c r="N92" s="338">
        <v>1702017</v>
      </c>
      <c r="O92" s="216" t="s">
        <v>466</v>
      </c>
      <c r="P92" s="74" t="s">
        <v>467</v>
      </c>
      <c r="Q92" s="216" t="s">
        <v>468</v>
      </c>
      <c r="R92" s="74" t="s">
        <v>467</v>
      </c>
      <c r="S92" s="216" t="s">
        <v>468</v>
      </c>
      <c r="T92" s="236" t="s">
        <v>1673</v>
      </c>
      <c r="U92" s="76">
        <f>750+10</f>
        <v>760</v>
      </c>
      <c r="V92" s="76">
        <v>760</v>
      </c>
      <c r="W92" s="236" t="s">
        <v>469</v>
      </c>
      <c r="X92" s="216" t="s">
        <v>470</v>
      </c>
      <c r="Y92" s="216" t="s">
        <v>471</v>
      </c>
      <c r="Z92" s="337"/>
      <c r="AA92" s="337"/>
      <c r="AB92" s="337"/>
      <c r="AC92" s="337"/>
      <c r="AD92" s="337"/>
      <c r="AE92" s="337"/>
      <c r="AF92" s="337"/>
      <c r="AG92" s="337"/>
      <c r="AH92" s="337"/>
      <c r="AI92" s="337"/>
      <c r="AJ92" s="337"/>
      <c r="AK92" s="337"/>
      <c r="AL92" s="337"/>
      <c r="AM92" s="337"/>
      <c r="AN92" s="337"/>
      <c r="AO92" s="337"/>
      <c r="AP92" s="337"/>
      <c r="AQ92" s="337"/>
      <c r="AR92" s="337"/>
      <c r="AS92" s="337"/>
      <c r="AT92" s="337"/>
      <c r="AU92" s="337"/>
      <c r="AV92" s="337"/>
      <c r="AW92" s="337"/>
      <c r="AX92" s="337"/>
      <c r="AY92" s="337"/>
      <c r="AZ92" s="337"/>
      <c r="BA92" s="337"/>
      <c r="BB92" s="337"/>
      <c r="BC92" s="337"/>
      <c r="BD92" s="235">
        <v>465052526.97000003</v>
      </c>
      <c r="BE92" s="235">
        <v>388229666</v>
      </c>
      <c r="BF92" s="235">
        <v>388229666</v>
      </c>
      <c r="BG92" s="336"/>
      <c r="BH92" s="336"/>
      <c r="BI92" s="336"/>
      <c r="BJ92" s="336"/>
      <c r="BK92" s="336"/>
      <c r="BL92" s="336"/>
      <c r="BM92" s="336"/>
      <c r="BN92" s="336"/>
      <c r="BO92" s="336"/>
      <c r="BP92" s="273">
        <f t="shared" si="24"/>
        <v>465052526.97000003</v>
      </c>
      <c r="BQ92" s="273">
        <f t="shared" si="25"/>
        <v>388229666</v>
      </c>
      <c r="BR92" s="273">
        <f t="shared" si="26"/>
        <v>388229666</v>
      </c>
      <c r="BS92" s="247" t="s">
        <v>1651</v>
      </c>
      <c r="BT92" s="233"/>
    </row>
    <row r="93" spans="1:72" s="27" customFormat="1" ht="141" customHeight="1" x14ac:dyDescent="0.2">
      <c r="A93" s="217">
        <v>312</v>
      </c>
      <c r="B93" s="216" t="s">
        <v>1622</v>
      </c>
      <c r="C93" s="213">
        <v>2</v>
      </c>
      <c r="D93" s="216" t="s">
        <v>1621</v>
      </c>
      <c r="E93" s="213">
        <v>17</v>
      </c>
      <c r="F93" s="216" t="s">
        <v>451</v>
      </c>
      <c r="G93" s="213">
        <v>1702</v>
      </c>
      <c r="H93" s="216" t="s">
        <v>452</v>
      </c>
      <c r="I93" s="213">
        <v>1702</v>
      </c>
      <c r="J93" s="216" t="s">
        <v>1575</v>
      </c>
      <c r="K93" s="216" t="s">
        <v>453</v>
      </c>
      <c r="L93" s="304">
        <v>1702014</v>
      </c>
      <c r="M93" s="216" t="s">
        <v>472</v>
      </c>
      <c r="N93" s="304">
        <v>1702014</v>
      </c>
      <c r="O93" s="216" t="s">
        <v>472</v>
      </c>
      <c r="P93" s="74" t="s">
        <v>473</v>
      </c>
      <c r="Q93" s="311" t="s">
        <v>474</v>
      </c>
      <c r="R93" s="74" t="s">
        <v>473</v>
      </c>
      <c r="S93" s="311" t="s">
        <v>474</v>
      </c>
      <c r="T93" s="236" t="s">
        <v>1673</v>
      </c>
      <c r="U93" s="76">
        <f>25+25</f>
        <v>50</v>
      </c>
      <c r="V93" s="76">
        <v>50</v>
      </c>
      <c r="W93" s="236" t="s">
        <v>469</v>
      </c>
      <c r="X93" s="216" t="s">
        <v>470</v>
      </c>
      <c r="Y93" s="216" t="s">
        <v>471</v>
      </c>
      <c r="Z93" s="337"/>
      <c r="AA93" s="337"/>
      <c r="AB93" s="337"/>
      <c r="AC93" s="337"/>
      <c r="AD93" s="337"/>
      <c r="AE93" s="337"/>
      <c r="AF93" s="337"/>
      <c r="AG93" s="337"/>
      <c r="AH93" s="337"/>
      <c r="AI93" s="337"/>
      <c r="AJ93" s="337"/>
      <c r="AK93" s="337"/>
      <c r="AL93" s="337"/>
      <c r="AM93" s="337"/>
      <c r="AN93" s="337"/>
      <c r="AO93" s="337"/>
      <c r="AP93" s="337"/>
      <c r="AQ93" s="337"/>
      <c r="AR93" s="337"/>
      <c r="AS93" s="337"/>
      <c r="AT93" s="337"/>
      <c r="AU93" s="337"/>
      <c r="AV93" s="337"/>
      <c r="AW93" s="337"/>
      <c r="AX93" s="337"/>
      <c r="AY93" s="337"/>
      <c r="AZ93" s="337"/>
      <c r="BA93" s="337"/>
      <c r="BB93" s="337"/>
      <c r="BC93" s="337"/>
      <c r="BD93" s="235">
        <v>45000000</v>
      </c>
      <c r="BE93" s="235">
        <v>0</v>
      </c>
      <c r="BF93" s="235">
        <v>0</v>
      </c>
      <c r="BG93" s="336"/>
      <c r="BH93" s="336"/>
      <c r="BI93" s="336"/>
      <c r="BJ93" s="336"/>
      <c r="BK93" s="336"/>
      <c r="BL93" s="336"/>
      <c r="BM93" s="336"/>
      <c r="BN93" s="336"/>
      <c r="BO93" s="336"/>
      <c r="BP93" s="273">
        <f t="shared" si="24"/>
        <v>45000000</v>
      </c>
      <c r="BQ93" s="273">
        <f t="shared" si="25"/>
        <v>0</v>
      </c>
      <c r="BR93" s="273">
        <f t="shared" si="26"/>
        <v>0</v>
      </c>
      <c r="BS93" s="247" t="s">
        <v>1651</v>
      </c>
      <c r="BT93" s="233"/>
    </row>
    <row r="94" spans="1:72" s="27" customFormat="1" ht="147" customHeight="1" x14ac:dyDescent="0.2">
      <c r="A94" s="217">
        <v>312</v>
      </c>
      <c r="B94" s="216" t="s">
        <v>1622</v>
      </c>
      <c r="C94" s="213">
        <v>2</v>
      </c>
      <c r="D94" s="216" t="s">
        <v>1621</v>
      </c>
      <c r="E94" s="213">
        <v>17</v>
      </c>
      <c r="F94" s="216" t="s">
        <v>451</v>
      </c>
      <c r="G94" s="213">
        <v>1702</v>
      </c>
      <c r="H94" s="216" t="s">
        <v>452</v>
      </c>
      <c r="I94" s="213">
        <v>1702</v>
      </c>
      <c r="J94" s="216" t="s">
        <v>1575</v>
      </c>
      <c r="K94" s="216" t="s">
        <v>453</v>
      </c>
      <c r="L94" s="304">
        <v>1702021</v>
      </c>
      <c r="M94" s="216" t="s">
        <v>475</v>
      </c>
      <c r="N94" s="304">
        <v>1702021</v>
      </c>
      <c r="O94" s="216" t="s">
        <v>475</v>
      </c>
      <c r="P94" s="74" t="s">
        <v>476</v>
      </c>
      <c r="Q94" s="311" t="s">
        <v>477</v>
      </c>
      <c r="R94" s="74">
        <v>170202100</v>
      </c>
      <c r="S94" s="311" t="s">
        <v>477</v>
      </c>
      <c r="T94" s="236" t="s">
        <v>1673</v>
      </c>
      <c r="U94" s="76">
        <f>150+50</f>
        <v>200</v>
      </c>
      <c r="V94" s="76">
        <v>225</v>
      </c>
      <c r="W94" s="236" t="s">
        <v>469</v>
      </c>
      <c r="X94" s="216" t="s">
        <v>470</v>
      </c>
      <c r="Y94" s="216" t="s">
        <v>471</v>
      </c>
      <c r="Z94" s="337"/>
      <c r="AA94" s="337"/>
      <c r="AB94" s="337"/>
      <c r="AC94" s="337"/>
      <c r="AD94" s="337"/>
      <c r="AE94" s="337"/>
      <c r="AF94" s="337"/>
      <c r="AG94" s="337"/>
      <c r="AH94" s="337"/>
      <c r="AI94" s="337"/>
      <c r="AJ94" s="337"/>
      <c r="AK94" s="337"/>
      <c r="AL94" s="337"/>
      <c r="AM94" s="337"/>
      <c r="AN94" s="337"/>
      <c r="AO94" s="337"/>
      <c r="AP94" s="337"/>
      <c r="AQ94" s="337"/>
      <c r="AR94" s="337"/>
      <c r="AS94" s="337"/>
      <c r="AT94" s="337"/>
      <c r="AU94" s="337"/>
      <c r="AV94" s="337"/>
      <c r="AW94" s="337"/>
      <c r="AX94" s="337"/>
      <c r="AY94" s="337"/>
      <c r="AZ94" s="337"/>
      <c r="BA94" s="337"/>
      <c r="BB94" s="337"/>
      <c r="BC94" s="337"/>
      <c r="BD94" s="235">
        <v>20000000</v>
      </c>
      <c r="BE94" s="235">
        <v>11651333</v>
      </c>
      <c r="BF94" s="235">
        <v>11651333</v>
      </c>
      <c r="BG94" s="336"/>
      <c r="BH94" s="336"/>
      <c r="BI94" s="336"/>
      <c r="BJ94" s="336"/>
      <c r="BK94" s="336"/>
      <c r="BL94" s="336"/>
      <c r="BM94" s="336"/>
      <c r="BN94" s="336"/>
      <c r="BO94" s="336"/>
      <c r="BP94" s="273">
        <f t="shared" si="24"/>
        <v>20000000</v>
      </c>
      <c r="BQ94" s="273">
        <f t="shared" si="25"/>
        <v>11651333</v>
      </c>
      <c r="BR94" s="273">
        <f t="shared" si="26"/>
        <v>11651333</v>
      </c>
      <c r="BS94" s="247" t="s">
        <v>1651</v>
      </c>
      <c r="BT94" s="233"/>
    </row>
    <row r="95" spans="1:72" s="27" customFormat="1" ht="125.25" customHeight="1" x14ac:dyDescent="0.2">
      <c r="A95" s="217">
        <v>312</v>
      </c>
      <c r="B95" s="216" t="s">
        <v>1622</v>
      </c>
      <c r="C95" s="213">
        <v>2</v>
      </c>
      <c r="D95" s="216" t="s">
        <v>1621</v>
      </c>
      <c r="E95" s="213">
        <v>17</v>
      </c>
      <c r="F95" s="216" t="s">
        <v>451</v>
      </c>
      <c r="G95" s="213">
        <v>1702</v>
      </c>
      <c r="H95" s="216" t="s">
        <v>452</v>
      </c>
      <c r="I95" s="213">
        <v>1702</v>
      </c>
      <c r="J95" s="216" t="s">
        <v>1575</v>
      </c>
      <c r="K95" s="216" t="s">
        <v>453</v>
      </c>
      <c r="L95" s="304">
        <v>1702038</v>
      </c>
      <c r="M95" s="216" t="s">
        <v>478</v>
      </c>
      <c r="N95" s="304">
        <v>1702038</v>
      </c>
      <c r="O95" s="216" t="s">
        <v>478</v>
      </c>
      <c r="P95" s="213" t="s">
        <v>479</v>
      </c>
      <c r="Q95" s="216" t="s">
        <v>480</v>
      </c>
      <c r="R95" s="213" t="s">
        <v>479</v>
      </c>
      <c r="S95" s="216" t="s">
        <v>480</v>
      </c>
      <c r="T95" s="236" t="s">
        <v>1671</v>
      </c>
      <c r="U95" s="76">
        <v>30</v>
      </c>
      <c r="V95" s="76">
        <v>30</v>
      </c>
      <c r="W95" s="236" t="s">
        <v>481</v>
      </c>
      <c r="X95" s="296" t="s">
        <v>482</v>
      </c>
      <c r="Y95" s="216" t="s">
        <v>483</v>
      </c>
      <c r="Z95" s="337"/>
      <c r="AA95" s="337"/>
      <c r="AB95" s="337"/>
      <c r="AC95" s="337"/>
      <c r="AD95" s="337"/>
      <c r="AE95" s="337"/>
      <c r="AF95" s="337"/>
      <c r="AG95" s="337"/>
      <c r="AH95" s="337"/>
      <c r="AI95" s="337"/>
      <c r="AJ95" s="337"/>
      <c r="AK95" s="337"/>
      <c r="AL95" s="337"/>
      <c r="AM95" s="337"/>
      <c r="AN95" s="337"/>
      <c r="AO95" s="337"/>
      <c r="AP95" s="337"/>
      <c r="AQ95" s="337"/>
      <c r="AR95" s="337"/>
      <c r="AS95" s="337"/>
      <c r="AT95" s="337"/>
      <c r="AU95" s="337"/>
      <c r="AV95" s="337"/>
      <c r="AW95" s="337"/>
      <c r="AX95" s="337"/>
      <c r="AY95" s="337"/>
      <c r="AZ95" s="337"/>
      <c r="BA95" s="337"/>
      <c r="BB95" s="337"/>
      <c r="BC95" s="337"/>
      <c r="BD95" s="235">
        <v>65000000</v>
      </c>
      <c r="BE95" s="235">
        <v>65000000</v>
      </c>
      <c r="BF95" s="235">
        <v>65000000</v>
      </c>
      <c r="BG95" s="266"/>
      <c r="BH95" s="336"/>
      <c r="BI95" s="336"/>
      <c r="BJ95" s="336"/>
      <c r="BK95" s="336"/>
      <c r="BL95" s="336"/>
      <c r="BM95" s="558">
        <v>105606585.66</v>
      </c>
      <c r="BN95" s="235"/>
      <c r="BO95" s="235">
        <v>0</v>
      </c>
      <c r="BP95" s="273">
        <f>+Z95+AC95+AF95+AI95+AL95+AO95+AR95+AU95+AX95+BA95+BD95+BG95+BJ95+BM95</f>
        <v>170606585.66</v>
      </c>
      <c r="BQ95" s="273">
        <f>+AA95+AD95+AG95+AJ95+AM95+AP95+AS95+AV95+AY95+BB95+BE95+BH95+BK95+BN95</f>
        <v>65000000</v>
      </c>
      <c r="BR95" s="273">
        <f>+AB95+AE95+AH95+AK95+AN95+AQ95+AT95+AW95+AZ95+BC95+BF95+BI95+BL95+BO95</f>
        <v>65000000</v>
      </c>
      <c r="BS95" s="247" t="s">
        <v>1651</v>
      </c>
      <c r="BT95" s="233"/>
    </row>
    <row r="96" spans="1:72" s="27" customFormat="1" ht="120" customHeight="1" x14ac:dyDescent="0.2">
      <c r="A96" s="217">
        <v>312</v>
      </c>
      <c r="B96" s="216" t="s">
        <v>1622</v>
      </c>
      <c r="C96" s="213">
        <v>2</v>
      </c>
      <c r="D96" s="216" t="s">
        <v>1621</v>
      </c>
      <c r="E96" s="213">
        <v>17</v>
      </c>
      <c r="F96" s="216" t="s">
        <v>451</v>
      </c>
      <c r="G96" s="213">
        <v>1702</v>
      </c>
      <c r="H96" s="214" t="s">
        <v>452</v>
      </c>
      <c r="I96" s="213">
        <v>1702</v>
      </c>
      <c r="J96" s="214" t="s">
        <v>1575</v>
      </c>
      <c r="K96" s="216" t="s">
        <v>453</v>
      </c>
      <c r="L96" s="304">
        <v>1702038</v>
      </c>
      <c r="M96" s="216" t="s">
        <v>478</v>
      </c>
      <c r="N96" s="304">
        <v>1702038</v>
      </c>
      <c r="O96" s="216" t="s">
        <v>478</v>
      </c>
      <c r="P96" s="213" t="s">
        <v>484</v>
      </c>
      <c r="Q96" s="216" t="s">
        <v>485</v>
      </c>
      <c r="R96" s="213" t="s">
        <v>484</v>
      </c>
      <c r="S96" s="216" t="s">
        <v>485</v>
      </c>
      <c r="T96" s="236" t="s">
        <v>1673</v>
      </c>
      <c r="U96" s="76">
        <f>80+10</f>
        <v>90</v>
      </c>
      <c r="V96" s="76">
        <v>90</v>
      </c>
      <c r="W96" s="236" t="s">
        <v>481</v>
      </c>
      <c r="X96" s="296" t="s">
        <v>482</v>
      </c>
      <c r="Y96" s="216" t="s">
        <v>483</v>
      </c>
      <c r="Z96" s="337"/>
      <c r="AA96" s="337"/>
      <c r="AB96" s="337"/>
      <c r="AC96" s="337"/>
      <c r="AD96" s="337"/>
      <c r="AE96" s="337"/>
      <c r="AF96" s="337"/>
      <c r="AG96" s="337"/>
      <c r="AH96" s="337"/>
      <c r="AI96" s="337"/>
      <c r="AJ96" s="337"/>
      <c r="AK96" s="337"/>
      <c r="AL96" s="337"/>
      <c r="AM96" s="337"/>
      <c r="AN96" s="337"/>
      <c r="AO96" s="337"/>
      <c r="AP96" s="337"/>
      <c r="AQ96" s="337"/>
      <c r="AR96" s="337"/>
      <c r="AS96" s="337"/>
      <c r="AT96" s="337"/>
      <c r="AU96" s="337"/>
      <c r="AV96" s="337"/>
      <c r="AW96" s="337"/>
      <c r="AX96" s="337"/>
      <c r="AY96" s="337"/>
      <c r="AZ96" s="337"/>
      <c r="BA96" s="337"/>
      <c r="BB96" s="337"/>
      <c r="BC96" s="337"/>
      <c r="BD96" s="235">
        <v>18000000</v>
      </c>
      <c r="BE96" s="235">
        <v>13670000</v>
      </c>
      <c r="BF96" s="235">
        <v>13670000</v>
      </c>
      <c r="BG96" s="336"/>
      <c r="BH96" s="336"/>
      <c r="BI96" s="336"/>
      <c r="BJ96" s="336"/>
      <c r="BK96" s="336"/>
      <c r="BL96" s="336"/>
      <c r="BM96" s="336"/>
      <c r="BN96" s="336"/>
      <c r="BO96" s="336"/>
      <c r="BP96" s="273">
        <f t="shared" si="24"/>
        <v>18000000</v>
      </c>
      <c r="BQ96" s="273">
        <f t="shared" si="25"/>
        <v>13670000</v>
      </c>
      <c r="BR96" s="273">
        <f t="shared" si="26"/>
        <v>13670000</v>
      </c>
      <c r="BS96" s="247" t="s">
        <v>1651</v>
      </c>
      <c r="BT96" s="233"/>
    </row>
    <row r="97" spans="1:72" s="27" customFormat="1" ht="115.5" customHeight="1" x14ac:dyDescent="0.2">
      <c r="A97" s="217">
        <v>312</v>
      </c>
      <c r="B97" s="216" t="s">
        <v>1622</v>
      </c>
      <c r="C97" s="213">
        <v>2</v>
      </c>
      <c r="D97" s="216" t="s">
        <v>1621</v>
      </c>
      <c r="E97" s="213">
        <v>17</v>
      </c>
      <c r="F97" s="216" t="s">
        <v>451</v>
      </c>
      <c r="G97" s="213">
        <v>1702</v>
      </c>
      <c r="H97" s="216" t="s">
        <v>452</v>
      </c>
      <c r="I97" s="213">
        <v>1702</v>
      </c>
      <c r="J97" s="216" t="s">
        <v>1575</v>
      </c>
      <c r="K97" s="216" t="s">
        <v>453</v>
      </c>
      <c r="L97" s="304">
        <v>1702023</v>
      </c>
      <c r="M97" s="216" t="s">
        <v>233</v>
      </c>
      <c r="N97" s="304">
        <v>1702023</v>
      </c>
      <c r="O97" s="216" t="s">
        <v>233</v>
      </c>
      <c r="P97" s="213" t="s">
        <v>486</v>
      </c>
      <c r="Q97" s="216" t="s">
        <v>487</v>
      </c>
      <c r="R97" s="213">
        <v>170202301</v>
      </c>
      <c r="S97" s="216" t="s">
        <v>487</v>
      </c>
      <c r="T97" s="236" t="s">
        <v>1671</v>
      </c>
      <c r="U97" s="76">
        <v>1</v>
      </c>
      <c r="V97" s="76">
        <v>1</v>
      </c>
      <c r="W97" s="236" t="s">
        <v>488</v>
      </c>
      <c r="X97" s="216" t="s">
        <v>489</v>
      </c>
      <c r="Y97" s="216" t="s">
        <v>490</v>
      </c>
      <c r="Z97" s="337"/>
      <c r="AA97" s="337"/>
      <c r="AB97" s="337"/>
      <c r="AC97" s="337"/>
      <c r="AD97" s="337"/>
      <c r="AE97" s="337"/>
      <c r="AF97" s="337"/>
      <c r="AG97" s="337"/>
      <c r="AH97" s="337"/>
      <c r="AI97" s="337"/>
      <c r="AJ97" s="337"/>
      <c r="AK97" s="337"/>
      <c r="AL97" s="337"/>
      <c r="AM97" s="337"/>
      <c r="AN97" s="337"/>
      <c r="AO97" s="337"/>
      <c r="AP97" s="337"/>
      <c r="AQ97" s="337"/>
      <c r="AR97" s="337"/>
      <c r="AS97" s="337"/>
      <c r="AT97" s="337"/>
      <c r="AU97" s="337"/>
      <c r="AV97" s="337"/>
      <c r="AW97" s="337"/>
      <c r="AX97" s="337"/>
      <c r="AY97" s="337"/>
      <c r="AZ97" s="337"/>
      <c r="BA97" s="337"/>
      <c r="BB97" s="337"/>
      <c r="BC97" s="337"/>
      <c r="BD97" s="381">
        <f>45000000-11512613</f>
        <v>33487387</v>
      </c>
      <c r="BE97" s="235">
        <v>32310000</v>
      </c>
      <c r="BF97" s="235">
        <v>32310000</v>
      </c>
      <c r="BG97" s="336"/>
      <c r="BH97" s="336"/>
      <c r="BI97" s="336"/>
      <c r="BJ97" s="336"/>
      <c r="BK97" s="336"/>
      <c r="BL97" s="336"/>
      <c r="BM97" s="336"/>
      <c r="BN97" s="336"/>
      <c r="BO97" s="336"/>
      <c r="BP97" s="273">
        <f t="shared" si="24"/>
        <v>33487387</v>
      </c>
      <c r="BQ97" s="273">
        <f t="shared" si="25"/>
        <v>32310000</v>
      </c>
      <c r="BR97" s="273">
        <f t="shared" si="26"/>
        <v>32310000</v>
      </c>
      <c r="BS97" s="247" t="s">
        <v>1651</v>
      </c>
      <c r="BT97" s="233"/>
    </row>
    <row r="98" spans="1:72" s="27" customFormat="1" ht="108" customHeight="1" x14ac:dyDescent="0.2">
      <c r="A98" s="217">
        <v>312</v>
      </c>
      <c r="B98" s="216" t="s">
        <v>1622</v>
      </c>
      <c r="C98" s="213">
        <v>2</v>
      </c>
      <c r="D98" s="216" t="s">
        <v>1621</v>
      </c>
      <c r="E98" s="213">
        <v>17</v>
      </c>
      <c r="F98" s="216" t="s">
        <v>451</v>
      </c>
      <c r="G98" s="213">
        <v>1702</v>
      </c>
      <c r="H98" s="216" t="s">
        <v>452</v>
      </c>
      <c r="I98" s="213">
        <v>1702</v>
      </c>
      <c r="J98" s="216" t="s">
        <v>1575</v>
      </c>
      <c r="K98" s="216" t="s">
        <v>453</v>
      </c>
      <c r="L98" s="304">
        <v>1702024</v>
      </c>
      <c r="M98" s="216" t="s">
        <v>491</v>
      </c>
      <c r="N98" s="304">
        <v>1702024</v>
      </c>
      <c r="O98" s="216" t="s">
        <v>491</v>
      </c>
      <c r="P98" s="74" t="s">
        <v>492</v>
      </c>
      <c r="Q98" s="216" t="s">
        <v>493</v>
      </c>
      <c r="R98" s="74" t="s">
        <v>492</v>
      </c>
      <c r="S98" s="216" t="s">
        <v>493</v>
      </c>
      <c r="T98" s="236" t="s">
        <v>1671</v>
      </c>
      <c r="U98" s="76">
        <v>12</v>
      </c>
      <c r="V98" s="76">
        <v>12</v>
      </c>
      <c r="W98" s="236" t="s">
        <v>488</v>
      </c>
      <c r="X98" s="216" t="s">
        <v>489</v>
      </c>
      <c r="Y98" s="216" t="s">
        <v>490</v>
      </c>
      <c r="Z98" s="337"/>
      <c r="AA98" s="337"/>
      <c r="AB98" s="337"/>
      <c r="AC98" s="337"/>
      <c r="AD98" s="337"/>
      <c r="AE98" s="337"/>
      <c r="AF98" s="337"/>
      <c r="AG98" s="337"/>
      <c r="AH98" s="337"/>
      <c r="AI98" s="337"/>
      <c r="AJ98" s="337"/>
      <c r="AK98" s="337"/>
      <c r="AL98" s="337"/>
      <c r="AM98" s="337"/>
      <c r="AN98" s="337"/>
      <c r="AO98" s="337"/>
      <c r="AP98" s="337"/>
      <c r="AQ98" s="337"/>
      <c r="AR98" s="337"/>
      <c r="AS98" s="337"/>
      <c r="AT98" s="337"/>
      <c r="AU98" s="337"/>
      <c r="AV98" s="337"/>
      <c r="AW98" s="337"/>
      <c r="AX98" s="337"/>
      <c r="AY98" s="337"/>
      <c r="AZ98" s="337"/>
      <c r="BA98" s="337"/>
      <c r="BB98" s="337"/>
      <c r="BC98" s="337"/>
      <c r="BD98" s="381">
        <f>45000000-245000</f>
        <v>44755000</v>
      </c>
      <c r="BE98" s="235">
        <v>44755000</v>
      </c>
      <c r="BF98" s="235">
        <v>44755000</v>
      </c>
      <c r="BG98" s="336"/>
      <c r="BH98" s="336"/>
      <c r="BI98" s="336"/>
      <c r="BJ98" s="336"/>
      <c r="BK98" s="336"/>
      <c r="BL98" s="336"/>
      <c r="BM98" s="336"/>
      <c r="BN98" s="336"/>
      <c r="BO98" s="336"/>
      <c r="BP98" s="273">
        <f t="shared" si="24"/>
        <v>44755000</v>
      </c>
      <c r="BQ98" s="273">
        <f t="shared" si="25"/>
        <v>44755000</v>
      </c>
      <c r="BR98" s="273">
        <f t="shared" si="26"/>
        <v>44755000</v>
      </c>
      <c r="BS98" s="247" t="s">
        <v>1651</v>
      </c>
      <c r="BT98" s="233"/>
    </row>
    <row r="99" spans="1:72" s="27" customFormat="1" ht="150" customHeight="1" x14ac:dyDescent="0.2">
      <c r="A99" s="217">
        <v>312</v>
      </c>
      <c r="B99" s="216" t="s">
        <v>1622</v>
      </c>
      <c r="C99" s="213">
        <v>2</v>
      </c>
      <c r="D99" s="216" t="s">
        <v>1621</v>
      </c>
      <c r="E99" s="213">
        <v>17</v>
      </c>
      <c r="F99" s="216" t="s">
        <v>451</v>
      </c>
      <c r="G99" s="213">
        <v>1702</v>
      </c>
      <c r="H99" s="216" t="s">
        <v>452</v>
      </c>
      <c r="I99" s="213">
        <v>1702</v>
      </c>
      <c r="J99" s="216" t="s">
        <v>1575</v>
      </c>
      <c r="K99" s="216" t="s">
        <v>453</v>
      </c>
      <c r="L99" s="304">
        <v>1702025</v>
      </c>
      <c r="M99" s="216" t="s">
        <v>494</v>
      </c>
      <c r="N99" s="304">
        <v>1702025</v>
      </c>
      <c r="O99" s="216" t="s">
        <v>494</v>
      </c>
      <c r="P99" s="74" t="s">
        <v>495</v>
      </c>
      <c r="Q99" s="311" t="s">
        <v>496</v>
      </c>
      <c r="R99" s="74" t="s">
        <v>495</v>
      </c>
      <c r="S99" s="311" t="s">
        <v>496</v>
      </c>
      <c r="T99" s="236" t="s">
        <v>1673</v>
      </c>
      <c r="U99" s="76">
        <v>25</v>
      </c>
      <c r="V99" s="76">
        <v>28</v>
      </c>
      <c r="W99" s="236" t="s">
        <v>497</v>
      </c>
      <c r="X99" s="214" t="s">
        <v>498</v>
      </c>
      <c r="Y99" s="216" t="s">
        <v>499</v>
      </c>
      <c r="Z99" s="337"/>
      <c r="AA99" s="337"/>
      <c r="AB99" s="337"/>
      <c r="AC99" s="337"/>
      <c r="AD99" s="337"/>
      <c r="AE99" s="337"/>
      <c r="AF99" s="337"/>
      <c r="AG99" s="337"/>
      <c r="AH99" s="337"/>
      <c r="AI99" s="337"/>
      <c r="AJ99" s="337"/>
      <c r="AK99" s="337"/>
      <c r="AL99" s="337"/>
      <c r="AM99" s="337"/>
      <c r="AN99" s="337"/>
      <c r="AO99" s="337"/>
      <c r="AP99" s="337"/>
      <c r="AQ99" s="337"/>
      <c r="AR99" s="337"/>
      <c r="AS99" s="337"/>
      <c r="AT99" s="337"/>
      <c r="AU99" s="337"/>
      <c r="AV99" s="337"/>
      <c r="AW99" s="337"/>
      <c r="AX99" s="337"/>
      <c r="AY99" s="337"/>
      <c r="AZ99" s="337"/>
      <c r="BA99" s="337"/>
      <c r="BB99" s="337"/>
      <c r="BC99" s="337"/>
      <c r="BD99" s="235">
        <v>27000000</v>
      </c>
      <c r="BE99" s="235">
        <v>26940000</v>
      </c>
      <c r="BF99" s="235">
        <v>26940000</v>
      </c>
      <c r="BG99" s="336"/>
      <c r="BH99" s="336"/>
      <c r="BI99" s="336"/>
      <c r="BJ99" s="336"/>
      <c r="BK99" s="336"/>
      <c r="BL99" s="336"/>
      <c r="BM99" s="336"/>
      <c r="BN99" s="336"/>
      <c r="BO99" s="336"/>
      <c r="BP99" s="273">
        <f t="shared" si="24"/>
        <v>27000000</v>
      </c>
      <c r="BQ99" s="273">
        <f t="shared" si="25"/>
        <v>26940000</v>
      </c>
      <c r="BR99" s="273">
        <f t="shared" si="26"/>
        <v>26940000</v>
      </c>
      <c r="BS99" s="247" t="s">
        <v>1651</v>
      </c>
      <c r="BT99" s="233"/>
    </row>
    <row r="100" spans="1:72" s="27" customFormat="1" ht="187.5" customHeight="1" x14ac:dyDescent="0.2">
      <c r="A100" s="217">
        <v>312</v>
      </c>
      <c r="B100" s="216" t="s">
        <v>1622</v>
      </c>
      <c r="C100" s="213">
        <v>2</v>
      </c>
      <c r="D100" s="216" t="s">
        <v>1621</v>
      </c>
      <c r="E100" s="213">
        <v>17</v>
      </c>
      <c r="F100" s="216" t="s">
        <v>451</v>
      </c>
      <c r="G100" s="213">
        <v>1703</v>
      </c>
      <c r="H100" s="216" t="s">
        <v>500</v>
      </c>
      <c r="I100" s="213">
        <v>1703</v>
      </c>
      <c r="J100" s="216" t="s">
        <v>1576</v>
      </c>
      <c r="K100" s="216" t="s">
        <v>453</v>
      </c>
      <c r="L100" s="304">
        <v>1703013</v>
      </c>
      <c r="M100" s="216" t="s">
        <v>501</v>
      </c>
      <c r="N100" s="304">
        <v>1703013</v>
      </c>
      <c r="O100" s="216" t="s">
        <v>501</v>
      </c>
      <c r="P100" s="74" t="s">
        <v>502</v>
      </c>
      <c r="Q100" s="311" t="s">
        <v>503</v>
      </c>
      <c r="R100" s="74" t="s">
        <v>502</v>
      </c>
      <c r="S100" s="311" t="s">
        <v>503</v>
      </c>
      <c r="T100" s="236" t="s">
        <v>1673</v>
      </c>
      <c r="U100" s="76">
        <v>100</v>
      </c>
      <c r="V100" s="76">
        <v>100</v>
      </c>
      <c r="W100" s="236" t="s">
        <v>504</v>
      </c>
      <c r="X100" s="214" t="s">
        <v>505</v>
      </c>
      <c r="Y100" s="216" t="s">
        <v>506</v>
      </c>
      <c r="Z100" s="337"/>
      <c r="AA100" s="337"/>
      <c r="AB100" s="337"/>
      <c r="AC100" s="337"/>
      <c r="AD100" s="337"/>
      <c r="AE100" s="337"/>
      <c r="AF100" s="337"/>
      <c r="AG100" s="337"/>
      <c r="AH100" s="337"/>
      <c r="AI100" s="337"/>
      <c r="AJ100" s="337"/>
      <c r="AK100" s="337"/>
      <c r="AL100" s="337"/>
      <c r="AM100" s="337"/>
      <c r="AN100" s="337"/>
      <c r="AO100" s="337"/>
      <c r="AP100" s="337"/>
      <c r="AQ100" s="337"/>
      <c r="AR100" s="337"/>
      <c r="AS100" s="337"/>
      <c r="AT100" s="337"/>
      <c r="AU100" s="337"/>
      <c r="AV100" s="337"/>
      <c r="AW100" s="337"/>
      <c r="AX100" s="337"/>
      <c r="AY100" s="337"/>
      <c r="AZ100" s="337"/>
      <c r="BA100" s="337"/>
      <c r="BB100" s="337"/>
      <c r="BC100" s="337"/>
      <c r="BD100" s="235">
        <v>75000000</v>
      </c>
      <c r="BE100" s="235">
        <v>74995000</v>
      </c>
      <c r="BF100" s="235">
        <v>74995000</v>
      </c>
      <c r="BG100" s="266"/>
      <c r="BH100" s="290"/>
      <c r="BI100" s="290">
        <v>0</v>
      </c>
      <c r="BJ100" s="336"/>
      <c r="BK100" s="336"/>
      <c r="BL100" s="336"/>
      <c r="BM100" s="235">
        <v>250000000</v>
      </c>
      <c r="BN100" s="235">
        <v>250000000</v>
      </c>
      <c r="BO100" s="290">
        <v>250000000</v>
      </c>
      <c r="BP100" s="273">
        <f>+Z100+AC100+AF100+AI100+AL100+AO100+AR100+AU100+AX100+BA100+BD100+BG100+BJ100+BM100</f>
        <v>325000000</v>
      </c>
      <c r="BQ100" s="273">
        <f>+AA100+AD100+AG100+AJ100+AM100+AP100+AS100+AV100+AY100+BB100+BE100+BH100+BK100+BN100</f>
        <v>324995000</v>
      </c>
      <c r="BR100" s="273">
        <f>+AB100+AE100+AH100+AK100+AN100+AQ100+AT100+AW100+AZ100+BC100+BF100+BI100+BL100+BO100</f>
        <v>324995000</v>
      </c>
      <c r="BS100" s="247" t="s">
        <v>1651</v>
      </c>
      <c r="BT100" s="233"/>
    </row>
    <row r="101" spans="1:72" s="27" customFormat="1" ht="136.5" customHeight="1" x14ac:dyDescent="0.2">
      <c r="A101" s="217">
        <v>312</v>
      </c>
      <c r="B101" s="216" t="s">
        <v>1622</v>
      </c>
      <c r="C101" s="213">
        <v>2</v>
      </c>
      <c r="D101" s="216" t="s">
        <v>1621</v>
      </c>
      <c r="E101" s="213">
        <v>17</v>
      </c>
      <c r="F101" s="216" t="s">
        <v>451</v>
      </c>
      <c r="G101" s="217">
        <v>1704</v>
      </c>
      <c r="H101" s="216" t="s">
        <v>507</v>
      </c>
      <c r="I101" s="217">
        <v>1704</v>
      </c>
      <c r="J101" s="216" t="s">
        <v>1577</v>
      </c>
      <c r="K101" s="216" t="s">
        <v>453</v>
      </c>
      <c r="L101" s="304">
        <v>1704002</v>
      </c>
      <c r="M101" s="216" t="s">
        <v>84</v>
      </c>
      <c r="N101" s="304">
        <v>1704002</v>
      </c>
      <c r="O101" s="216" t="s">
        <v>84</v>
      </c>
      <c r="P101" s="213" t="s">
        <v>508</v>
      </c>
      <c r="Q101" s="216" t="s">
        <v>509</v>
      </c>
      <c r="R101" s="213" t="s">
        <v>508</v>
      </c>
      <c r="S101" s="216" t="s">
        <v>509</v>
      </c>
      <c r="T101" s="236" t="s">
        <v>1671</v>
      </c>
      <c r="U101" s="76">
        <v>1</v>
      </c>
      <c r="V101" s="76">
        <v>1</v>
      </c>
      <c r="W101" s="236" t="s">
        <v>510</v>
      </c>
      <c r="X101" s="214" t="s">
        <v>511</v>
      </c>
      <c r="Y101" s="216" t="s">
        <v>512</v>
      </c>
      <c r="Z101" s="297"/>
      <c r="AA101" s="297"/>
      <c r="AB101" s="297"/>
      <c r="AC101" s="297"/>
      <c r="AD101" s="297"/>
      <c r="AE101" s="297"/>
      <c r="AF101" s="297"/>
      <c r="AG101" s="297"/>
      <c r="AH101" s="297"/>
      <c r="AI101" s="297"/>
      <c r="AJ101" s="297"/>
      <c r="AK101" s="297"/>
      <c r="AL101" s="297"/>
      <c r="AM101" s="297"/>
      <c r="AN101" s="297"/>
      <c r="AO101" s="297"/>
      <c r="AP101" s="297"/>
      <c r="AQ101" s="297"/>
      <c r="AR101" s="297"/>
      <c r="AS101" s="297"/>
      <c r="AT101" s="297"/>
      <c r="AU101" s="297"/>
      <c r="AV101" s="297"/>
      <c r="AW101" s="297"/>
      <c r="AX101" s="297"/>
      <c r="AY101" s="297"/>
      <c r="AZ101" s="297"/>
      <c r="BA101" s="297"/>
      <c r="BB101" s="297"/>
      <c r="BC101" s="297"/>
      <c r="BD101" s="381">
        <v>41255500</v>
      </c>
      <c r="BE101" s="290">
        <v>41255500</v>
      </c>
      <c r="BF101" s="290">
        <v>41255500</v>
      </c>
      <c r="BG101" s="336"/>
      <c r="BH101" s="336"/>
      <c r="BI101" s="336"/>
      <c r="BJ101" s="336"/>
      <c r="BK101" s="336"/>
      <c r="BL101" s="336"/>
      <c r="BM101" s="336"/>
      <c r="BN101" s="336"/>
      <c r="BO101" s="336"/>
      <c r="BP101" s="273">
        <f t="shared" si="24"/>
        <v>41255500</v>
      </c>
      <c r="BQ101" s="273">
        <f t="shared" ref="BQ101:BQ113" si="27">+AA101+AD101+AG101+AJ101+AM101+AP101+AS101+AV101+AY101+BB101+BE101+BH101+BK101</f>
        <v>41255500</v>
      </c>
      <c r="BR101" s="273">
        <f t="shared" ref="BR101:BR113" si="28">+AB101+AE101+AH101+AK101+AN101+AQ101+AT101+AW101+AZ101+BC101+BF101+BI101+BL101</f>
        <v>41255500</v>
      </c>
      <c r="BS101" s="247" t="s">
        <v>1651</v>
      </c>
      <c r="BT101" s="233"/>
    </row>
    <row r="102" spans="1:72" s="27" customFormat="1" ht="130.5" customHeight="1" x14ac:dyDescent="0.2">
      <c r="A102" s="217">
        <v>312</v>
      </c>
      <c r="B102" s="216" t="s">
        <v>1622</v>
      </c>
      <c r="C102" s="213">
        <v>2</v>
      </c>
      <c r="D102" s="216" t="s">
        <v>1621</v>
      </c>
      <c r="E102" s="213">
        <v>17</v>
      </c>
      <c r="F102" s="216" t="s">
        <v>451</v>
      </c>
      <c r="G102" s="217">
        <v>1704</v>
      </c>
      <c r="H102" s="216" t="s">
        <v>507</v>
      </c>
      <c r="I102" s="217">
        <v>1704</v>
      </c>
      <c r="J102" s="216" t="s">
        <v>1577</v>
      </c>
      <c r="K102" s="216" t="s">
        <v>453</v>
      </c>
      <c r="L102" s="304">
        <v>1704017</v>
      </c>
      <c r="M102" s="216" t="s">
        <v>513</v>
      </c>
      <c r="N102" s="304">
        <v>1704017</v>
      </c>
      <c r="O102" s="216" t="s">
        <v>513</v>
      </c>
      <c r="P102" s="213" t="s">
        <v>514</v>
      </c>
      <c r="Q102" s="216" t="s">
        <v>515</v>
      </c>
      <c r="R102" s="213" t="s">
        <v>514</v>
      </c>
      <c r="S102" s="216" t="s">
        <v>515</v>
      </c>
      <c r="T102" s="236" t="s">
        <v>1673</v>
      </c>
      <c r="U102" s="76">
        <v>150</v>
      </c>
      <c r="V102" s="76">
        <v>150</v>
      </c>
      <c r="W102" s="236" t="s">
        <v>510</v>
      </c>
      <c r="X102" s="214" t="s">
        <v>511</v>
      </c>
      <c r="Y102" s="216" t="s">
        <v>512</v>
      </c>
      <c r="Z102" s="297"/>
      <c r="AA102" s="297"/>
      <c r="AB102" s="297"/>
      <c r="AC102" s="297"/>
      <c r="AD102" s="297"/>
      <c r="AE102" s="297"/>
      <c r="AF102" s="297"/>
      <c r="AG102" s="297"/>
      <c r="AH102" s="297"/>
      <c r="AI102" s="297"/>
      <c r="AJ102" s="297"/>
      <c r="AK102" s="297"/>
      <c r="AL102" s="297"/>
      <c r="AM102" s="297"/>
      <c r="AN102" s="297"/>
      <c r="AO102" s="297"/>
      <c r="AP102" s="297"/>
      <c r="AQ102" s="297"/>
      <c r="AR102" s="297"/>
      <c r="AS102" s="297"/>
      <c r="AT102" s="297"/>
      <c r="AU102" s="297"/>
      <c r="AV102" s="297"/>
      <c r="AW102" s="297"/>
      <c r="AX102" s="297"/>
      <c r="AY102" s="297"/>
      <c r="AZ102" s="297"/>
      <c r="BA102" s="297"/>
      <c r="BB102" s="297"/>
      <c r="BC102" s="297"/>
      <c r="BD102" s="290">
        <v>28000000</v>
      </c>
      <c r="BE102" s="290">
        <v>27999666</v>
      </c>
      <c r="BF102" s="290">
        <v>27999666</v>
      </c>
      <c r="BG102" s="336"/>
      <c r="BH102" s="336"/>
      <c r="BI102" s="336"/>
      <c r="BJ102" s="336"/>
      <c r="BK102" s="336"/>
      <c r="BL102" s="336"/>
      <c r="BM102" s="336"/>
      <c r="BN102" s="336"/>
      <c r="BO102" s="336"/>
      <c r="BP102" s="273">
        <f t="shared" si="24"/>
        <v>28000000</v>
      </c>
      <c r="BQ102" s="273">
        <f t="shared" si="27"/>
        <v>27999666</v>
      </c>
      <c r="BR102" s="273">
        <f t="shared" si="28"/>
        <v>27999666</v>
      </c>
      <c r="BS102" s="247" t="s">
        <v>1651</v>
      </c>
      <c r="BT102" s="233"/>
    </row>
    <row r="103" spans="1:72" s="27" customFormat="1" ht="116.25" customHeight="1" x14ac:dyDescent="0.2">
      <c r="A103" s="217">
        <v>312</v>
      </c>
      <c r="B103" s="216" t="s">
        <v>1622</v>
      </c>
      <c r="C103" s="213">
        <v>2</v>
      </c>
      <c r="D103" s="216" t="s">
        <v>1621</v>
      </c>
      <c r="E103" s="213">
        <v>17</v>
      </c>
      <c r="F103" s="216" t="s">
        <v>451</v>
      </c>
      <c r="G103" s="213">
        <v>1706</v>
      </c>
      <c r="H103" s="216" t="s">
        <v>516</v>
      </c>
      <c r="I103" s="213">
        <v>1706</v>
      </c>
      <c r="J103" s="216" t="s">
        <v>1578</v>
      </c>
      <c r="K103" s="216" t="s">
        <v>453</v>
      </c>
      <c r="L103" s="304">
        <v>1706004</v>
      </c>
      <c r="M103" s="216" t="s">
        <v>517</v>
      </c>
      <c r="N103" s="304">
        <v>1706004</v>
      </c>
      <c r="O103" s="216" t="s">
        <v>517</v>
      </c>
      <c r="P103" s="213" t="s">
        <v>518</v>
      </c>
      <c r="Q103" s="216" t="s">
        <v>519</v>
      </c>
      <c r="R103" s="213" t="s">
        <v>518</v>
      </c>
      <c r="S103" s="216" t="s">
        <v>519</v>
      </c>
      <c r="T103" s="236" t="s">
        <v>1671</v>
      </c>
      <c r="U103" s="76">
        <v>10</v>
      </c>
      <c r="V103" s="76">
        <v>4</v>
      </c>
      <c r="W103" s="236" t="s">
        <v>520</v>
      </c>
      <c r="X103" s="214" t="s">
        <v>521</v>
      </c>
      <c r="Y103" s="214" t="s">
        <v>522</v>
      </c>
      <c r="Z103" s="289"/>
      <c r="AA103" s="289"/>
      <c r="AB103" s="289"/>
      <c r="AC103" s="289"/>
      <c r="AD103" s="289"/>
      <c r="AE103" s="289"/>
      <c r="AF103" s="289"/>
      <c r="AG103" s="289"/>
      <c r="AH103" s="289"/>
      <c r="AI103" s="289"/>
      <c r="AJ103" s="289"/>
      <c r="AK103" s="289"/>
      <c r="AL103" s="289"/>
      <c r="AM103" s="289"/>
      <c r="AN103" s="289"/>
      <c r="AO103" s="289"/>
      <c r="AP103" s="289"/>
      <c r="AQ103" s="289"/>
      <c r="AR103" s="289"/>
      <c r="AS103" s="289"/>
      <c r="AT103" s="289"/>
      <c r="AU103" s="289"/>
      <c r="AV103" s="289"/>
      <c r="AW103" s="289"/>
      <c r="AX103" s="289"/>
      <c r="AY103" s="289"/>
      <c r="AZ103" s="289"/>
      <c r="BA103" s="289"/>
      <c r="BB103" s="289"/>
      <c r="BC103" s="289"/>
      <c r="BD103" s="290">
        <v>20000000</v>
      </c>
      <c r="BE103" s="290">
        <v>20000000</v>
      </c>
      <c r="BF103" s="290">
        <v>20000000</v>
      </c>
      <c r="BG103" s="336"/>
      <c r="BH103" s="336"/>
      <c r="BI103" s="336"/>
      <c r="BJ103" s="336"/>
      <c r="BK103" s="336"/>
      <c r="BL103" s="336"/>
      <c r="BM103" s="336"/>
      <c r="BN103" s="336"/>
      <c r="BO103" s="336"/>
      <c r="BP103" s="273">
        <f t="shared" si="24"/>
        <v>20000000</v>
      </c>
      <c r="BQ103" s="273">
        <f t="shared" si="27"/>
        <v>20000000</v>
      </c>
      <c r="BR103" s="273">
        <f t="shared" si="28"/>
        <v>20000000</v>
      </c>
      <c r="BS103" s="247" t="s">
        <v>1651</v>
      </c>
      <c r="BT103" s="233"/>
    </row>
    <row r="104" spans="1:72" s="27" customFormat="1" ht="128.25" customHeight="1" x14ac:dyDescent="0.2">
      <c r="A104" s="217">
        <v>312</v>
      </c>
      <c r="B104" s="216" t="s">
        <v>1622</v>
      </c>
      <c r="C104" s="213">
        <v>2</v>
      </c>
      <c r="D104" s="216" t="s">
        <v>1621</v>
      </c>
      <c r="E104" s="213">
        <v>17</v>
      </c>
      <c r="F104" s="216" t="s">
        <v>451</v>
      </c>
      <c r="G104" s="213">
        <v>1707</v>
      </c>
      <c r="H104" s="216" t="s">
        <v>523</v>
      </c>
      <c r="I104" s="213">
        <v>1707</v>
      </c>
      <c r="J104" s="216" t="s">
        <v>1579</v>
      </c>
      <c r="K104" s="216" t="s">
        <v>453</v>
      </c>
      <c r="L104" s="304">
        <v>1707069</v>
      </c>
      <c r="M104" s="216" t="s">
        <v>524</v>
      </c>
      <c r="N104" s="304">
        <v>1707069</v>
      </c>
      <c r="O104" s="216" t="s">
        <v>524</v>
      </c>
      <c r="P104" s="213" t="s">
        <v>525</v>
      </c>
      <c r="Q104" s="216" t="s">
        <v>526</v>
      </c>
      <c r="R104" s="213" t="s">
        <v>525</v>
      </c>
      <c r="S104" s="216" t="s">
        <v>526</v>
      </c>
      <c r="T104" s="236" t="s">
        <v>1673</v>
      </c>
      <c r="U104" s="76">
        <v>5</v>
      </c>
      <c r="V104" s="76">
        <v>5</v>
      </c>
      <c r="W104" s="236" t="s">
        <v>527</v>
      </c>
      <c r="X104" s="214" t="s">
        <v>528</v>
      </c>
      <c r="Y104" s="216" t="s">
        <v>529</v>
      </c>
      <c r="Z104" s="337"/>
      <c r="AA104" s="337"/>
      <c r="AB104" s="337"/>
      <c r="AC104" s="337"/>
      <c r="AD104" s="337"/>
      <c r="AE104" s="337"/>
      <c r="AF104" s="337"/>
      <c r="AG104" s="337"/>
      <c r="AH104" s="337"/>
      <c r="AI104" s="337"/>
      <c r="AJ104" s="337"/>
      <c r="AK104" s="337"/>
      <c r="AL104" s="337"/>
      <c r="AM104" s="337"/>
      <c r="AN104" s="337"/>
      <c r="AO104" s="337"/>
      <c r="AP104" s="337"/>
      <c r="AQ104" s="337"/>
      <c r="AR104" s="337"/>
      <c r="AS104" s="337"/>
      <c r="AT104" s="337"/>
      <c r="AU104" s="337"/>
      <c r="AV104" s="337"/>
      <c r="AW104" s="337"/>
      <c r="AX104" s="337"/>
      <c r="AY104" s="337"/>
      <c r="AZ104" s="337"/>
      <c r="BA104" s="337"/>
      <c r="BB104" s="337"/>
      <c r="BC104" s="337"/>
      <c r="BD104" s="235">
        <v>43000000</v>
      </c>
      <c r="BE104" s="235">
        <v>34865000</v>
      </c>
      <c r="BF104" s="235">
        <v>34865000</v>
      </c>
      <c r="BG104" s="336"/>
      <c r="BH104" s="336"/>
      <c r="BI104" s="336"/>
      <c r="BJ104" s="336"/>
      <c r="BK104" s="336"/>
      <c r="BL104" s="336"/>
      <c r="BM104" s="336"/>
      <c r="BN104" s="336"/>
      <c r="BO104" s="336"/>
      <c r="BP104" s="273">
        <f t="shared" si="24"/>
        <v>43000000</v>
      </c>
      <c r="BQ104" s="273">
        <f t="shared" si="27"/>
        <v>34865000</v>
      </c>
      <c r="BR104" s="273">
        <f t="shared" si="28"/>
        <v>34865000</v>
      </c>
      <c r="BS104" s="247" t="s">
        <v>1651</v>
      </c>
      <c r="BT104" s="233"/>
    </row>
    <row r="105" spans="1:72" s="27" customFormat="1" ht="168.75" customHeight="1" x14ac:dyDescent="0.2">
      <c r="A105" s="217">
        <v>312</v>
      </c>
      <c r="B105" s="216" t="s">
        <v>1622</v>
      </c>
      <c r="C105" s="213">
        <v>2</v>
      </c>
      <c r="D105" s="216" t="s">
        <v>1621</v>
      </c>
      <c r="E105" s="213">
        <v>17</v>
      </c>
      <c r="F105" s="216" t="s">
        <v>451</v>
      </c>
      <c r="G105" s="213">
        <v>1708</v>
      </c>
      <c r="H105" s="216" t="s">
        <v>530</v>
      </c>
      <c r="I105" s="213">
        <v>1708</v>
      </c>
      <c r="J105" s="216" t="s">
        <v>1580</v>
      </c>
      <c r="K105" s="216" t="s">
        <v>453</v>
      </c>
      <c r="L105" s="304">
        <v>1708016</v>
      </c>
      <c r="M105" s="216" t="s">
        <v>84</v>
      </c>
      <c r="N105" s="304">
        <v>1708016</v>
      </c>
      <c r="O105" s="216" t="s">
        <v>84</v>
      </c>
      <c r="P105" s="74" t="s">
        <v>531</v>
      </c>
      <c r="Q105" s="216" t="s">
        <v>532</v>
      </c>
      <c r="R105" s="74" t="s">
        <v>531</v>
      </c>
      <c r="S105" s="216" t="s">
        <v>532</v>
      </c>
      <c r="T105" s="236" t="s">
        <v>1671</v>
      </c>
      <c r="U105" s="76">
        <v>2</v>
      </c>
      <c r="V105" s="76">
        <v>2</v>
      </c>
      <c r="W105" s="236" t="s">
        <v>533</v>
      </c>
      <c r="X105" s="214" t="s">
        <v>534</v>
      </c>
      <c r="Y105" s="216" t="s">
        <v>535</v>
      </c>
      <c r="Z105" s="289"/>
      <c r="AA105" s="289"/>
      <c r="AB105" s="289"/>
      <c r="AC105" s="289"/>
      <c r="AD105" s="289"/>
      <c r="AE105" s="289"/>
      <c r="AF105" s="289"/>
      <c r="AG105" s="289"/>
      <c r="AH105" s="289"/>
      <c r="AI105" s="289"/>
      <c r="AJ105" s="289"/>
      <c r="AK105" s="289"/>
      <c r="AL105" s="289"/>
      <c r="AM105" s="289"/>
      <c r="AN105" s="289"/>
      <c r="AO105" s="289"/>
      <c r="AP105" s="289"/>
      <c r="AQ105" s="289"/>
      <c r="AR105" s="289"/>
      <c r="AS105" s="289"/>
      <c r="AT105" s="289"/>
      <c r="AU105" s="289"/>
      <c r="AV105" s="289"/>
      <c r="AW105" s="289"/>
      <c r="AX105" s="289"/>
      <c r="AY105" s="289"/>
      <c r="AZ105" s="289"/>
      <c r="BA105" s="289"/>
      <c r="BB105" s="289"/>
      <c r="BC105" s="289"/>
      <c r="BD105" s="235">
        <f>20000000-2445000</f>
        <v>17555000</v>
      </c>
      <c r="BE105" s="290">
        <v>17555000</v>
      </c>
      <c r="BF105" s="290">
        <v>17555000</v>
      </c>
      <c r="BG105" s="336"/>
      <c r="BH105" s="336"/>
      <c r="BI105" s="336"/>
      <c r="BJ105" s="336"/>
      <c r="BK105" s="336"/>
      <c r="BL105" s="336"/>
      <c r="BM105" s="336"/>
      <c r="BN105" s="336"/>
      <c r="BO105" s="336"/>
      <c r="BP105" s="273">
        <f t="shared" si="24"/>
        <v>17555000</v>
      </c>
      <c r="BQ105" s="273">
        <f t="shared" si="27"/>
        <v>17555000</v>
      </c>
      <c r="BR105" s="273">
        <f t="shared" si="28"/>
        <v>17555000</v>
      </c>
      <c r="BS105" s="247" t="s">
        <v>1651</v>
      </c>
      <c r="BT105" s="233"/>
    </row>
    <row r="106" spans="1:72" s="27" customFormat="1" ht="187.5" customHeight="1" x14ac:dyDescent="0.2">
      <c r="A106" s="217">
        <v>312</v>
      </c>
      <c r="B106" s="216" t="s">
        <v>1622</v>
      </c>
      <c r="C106" s="213">
        <v>2</v>
      </c>
      <c r="D106" s="216" t="s">
        <v>1621</v>
      </c>
      <c r="E106" s="213">
        <v>17</v>
      </c>
      <c r="F106" s="216" t="s">
        <v>451</v>
      </c>
      <c r="G106" s="213">
        <v>1708</v>
      </c>
      <c r="H106" s="216" t="s">
        <v>530</v>
      </c>
      <c r="I106" s="213">
        <v>1708</v>
      </c>
      <c r="J106" s="216" t="s">
        <v>1580</v>
      </c>
      <c r="K106" s="216" t="s">
        <v>453</v>
      </c>
      <c r="L106" s="304">
        <v>1708051</v>
      </c>
      <c r="M106" s="216" t="s">
        <v>536</v>
      </c>
      <c r="N106" s="304">
        <v>1708051</v>
      </c>
      <c r="O106" s="216" t="s">
        <v>536</v>
      </c>
      <c r="P106" s="74" t="s">
        <v>537</v>
      </c>
      <c r="Q106" s="311" t="s">
        <v>538</v>
      </c>
      <c r="R106" s="74" t="s">
        <v>537</v>
      </c>
      <c r="S106" s="311" t="s">
        <v>538</v>
      </c>
      <c r="T106" s="236" t="s">
        <v>1671</v>
      </c>
      <c r="U106" s="76">
        <v>1</v>
      </c>
      <c r="V106" s="76">
        <v>0</v>
      </c>
      <c r="W106" s="236" t="s">
        <v>533</v>
      </c>
      <c r="X106" s="214" t="s">
        <v>534</v>
      </c>
      <c r="Y106" s="216" t="s">
        <v>535</v>
      </c>
      <c r="Z106" s="289"/>
      <c r="AA106" s="289"/>
      <c r="AB106" s="289"/>
      <c r="AC106" s="289"/>
      <c r="AD106" s="289"/>
      <c r="AE106" s="289"/>
      <c r="AF106" s="289"/>
      <c r="AG106" s="289"/>
      <c r="AH106" s="289"/>
      <c r="AI106" s="289"/>
      <c r="AJ106" s="289"/>
      <c r="AK106" s="289"/>
      <c r="AL106" s="289"/>
      <c r="AM106" s="289"/>
      <c r="AN106" s="289"/>
      <c r="AO106" s="289"/>
      <c r="AP106" s="289"/>
      <c r="AQ106" s="289"/>
      <c r="AR106" s="289"/>
      <c r="AS106" s="289"/>
      <c r="AT106" s="289"/>
      <c r="AU106" s="289"/>
      <c r="AV106" s="289"/>
      <c r="AW106" s="289"/>
      <c r="AX106" s="289"/>
      <c r="AY106" s="289"/>
      <c r="AZ106" s="289"/>
      <c r="BA106" s="289"/>
      <c r="BB106" s="289"/>
      <c r="BC106" s="289"/>
      <c r="BD106" s="290">
        <v>20000000</v>
      </c>
      <c r="BE106" s="290"/>
      <c r="BF106" s="290"/>
      <c r="BG106" s="336"/>
      <c r="BH106" s="336"/>
      <c r="BI106" s="336"/>
      <c r="BJ106" s="336"/>
      <c r="BK106" s="336"/>
      <c r="BL106" s="336"/>
      <c r="BM106" s="336"/>
      <c r="BN106" s="336"/>
      <c r="BO106" s="336"/>
      <c r="BP106" s="273">
        <f t="shared" ref="BP106:BP111" si="29">+Z106+AC106+AF106+AI106+AL106+AO106+AR106+AU106+AX106+BA106+BD106+BG106+BJ106</f>
        <v>20000000</v>
      </c>
      <c r="BQ106" s="273">
        <f t="shared" si="27"/>
        <v>0</v>
      </c>
      <c r="BR106" s="273">
        <f t="shared" si="28"/>
        <v>0</v>
      </c>
      <c r="BS106" s="247" t="s">
        <v>1651</v>
      </c>
      <c r="BT106" s="233"/>
    </row>
    <row r="107" spans="1:72" s="27" customFormat="1" ht="138.75" customHeight="1" x14ac:dyDescent="0.2">
      <c r="A107" s="217">
        <v>312</v>
      </c>
      <c r="B107" s="216" t="s">
        <v>1622</v>
      </c>
      <c r="C107" s="213">
        <v>2</v>
      </c>
      <c r="D107" s="216" t="s">
        <v>1621</v>
      </c>
      <c r="E107" s="213">
        <v>17</v>
      </c>
      <c r="F107" s="216" t="s">
        <v>451</v>
      </c>
      <c r="G107" s="217">
        <v>1709</v>
      </c>
      <c r="H107" s="216" t="s">
        <v>539</v>
      </c>
      <c r="I107" s="217">
        <v>1709</v>
      </c>
      <c r="J107" s="216" t="s">
        <v>1581</v>
      </c>
      <c r="K107" s="216" t="s">
        <v>453</v>
      </c>
      <c r="L107" s="304">
        <v>1709019</v>
      </c>
      <c r="M107" s="216" t="s">
        <v>540</v>
      </c>
      <c r="N107" s="304">
        <v>1709019</v>
      </c>
      <c r="O107" s="216" t="s">
        <v>540</v>
      </c>
      <c r="P107" s="74">
        <v>170901900</v>
      </c>
      <c r="Q107" s="311" t="s">
        <v>540</v>
      </c>
      <c r="R107" s="74">
        <v>170901900</v>
      </c>
      <c r="S107" s="311" t="s">
        <v>540</v>
      </c>
      <c r="T107" s="236" t="s">
        <v>1673</v>
      </c>
      <c r="U107" s="76">
        <v>4</v>
      </c>
      <c r="V107" s="76">
        <v>4</v>
      </c>
      <c r="W107" s="324" t="s">
        <v>541</v>
      </c>
      <c r="X107" s="214" t="s">
        <v>542</v>
      </c>
      <c r="Y107" s="216" t="s">
        <v>543</v>
      </c>
      <c r="Z107" s="297"/>
      <c r="AA107" s="297"/>
      <c r="AB107" s="297"/>
      <c r="AC107" s="297"/>
      <c r="AD107" s="297"/>
      <c r="AE107" s="297"/>
      <c r="AF107" s="297"/>
      <c r="AG107" s="297"/>
      <c r="AH107" s="297"/>
      <c r="AI107" s="297"/>
      <c r="AJ107" s="297"/>
      <c r="AK107" s="297"/>
      <c r="AL107" s="297"/>
      <c r="AM107" s="297"/>
      <c r="AN107" s="297"/>
      <c r="AO107" s="297"/>
      <c r="AP107" s="297"/>
      <c r="AQ107" s="297"/>
      <c r="AR107" s="297"/>
      <c r="AS107" s="297"/>
      <c r="AT107" s="297"/>
      <c r="AU107" s="297"/>
      <c r="AV107" s="297"/>
      <c r="AW107" s="297"/>
      <c r="AX107" s="297"/>
      <c r="AY107" s="297"/>
      <c r="AZ107" s="297"/>
      <c r="BA107" s="297"/>
      <c r="BB107" s="297"/>
      <c r="BC107" s="297"/>
      <c r="BD107" s="290">
        <v>43000000</v>
      </c>
      <c r="BE107" s="290">
        <v>43000000</v>
      </c>
      <c r="BF107" s="290">
        <v>43000000</v>
      </c>
      <c r="BG107" s="336"/>
      <c r="BH107" s="336"/>
      <c r="BI107" s="336"/>
      <c r="BJ107" s="336"/>
      <c r="BK107" s="336"/>
      <c r="BL107" s="336"/>
      <c r="BM107" s="336"/>
      <c r="BN107" s="336"/>
      <c r="BO107" s="336"/>
      <c r="BP107" s="273">
        <f t="shared" si="29"/>
        <v>43000000</v>
      </c>
      <c r="BQ107" s="273">
        <f t="shared" si="27"/>
        <v>43000000</v>
      </c>
      <c r="BR107" s="273">
        <f t="shared" si="28"/>
        <v>43000000</v>
      </c>
      <c r="BS107" s="247" t="s">
        <v>1651</v>
      </c>
      <c r="BT107" s="233"/>
    </row>
    <row r="108" spans="1:72" s="27" customFormat="1" ht="132.75" customHeight="1" x14ac:dyDescent="0.2">
      <c r="A108" s="217">
        <v>312</v>
      </c>
      <c r="B108" s="216" t="s">
        <v>1622</v>
      </c>
      <c r="C108" s="213">
        <v>2</v>
      </c>
      <c r="D108" s="216" t="s">
        <v>1621</v>
      </c>
      <c r="E108" s="213">
        <v>17</v>
      </c>
      <c r="F108" s="216" t="s">
        <v>451</v>
      </c>
      <c r="G108" s="217">
        <v>1709</v>
      </c>
      <c r="H108" s="216" t="s">
        <v>539</v>
      </c>
      <c r="I108" s="217">
        <v>1709</v>
      </c>
      <c r="J108" s="216" t="s">
        <v>1581</v>
      </c>
      <c r="K108" s="216" t="s">
        <v>453</v>
      </c>
      <c r="L108" s="304">
        <v>1709034</v>
      </c>
      <c r="M108" s="216" t="s">
        <v>544</v>
      </c>
      <c r="N108" s="304">
        <v>1709034</v>
      </c>
      <c r="O108" s="216" t="s">
        <v>544</v>
      </c>
      <c r="P108" s="74" t="s">
        <v>545</v>
      </c>
      <c r="Q108" s="311" t="s">
        <v>544</v>
      </c>
      <c r="R108" s="74">
        <v>170903400</v>
      </c>
      <c r="S108" s="311" t="s">
        <v>544</v>
      </c>
      <c r="T108" s="236" t="s">
        <v>1673</v>
      </c>
      <c r="U108" s="76">
        <v>3</v>
      </c>
      <c r="V108" s="76">
        <v>2</v>
      </c>
      <c r="W108" s="324" t="s">
        <v>541</v>
      </c>
      <c r="X108" s="214" t="s">
        <v>542</v>
      </c>
      <c r="Y108" s="216" t="s">
        <v>543</v>
      </c>
      <c r="Z108" s="297"/>
      <c r="AA108" s="297"/>
      <c r="AB108" s="297"/>
      <c r="AC108" s="297"/>
      <c r="AD108" s="297"/>
      <c r="AE108" s="297"/>
      <c r="AF108" s="297"/>
      <c r="AG108" s="297"/>
      <c r="AH108" s="297"/>
      <c r="AI108" s="297"/>
      <c r="AJ108" s="297"/>
      <c r="AK108" s="297"/>
      <c r="AL108" s="297"/>
      <c r="AM108" s="297"/>
      <c r="AN108" s="297"/>
      <c r="AO108" s="297"/>
      <c r="AP108" s="297"/>
      <c r="AQ108" s="297"/>
      <c r="AR108" s="297"/>
      <c r="AS108" s="297"/>
      <c r="AT108" s="297"/>
      <c r="AU108" s="297"/>
      <c r="AV108" s="297"/>
      <c r="AW108" s="297"/>
      <c r="AX108" s="297"/>
      <c r="AY108" s="297"/>
      <c r="AZ108" s="297"/>
      <c r="BA108" s="297"/>
      <c r="BB108" s="297"/>
      <c r="BC108" s="297"/>
      <c r="BD108" s="290">
        <v>43000000</v>
      </c>
      <c r="BE108" s="290">
        <v>43000000</v>
      </c>
      <c r="BF108" s="290">
        <v>43000000</v>
      </c>
      <c r="BG108" s="336"/>
      <c r="BH108" s="336"/>
      <c r="BI108" s="336"/>
      <c r="BJ108" s="336"/>
      <c r="BK108" s="336"/>
      <c r="BL108" s="336"/>
      <c r="BM108" s="336"/>
      <c r="BN108" s="336"/>
      <c r="BO108" s="336"/>
      <c r="BP108" s="273">
        <f t="shared" si="29"/>
        <v>43000000</v>
      </c>
      <c r="BQ108" s="273">
        <f t="shared" si="27"/>
        <v>43000000</v>
      </c>
      <c r="BR108" s="273">
        <f t="shared" si="28"/>
        <v>43000000</v>
      </c>
      <c r="BS108" s="247" t="s">
        <v>1651</v>
      </c>
      <c r="BT108" s="233"/>
    </row>
    <row r="109" spans="1:72" s="27" customFormat="1" ht="132.75" customHeight="1" x14ac:dyDescent="0.2">
      <c r="A109" s="217">
        <v>312</v>
      </c>
      <c r="B109" s="216" t="s">
        <v>1622</v>
      </c>
      <c r="C109" s="213">
        <v>2</v>
      </c>
      <c r="D109" s="216" t="s">
        <v>1621</v>
      </c>
      <c r="E109" s="213">
        <v>17</v>
      </c>
      <c r="F109" s="216" t="s">
        <v>451</v>
      </c>
      <c r="G109" s="217">
        <v>1709</v>
      </c>
      <c r="H109" s="216" t="s">
        <v>539</v>
      </c>
      <c r="I109" s="217">
        <v>1709</v>
      </c>
      <c r="J109" s="216" t="s">
        <v>1581</v>
      </c>
      <c r="K109" s="216" t="s">
        <v>453</v>
      </c>
      <c r="L109" s="304">
        <v>1709093</v>
      </c>
      <c r="M109" s="216" t="s">
        <v>546</v>
      </c>
      <c r="N109" s="304">
        <v>1709093</v>
      </c>
      <c r="O109" s="216" t="s">
        <v>546</v>
      </c>
      <c r="P109" s="213" t="s">
        <v>547</v>
      </c>
      <c r="Q109" s="216" t="s">
        <v>548</v>
      </c>
      <c r="R109" s="213">
        <v>170909300</v>
      </c>
      <c r="S109" s="216" t="s">
        <v>548</v>
      </c>
      <c r="T109" s="236" t="s">
        <v>1673</v>
      </c>
      <c r="U109" s="76">
        <v>2</v>
      </c>
      <c r="V109" s="76">
        <v>2</v>
      </c>
      <c r="W109" s="324" t="s">
        <v>541</v>
      </c>
      <c r="X109" s="214" t="s">
        <v>542</v>
      </c>
      <c r="Y109" s="216" t="s">
        <v>543</v>
      </c>
      <c r="Z109" s="297"/>
      <c r="AA109" s="297"/>
      <c r="AB109" s="297"/>
      <c r="AC109" s="297"/>
      <c r="AD109" s="297"/>
      <c r="AE109" s="297"/>
      <c r="AF109" s="297"/>
      <c r="AG109" s="297"/>
      <c r="AH109" s="297"/>
      <c r="AI109" s="297"/>
      <c r="AJ109" s="297"/>
      <c r="AK109" s="297"/>
      <c r="AL109" s="297"/>
      <c r="AM109" s="297"/>
      <c r="AN109" s="297"/>
      <c r="AO109" s="297"/>
      <c r="AP109" s="297"/>
      <c r="AQ109" s="297"/>
      <c r="AR109" s="297"/>
      <c r="AS109" s="297"/>
      <c r="AT109" s="297"/>
      <c r="AU109" s="297"/>
      <c r="AV109" s="297"/>
      <c r="AW109" s="297"/>
      <c r="AX109" s="297"/>
      <c r="AY109" s="297"/>
      <c r="AZ109" s="297"/>
      <c r="BA109" s="297"/>
      <c r="BB109" s="297"/>
      <c r="BC109" s="297"/>
      <c r="BD109" s="290">
        <v>22000000</v>
      </c>
      <c r="BE109" s="290">
        <v>22000000</v>
      </c>
      <c r="BF109" s="290">
        <v>22000000</v>
      </c>
      <c r="BG109" s="336"/>
      <c r="BH109" s="336"/>
      <c r="BI109" s="336"/>
      <c r="BJ109" s="336"/>
      <c r="BK109" s="336"/>
      <c r="BL109" s="336"/>
      <c r="BM109" s="336"/>
      <c r="BN109" s="336"/>
      <c r="BO109" s="336"/>
      <c r="BP109" s="273">
        <f t="shared" si="29"/>
        <v>22000000</v>
      </c>
      <c r="BQ109" s="273">
        <f t="shared" si="27"/>
        <v>22000000</v>
      </c>
      <c r="BR109" s="273">
        <f t="shared" si="28"/>
        <v>22000000</v>
      </c>
      <c r="BS109" s="247" t="s">
        <v>1651</v>
      </c>
      <c r="BT109" s="233"/>
    </row>
    <row r="110" spans="1:72" s="27" customFormat="1" ht="110.25" customHeight="1" x14ac:dyDescent="0.2">
      <c r="A110" s="217">
        <v>312</v>
      </c>
      <c r="B110" s="216" t="s">
        <v>1622</v>
      </c>
      <c r="C110" s="213">
        <v>2</v>
      </c>
      <c r="D110" s="216" t="s">
        <v>1621</v>
      </c>
      <c r="E110" s="213">
        <v>35</v>
      </c>
      <c r="F110" s="216" t="s">
        <v>401</v>
      </c>
      <c r="G110" s="213">
        <v>3502</v>
      </c>
      <c r="H110" s="216" t="s">
        <v>1583</v>
      </c>
      <c r="I110" s="213">
        <v>3502</v>
      </c>
      <c r="J110" s="216" t="s">
        <v>1582</v>
      </c>
      <c r="K110" s="216" t="s">
        <v>549</v>
      </c>
      <c r="L110" s="304">
        <v>3502017</v>
      </c>
      <c r="M110" s="216" t="s">
        <v>550</v>
      </c>
      <c r="N110" s="304">
        <v>3502017</v>
      </c>
      <c r="O110" s="216" t="s">
        <v>550</v>
      </c>
      <c r="P110" s="74" t="s">
        <v>551</v>
      </c>
      <c r="Q110" s="311" t="s">
        <v>552</v>
      </c>
      <c r="R110" s="74" t="s">
        <v>551</v>
      </c>
      <c r="S110" s="311" t="s">
        <v>552</v>
      </c>
      <c r="T110" s="236" t="s">
        <v>1671</v>
      </c>
      <c r="U110" s="76">
        <v>6</v>
      </c>
      <c r="V110" s="76">
        <v>6</v>
      </c>
      <c r="W110" s="236" t="s">
        <v>553</v>
      </c>
      <c r="X110" s="214" t="s">
        <v>554</v>
      </c>
      <c r="Y110" s="216" t="s">
        <v>555</v>
      </c>
      <c r="Z110" s="289"/>
      <c r="AA110" s="289"/>
      <c r="AB110" s="289"/>
      <c r="AC110" s="289"/>
      <c r="AD110" s="289"/>
      <c r="AE110" s="289"/>
      <c r="AF110" s="289"/>
      <c r="AG110" s="289"/>
      <c r="AH110" s="289"/>
      <c r="AI110" s="289"/>
      <c r="AJ110" s="289"/>
      <c r="AK110" s="289"/>
      <c r="AL110" s="289"/>
      <c r="AM110" s="289"/>
      <c r="AN110" s="289"/>
      <c r="AO110" s="289"/>
      <c r="AP110" s="289"/>
      <c r="AQ110" s="289"/>
      <c r="AR110" s="289"/>
      <c r="AS110" s="289"/>
      <c r="AT110" s="289"/>
      <c r="AU110" s="289"/>
      <c r="AV110" s="289"/>
      <c r="AW110" s="289"/>
      <c r="AX110" s="289"/>
      <c r="AY110" s="289"/>
      <c r="AZ110" s="289"/>
      <c r="BA110" s="289"/>
      <c r="BB110" s="289"/>
      <c r="BC110" s="289"/>
      <c r="BD110" s="290">
        <v>18000000</v>
      </c>
      <c r="BE110" s="290">
        <v>18000000</v>
      </c>
      <c r="BF110" s="290">
        <v>18000000</v>
      </c>
      <c r="BG110" s="290"/>
      <c r="BH110" s="336"/>
      <c r="BI110" s="336"/>
      <c r="BJ110" s="336"/>
      <c r="BK110" s="336"/>
      <c r="BL110" s="336"/>
      <c r="BM110" s="336"/>
      <c r="BN110" s="336"/>
      <c r="BO110" s="336"/>
      <c r="BP110" s="273">
        <f t="shared" si="29"/>
        <v>18000000</v>
      </c>
      <c r="BQ110" s="273">
        <f t="shared" si="27"/>
        <v>18000000</v>
      </c>
      <c r="BR110" s="273">
        <f t="shared" si="28"/>
        <v>18000000</v>
      </c>
      <c r="BS110" s="247" t="s">
        <v>1651</v>
      </c>
      <c r="BT110" s="233"/>
    </row>
    <row r="111" spans="1:72" s="233" customFormat="1" ht="130.5" customHeight="1" x14ac:dyDescent="0.25">
      <c r="A111" s="217">
        <v>312</v>
      </c>
      <c r="B111" s="216" t="s">
        <v>1622</v>
      </c>
      <c r="C111" s="213">
        <v>2</v>
      </c>
      <c r="D111" s="216" t="s">
        <v>1621</v>
      </c>
      <c r="E111" s="213">
        <v>35</v>
      </c>
      <c r="F111" s="216" t="s">
        <v>401</v>
      </c>
      <c r="G111" s="213">
        <v>3502</v>
      </c>
      <c r="H111" s="216" t="s">
        <v>1583</v>
      </c>
      <c r="I111" s="213">
        <v>3502</v>
      </c>
      <c r="J111" s="216" t="s">
        <v>1582</v>
      </c>
      <c r="K111" s="216" t="s">
        <v>549</v>
      </c>
      <c r="L111" s="304">
        <v>3502007</v>
      </c>
      <c r="M111" s="216" t="s">
        <v>556</v>
      </c>
      <c r="N111" s="304">
        <v>3502007</v>
      </c>
      <c r="O111" s="216" t="s">
        <v>556</v>
      </c>
      <c r="P111" s="213" t="s">
        <v>411</v>
      </c>
      <c r="Q111" s="216" t="s">
        <v>412</v>
      </c>
      <c r="R111" s="213" t="s">
        <v>411</v>
      </c>
      <c r="S111" s="216" t="s">
        <v>412</v>
      </c>
      <c r="T111" s="236" t="s">
        <v>1671</v>
      </c>
      <c r="U111" s="213">
        <v>5</v>
      </c>
      <c r="V111" s="213">
        <v>4</v>
      </c>
      <c r="W111" s="236" t="s">
        <v>553</v>
      </c>
      <c r="X111" s="214" t="s">
        <v>554</v>
      </c>
      <c r="Y111" s="216" t="s">
        <v>555</v>
      </c>
      <c r="Z111" s="289"/>
      <c r="AA111" s="289"/>
      <c r="AB111" s="289"/>
      <c r="AC111" s="289"/>
      <c r="AD111" s="289"/>
      <c r="AE111" s="289"/>
      <c r="AF111" s="289"/>
      <c r="AG111" s="289"/>
      <c r="AH111" s="289"/>
      <c r="AI111" s="289"/>
      <c r="AJ111" s="289"/>
      <c r="AK111" s="289"/>
      <c r="AL111" s="289"/>
      <c r="AM111" s="289"/>
      <c r="AN111" s="289"/>
      <c r="AO111" s="289"/>
      <c r="AP111" s="289"/>
      <c r="AQ111" s="289"/>
      <c r="AR111" s="289"/>
      <c r="AS111" s="289"/>
      <c r="AT111" s="289"/>
      <c r="AU111" s="289"/>
      <c r="AV111" s="289"/>
      <c r="AW111" s="289"/>
      <c r="AX111" s="289"/>
      <c r="AY111" s="289"/>
      <c r="AZ111" s="289"/>
      <c r="BA111" s="289"/>
      <c r="BB111" s="289"/>
      <c r="BC111" s="289"/>
      <c r="BD111" s="290">
        <v>18000000</v>
      </c>
      <c r="BE111" s="290">
        <v>16195000</v>
      </c>
      <c r="BF111" s="290">
        <v>16195000</v>
      </c>
      <c r="BG111" s="290"/>
      <c r="BH111" s="336"/>
      <c r="BI111" s="336"/>
      <c r="BJ111" s="336"/>
      <c r="BK111" s="336"/>
      <c r="BL111" s="336"/>
      <c r="BM111" s="336"/>
      <c r="BN111" s="336"/>
      <c r="BO111" s="336"/>
      <c r="BP111" s="273">
        <f t="shared" si="29"/>
        <v>18000000</v>
      </c>
      <c r="BQ111" s="273">
        <f t="shared" si="27"/>
        <v>16195000</v>
      </c>
      <c r="BR111" s="273">
        <f t="shared" si="28"/>
        <v>16195000</v>
      </c>
      <c r="BS111" s="247" t="s">
        <v>1651</v>
      </c>
    </row>
    <row r="112" spans="1:72" s="27" customFormat="1" ht="131.25" customHeight="1" x14ac:dyDescent="0.2">
      <c r="A112" s="217">
        <v>312</v>
      </c>
      <c r="B112" s="216" t="s">
        <v>1622</v>
      </c>
      <c r="C112" s="213">
        <v>3</v>
      </c>
      <c r="D112" s="216" t="s">
        <v>1616</v>
      </c>
      <c r="E112" s="213">
        <v>32</v>
      </c>
      <c r="F112" s="216" t="s">
        <v>207</v>
      </c>
      <c r="G112" s="217">
        <v>3201</v>
      </c>
      <c r="H112" s="216" t="s">
        <v>1592</v>
      </c>
      <c r="I112" s="217">
        <v>3201</v>
      </c>
      <c r="J112" s="216" t="s">
        <v>1593</v>
      </c>
      <c r="K112" s="216" t="s">
        <v>209</v>
      </c>
      <c r="L112" s="304">
        <v>3201013</v>
      </c>
      <c r="M112" s="216" t="s">
        <v>559</v>
      </c>
      <c r="N112" s="304">
        <v>3201013</v>
      </c>
      <c r="O112" s="216" t="s">
        <v>559</v>
      </c>
      <c r="P112" s="74" t="s">
        <v>560</v>
      </c>
      <c r="Q112" s="311" t="s">
        <v>561</v>
      </c>
      <c r="R112" s="74" t="s">
        <v>560</v>
      </c>
      <c r="S112" s="311" t="s">
        <v>561</v>
      </c>
      <c r="T112" s="236" t="s">
        <v>1673</v>
      </c>
      <c r="U112" s="76">
        <v>1</v>
      </c>
      <c r="V112" s="76">
        <v>1</v>
      </c>
      <c r="W112" s="324" t="s">
        <v>562</v>
      </c>
      <c r="X112" s="214" t="s">
        <v>563</v>
      </c>
      <c r="Y112" s="216" t="s">
        <v>564</v>
      </c>
      <c r="Z112" s="308"/>
      <c r="AA112" s="308"/>
      <c r="AB112" s="308"/>
      <c r="AC112" s="308"/>
      <c r="AD112" s="308"/>
      <c r="AE112" s="308"/>
      <c r="AF112" s="308"/>
      <c r="AG112" s="308"/>
      <c r="AH112" s="308"/>
      <c r="AI112" s="308"/>
      <c r="AJ112" s="308"/>
      <c r="AK112" s="308"/>
      <c r="AL112" s="308"/>
      <c r="AM112" s="308"/>
      <c r="AN112" s="308"/>
      <c r="AO112" s="308"/>
      <c r="AP112" s="308"/>
      <c r="AQ112" s="308"/>
      <c r="AR112" s="308"/>
      <c r="AS112" s="308"/>
      <c r="AT112" s="308"/>
      <c r="AU112" s="308"/>
      <c r="AV112" s="308"/>
      <c r="AW112" s="308"/>
      <c r="AX112" s="308"/>
      <c r="AY112" s="308"/>
      <c r="AZ112" s="308"/>
      <c r="BA112" s="308"/>
      <c r="BB112" s="308"/>
      <c r="BC112" s="308"/>
      <c r="BD112" s="290">
        <f>32000000-543501</f>
        <v>31456499</v>
      </c>
      <c r="BE112" s="290">
        <v>31456499</v>
      </c>
      <c r="BF112" s="290">
        <v>31456499</v>
      </c>
      <c r="BG112" s="336"/>
      <c r="BH112" s="336"/>
      <c r="BI112" s="336"/>
      <c r="BJ112" s="336"/>
      <c r="BK112" s="336"/>
      <c r="BL112" s="336"/>
      <c r="BM112" s="336"/>
      <c r="BN112" s="336"/>
      <c r="BO112" s="336"/>
      <c r="BP112" s="273">
        <f t="shared" ref="BP112:BP126" si="30">+Z112+AC112+AF112+AI112+AL112+AO112+AR112+AU112+AX112+BA112+BD112+BG112+BJ112</f>
        <v>31456499</v>
      </c>
      <c r="BQ112" s="273">
        <f t="shared" si="27"/>
        <v>31456499</v>
      </c>
      <c r="BR112" s="273">
        <f t="shared" si="28"/>
        <v>31456499</v>
      </c>
      <c r="BS112" s="247" t="s">
        <v>1651</v>
      </c>
      <c r="BT112" s="233"/>
    </row>
    <row r="113" spans="1:72" s="27" customFormat="1" ht="130.5" customHeight="1" x14ac:dyDescent="0.2">
      <c r="A113" s="217">
        <v>312</v>
      </c>
      <c r="B113" s="216" t="s">
        <v>1622</v>
      </c>
      <c r="C113" s="213">
        <v>3</v>
      </c>
      <c r="D113" s="216" t="s">
        <v>1616</v>
      </c>
      <c r="E113" s="213">
        <v>32</v>
      </c>
      <c r="F113" s="216" t="s">
        <v>207</v>
      </c>
      <c r="G113" s="217">
        <v>3201</v>
      </c>
      <c r="H113" s="216" t="s">
        <v>1592</v>
      </c>
      <c r="I113" s="217">
        <v>3201</v>
      </c>
      <c r="J113" s="216" t="s">
        <v>1593</v>
      </c>
      <c r="K113" s="216" t="s">
        <v>209</v>
      </c>
      <c r="L113" s="304">
        <v>3201008</v>
      </c>
      <c r="M113" s="216" t="s">
        <v>565</v>
      </c>
      <c r="N113" s="304">
        <v>3201008</v>
      </c>
      <c r="O113" s="216" t="s">
        <v>565</v>
      </c>
      <c r="P113" s="74" t="s">
        <v>566</v>
      </c>
      <c r="Q113" s="216" t="s">
        <v>567</v>
      </c>
      <c r="R113" s="74" t="s">
        <v>566</v>
      </c>
      <c r="S113" s="216" t="s">
        <v>567</v>
      </c>
      <c r="T113" s="236" t="s">
        <v>1673</v>
      </c>
      <c r="U113" s="76">
        <v>2</v>
      </c>
      <c r="V113" s="76">
        <v>2</v>
      </c>
      <c r="W113" s="324" t="s">
        <v>562</v>
      </c>
      <c r="X113" s="214" t="s">
        <v>563</v>
      </c>
      <c r="Y113" s="216" t="s">
        <v>564</v>
      </c>
      <c r="Z113" s="308"/>
      <c r="AA113" s="308"/>
      <c r="AB113" s="308"/>
      <c r="AC113" s="308"/>
      <c r="AD113" s="308"/>
      <c r="AE113" s="308"/>
      <c r="AF113" s="308"/>
      <c r="AG113" s="308"/>
      <c r="AH113" s="308"/>
      <c r="AI113" s="308"/>
      <c r="AJ113" s="308"/>
      <c r="AK113" s="308"/>
      <c r="AL113" s="308"/>
      <c r="AM113" s="308"/>
      <c r="AN113" s="308"/>
      <c r="AO113" s="308"/>
      <c r="AP113" s="308"/>
      <c r="AQ113" s="308"/>
      <c r="AR113" s="308"/>
      <c r="AS113" s="308"/>
      <c r="AT113" s="308"/>
      <c r="AU113" s="308"/>
      <c r="AV113" s="308"/>
      <c r="AW113" s="308"/>
      <c r="AX113" s="308"/>
      <c r="AY113" s="308"/>
      <c r="AZ113" s="308"/>
      <c r="BA113" s="308"/>
      <c r="BB113" s="308"/>
      <c r="BC113" s="308"/>
      <c r="BD113" s="290">
        <v>50000000</v>
      </c>
      <c r="BE113" s="290">
        <v>50000000</v>
      </c>
      <c r="BF113" s="290">
        <v>50000000</v>
      </c>
      <c r="BG113" s="336"/>
      <c r="BH113" s="336"/>
      <c r="BI113" s="336"/>
      <c r="BJ113" s="336"/>
      <c r="BK113" s="336"/>
      <c r="BL113" s="336"/>
      <c r="BM113" s="336"/>
      <c r="BN113" s="336"/>
      <c r="BO113" s="336"/>
      <c r="BP113" s="273">
        <f t="shared" si="30"/>
        <v>50000000</v>
      </c>
      <c r="BQ113" s="273">
        <f t="shared" si="27"/>
        <v>50000000</v>
      </c>
      <c r="BR113" s="273">
        <f t="shared" si="28"/>
        <v>50000000</v>
      </c>
      <c r="BS113" s="247" t="s">
        <v>1651</v>
      </c>
      <c r="BT113" s="233"/>
    </row>
    <row r="114" spans="1:72" s="27" customFormat="1" ht="175.5" customHeight="1" x14ac:dyDescent="0.2">
      <c r="A114" s="217">
        <v>312</v>
      </c>
      <c r="B114" s="216" t="s">
        <v>1622</v>
      </c>
      <c r="C114" s="213">
        <v>3</v>
      </c>
      <c r="D114" s="216" t="s">
        <v>1616</v>
      </c>
      <c r="E114" s="213">
        <v>32</v>
      </c>
      <c r="F114" s="216" t="s">
        <v>207</v>
      </c>
      <c r="G114" s="213">
        <v>3202</v>
      </c>
      <c r="H114" s="216" t="s">
        <v>568</v>
      </c>
      <c r="I114" s="213">
        <v>3202</v>
      </c>
      <c r="J114" s="216" t="s">
        <v>1594</v>
      </c>
      <c r="K114" s="216" t="s">
        <v>209</v>
      </c>
      <c r="L114" s="304" t="s">
        <v>569</v>
      </c>
      <c r="M114" s="216" t="s">
        <v>570</v>
      </c>
      <c r="N114" s="304" t="s">
        <v>569</v>
      </c>
      <c r="O114" s="216" t="s">
        <v>570</v>
      </c>
      <c r="P114" s="74" t="s">
        <v>571</v>
      </c>
      <c r="Q114" s="311" t="s">
        <v>572</v>
      </c>
      <c r="R114" s="74" t="s">
        <v>571</v>
      </c>
      <c r="S114" s="311" t="s">
        <v>572</v>
      </c>
      <c r="T114" s="236" t="s">
        <v>1673</v>
      </c>
      <c r="U114" s="76">
        <v>600</v>
      </c>
      <c r="V114" s="76">
        <v>0</v>
      </c>
      <c r="W114" s="236" t="s">
        <v>573</v>
      </c>
      <c r="X114" s="214" t="s">
        <v>574</v>
      </c>
      <c r="Y114" s="216" t="s">
        <v>575</v>
      </c>
      <c r="Z114" s="289"/>
      <c r="AA114" s="289"/>
      <c r="AB114" s="289"/>
      <c r="AC114" s="289"/>
      <c r="AD114" s="289"/>
      <c r="AE114" s="289"/>
      <c r="AF114" s="289"/>
      <c r="AG114" s="289"/>
      <c r="AH114" s="289"/>
      <c r="AI114" s="289"/>
      <c r="AJ114" s="289"/>
      <c r="AK114" s="289"/>
      <c r="AL114" s="289"/>
      <c r="AM114" s="289"/>
      <c r="AN114" s="289"/>
      <c r="AO114" s="289"/>
      <c r="AP114" s="289"/>
      <c r="AQ114" s="289"/>
      <c r="AR114" s="289"/>
      <c r="AS114" s="289"/>
      <c r="AT114" s="289"/>
      <c r="AU114" s="289"/>
      <c r="AV114" s="289"/>
      <c r="AW114" s="289"/>
      <c r="AX114" s="289"/>
      <c r="AY114" s="289"/>
      <c r="AZ114" s="289"/>
      <c r="BA114" s="289"/>
      <c r="BB114" s="289"/>
      <c r="BC114" s="289"/>
      <c r="BD114" s="290">
        <f>200000000+20000000</f>
        <v>220000000</v>
      </c>
      <c r="BE114" s="290">
        <v>20000000</v>
      </c>
      <c r="BF114" s="290">
        <v>20000000</v>
      </c>
      <c r="BG114" s="336"/>
      <c r="BH114" s="336"/>
      <c r="BI114" s="336"/>
      <c r="BJ114" s="336"/>
      <c r="BK114" s="336"/>
      <c r="BL114" s="336"/>
      <c r="BM114" s="336"/>
      <c r="BN114" s="336"/>
      <c r="BO114" s="336"/>
      <c r="BP114" s="273">
        <f t="shared" si="30"/>
        <v>220000000</v>
      </c>
      <c r="BQ114" s="273">
        <f t="shared" ref="BQ114:BQ119" si="31">+AA114+AD114+AG114+AJ114+AM114+AP114+AS114+AV114+AY114+BB114+BE114+BH114+BK114</f>
        <v>20000000</v>
      </c>
      <c r="BR114" s="273">
        <f t="shared" ref="BR114:BR119" si="32">+AB114+AE114+AH114+AK114+AN114+AQ114+AT114+AW114+AZ114+BC114+BF114+BI114+BL114</f>
        <v>20000000</v>
      </c>
      <c r="BS114" s="247" t="s">
        <v>1651</v>
      </c>
      <c r="BT114" s="233"/>
    </row>
    <row r="115" spans="1:72" s="27" customFormat="1" ht="186" customHeight="1" x14ac:dyDescent="0.2">
      <c r="A115" s="217">
        <v>312</v>
      </c>
      <c r="B115" s="216" t="s">
        <v>1622</v>
      </c>
      <c r="C115" s="213">
        <v>3</v>
      </c>
      <c r="D115" s="216" t="s">
        <v>1616</v>
      </c>
      <c r="E115" s="213">
        <v>32</v>
      </c>
      <c r="F115" s="216" t="s">
        <v>207</v>
      </c>
      <c r="G115" s="213">
        <v>3202</v>
      </c>
      <c r="H115" s="216" t="s">
        <v>568</v>
      </c>
      <c r="I115" s="213">
        <v>3202</v>
      </c>
      <c r="J115" s="216" t="s">
        <v>1594</v>
      </c>
      <c r="K115" s="216" t="s">
        <v>209</v>
      </c>
      <c r="L115" s="304">
        <v>3202037</v>
      </c>
      <c r="M115" s="216" t="s">
        <v>576</v>
      </c>
      <c r="N115" s="304">
        <v>3202037</v>
      </c>
      <c r="O115" s="216" t="s">
        <v>576</v>
      </c>
      <c r="P115" s="74" t="s">
        <v>577</v>
      </c>
      <c r="Q115" s="311" t="s">
        <v>578</v>
      </c>
      <c r="R115" s="74" t="s">
        <v>577</v>
      </c>
      <c r="S115" s="311" t="s">
        <v>578</v>
      </c>
      <c r="T115" s="236" t="s">
        <v>1673</v>
      </c>
      <c r="U115" s="76">
        <v>40</v>
      </c>
      <c r="V115" s="76">
        <v>0</v>
      </c>
      <c r="W115" s="236" t="s">
        <v>573</v>
      </c>
      <c r="X115" s="214" t="s">
        <v>574</v>
      </c>
      <c r="Y115" s="216" t="s">
        <v>575</v>
      </c>
      <c r="Z115" s="289"/>
      <c r="AA115" s="289"/>
      <c r="AB115" s="289"/>
      <c r="AC115" s="289"/>
      <c r="AD115" s="289"/>
      <c r="AE115" s="289"/>
      <c r="AF115" s="289"/>
      <c r="AG115" s="289"/>
      <c r="AH115" s="289"/>
      <c r="AI115" s="289"/>
      <c r="AJ115" s="289"/>
      <c r="AK115" s="289"/>
      <c r="AL115" s="289"/>
      <c r="AM115" s="289"/>
      <c r="AN115" s="289"/>
      <c r="AO115" s="289"/>
      <c r="AP115" s="289"/>
      <c r="AQ115" s="289"/>
      <c r="AR115" s="289"/>
      <c r="AS115" s="289"/>
      <c r="AT115" s="289"/>
      <c r="AU115" s="289"/>
      <c r="AV115" s="289"/>
      <c r="AW115" s="289"/>
      <c r="AX115" s="289"/>
      <c r="AY115" s="289"/>
      <c r="AZ115" s="289"/>
      <c r="BA115" s="289"/>
      <c r="BB115" s="289"/>
      <c r="BC115" s="289"/>
      <c r="BD115" s="290">
        <f>82575952+12672234</f>
        <v>95248186</v>
      </c>
      <c r="BE115" s="290"/>
      <c r="BF115" s="290"/>
      <c r="BG115" s="336"/>
      <c r="BH115" s="336"/>
      <c r="BI115" s="336"/>
      <c r="BJ115" s="336"/>
      <c r="BK115" s="336"/>
      <c r="BL115" s="336"/>
      <c r="BM115" s="336"/>
      <c r="BN115" s="336"/>
      <c r="BO115" s="336"/>
      <c r="BP115" s="273">
        <f t="shared" si="30"/>
        <v>95248186</v>
      </c>
      <c r="BQ115" s="273">
        <f t="shared" si="31"/>
        <v>0</v>
      </c>
      <c r="BR115" s="273">
        <f t="shared" si="32"/>
        <v>0</v>
      </c>
      <c r="BS115" s="247" t="s">
        <v>1651</v>
      </c>
      <c r="BT115" s="233"/>
    </row>
    <row r="116" spans="1:72" s="27" customFormat="1" ht="186" customHeight="1" x14ac:dyDescent="0.2">
      <c r="A116" s="217">
        <v>312</v>
      </c>
      <c r="B116" s="216" t="s">
        <v>1622</v>
      </c>
      <c r="C116" s="213">
        <v>3</v>
      </c>
      <c r="D116" s="216" t="s">
        <v>1616</v>
      </c>
      <c r="E116" s="213">
        <v>32</v>
      </c>
      <c r="F116" s="216" t="s">
        <v>207</v>
      </c>
      <c r="G116" s="213">
        <v>3202</v>
      </c>
      <c r="H116" s="216" t="s">
        <v>568</v>
      </c>
      <c r="I116" s="213">
        <v>3202</v>
      </c>
      <c r="J116" s="216" t="s">
        <v>1594</v>
      </c>
      <c r="K116" s="216" t="s">
        <v>209</v>
      </c>
      <c r="L116" s="213" t="s">
        <v>41</v>
      </c>
      <c r="M116" s="216" t="s">
        <v>579</v>
      </c>
      <c r="N116" s="217">
        <v>3202037</v>
      </c>
      <c r="O116" s="216" t="s">
        <v>576</v>
      </c>
      <c r="P116" s="213" t="s">
        <v>41</v>
      </c>
      <c r="Q116" s="311" t="s">
        <v>580</v>
      </c>
      <c r="R116" s="217">
        <v>320203700</v>
      </c>
      <c r="S116" s="311" t="s">
        <v>581</v>
      </c>
      <c r="T116" s="236" t="s">
        <v>1673</v>
      </c>
      <c r="U116" s="76">
        <v>60</v>
      </c>
      <c r="V116" s="76">
        <v>58.3</v>
      </c>
      <c r="W116" s="236" t="s">
        <v>573</v>
      </c>
      <c r="X116" s="214" t="s">
        <v>574</v>
      </c>
      <c r="Y116" s="216" t="s">
        <v>575</v>
      </c>
      <c r="Z116" s="289"/>
      <c r="AA116" s="289"/>
      <c r="AB116" s="289"/>
      <c r="AC116" s="289"/>
      <c r="AD116" s="289"/>
      <c r="AE116" s="289"/>
      <c r="AF116" s="289"/>
      <c r="AG116" s="289"/>
      <c r="AH116" s="289"/>
      <c r="AI116" s="289"/>
      <c r="AJ116" s="289"/>
      <c r="AK116" s="289"/>
      <c r="AL116" s="289"/>
      <c r="AM116" s="289"/>
      <c r="AN116" s="289"/>
      <c r="AO116" s="289"/>
      <c r="AP116" s="289"/>
      <c r="AQ116" s="289"/>
      <c r="AR116" s="289"/>
      <c r="AS116" s="289"/>
      <c r="AT116" s="289"/>
      <c r="AU116" s="289"/>
      <c r="AV116" s="289"/>
      <c r="AW116" s="289"/>
      <c r="AX116" s="289"/>
      <c r="AY116" s="289"/>
      <c r="AZ116" s="289"/>
      <c r="BA116" s="289"/>
      <c r="BB116" s="289"/>
      <c r="BC116" s="289"/>
      <c r="BD116" s="290">
        <f>400000000+20000000+290383203</f>
        <v>710383203</v>
      </c>
      <c r="BE116" s="290">
        <v>331955352.56999999</v>
      </c>
      <c r="BF116" s="290">
        <v>331955352.56999999</v>
      </c>
      <c r="BG116" s="336"/>
      <c r="BH116" s="336"/>
      <c r="BI116" s="336"/>
      <c r="BJ116" s="336"/>
      <c r="BK116" s="336"/>
      <c r="BL116" s="336"/>
      <c r="BM116" s="336"/>
      <c r="BN116" s="336"/>
      <c r="BO116" s="336"/>
      <c r="BP116" s="273">
        <f t="shared" si="30"/>
        <v>710383203</v>
      </c>
      <c r="BQ116" s="273">
        <f t="shared" si="31"/>
        <v>331955352.56999999</v>
      </c>
      <c r="BR116" s="273">
        <f t="shared" si="32"/>
        <v>331955352.56999999</v>
      </c>
      <c r="BS116" s="247" t="s">
        <v>1651</v>
      </c>
      <c r="BT116" s="233"/>
    </row>
    <row r="117" spans="1:72" s="27" customFormat="1" ht="186" customHeight="1" x14ac:dyDescent="0.2">
      <c r="A117" s="217">
        <v>312</v>
      </c>
      <c r="B117" s="216" t="s">
        <v>1622</v>
      </c>
      <c r="C117" s="213">
        <v>3</v>
      </c>
      <c r="D117" s="216" t="s">
        <v>1616</v>
      </c>
      <c r="E117" s="213">
        <v>32</v>
      </c>
      <c r="F117" s="216" t="s">
        <v>207</v>
      </c>
      <c r="G117" s="213">
        <v>3202</v>
      </c>
      <c r="H117" s="216" t="s">
        <v>568</v>
      </c>
      <c r="I117" s="213">
        <v>3202</v>
      </c>
      <c r="J117" s="216" t="s">
        <v>1594</v>
      </c>
      <c r="K117" s="216" t="s">
        <v>209</v>
      </c>
      <c r="L117" s="213">
        <v>3202017</v>
      </c>
      <c r="M117" s="216" t="s">
        <v>582</v>
      </c>
      <c r="N117" s="304">
        <v>3202043</v>
      </c>
      <c r="O117" s="216" t="s">
        <v>583</v>
      </c>
      <c r="P117" s="213" t="s">
        <v>584</v>
      </c>
      <c r="Q117" s="311" t="s">
        <v>585</v>
      </c>
      <c r="R117" s="74">
        <v>320204300</v>
      </c>
      <c r="S117" s="311" t="s">
        <v>586</v>
      </c>
      <c r="T117" s="236" t="s">
        <v>1671</v>
      </c>
      <c r="U117" s="339">
        <v>1</v>
      </c>
      <c r="V117" s="339">
        <v>0.5</v>
      </c>
      <c r="W117" s="236" t="s">
        <v>573</v>
      </c>
      <c r="X117" s="214" t="s">
        <v>574</v>
      </c>
      <c r="Y117" s="216" t="s">
        <v>575</v>
      </c>
      <c r="Z117" s="289"/>
      <c r="AA117" s="289"/>
      <c r="AB117" s="289"/>
      <c r="AC117" s="289"/>
      <c r="AD117" s="289"/>
      <c r="AE117" s="289"/>
      <c r="AF117" s="289"/>
      <c r="AG117" s="289"/>
      <c r="AH117" s="289"/>
      <c r="AI117" s="289"/>
      <c r="AJ117" s="289"/>
      <c r="AK117" s="289"/>
      <c r="AL117" s="289"/>
      <c r="AM117" s="289"/>
      <c r="AN117" s="289"/>
      <c r="AO117" s="289"/>
      <c r="AP117" s="289"/>
      <c r="AQ117" s="289"/>
      <c r="AR117" s="289"/>
      <c r="AS117" s="289"/>
      <c r="AT117" s="289"/>
      <c r="AU117" s="289"/>
      <c r="AV117" s="289"/>
      <c r="AW117" s="289"/>
      <c r="AX117" s="289"/>
      <c r="AY117" s="289"/>
      <c r="AZ117" s="289"/>
      <c r="BA117" s="289"/>
      <c r="BB117" s="289"/>
      <c r="BC117" s="289"/>
      <c r="BD117" s="290">
        <f>100000000+20000000</f>
        <v>120000000</v>
      </c>
      <c r="BE117" s="290">
        <v>34672666</v>
      </c>
      <c r="BF117" s="290">
        <v>34672666</v>
      </c>
      <c r="BG117" s="336"/>
      <c r="BH117" s="336"/>
      <c r="BI117" s="336"/>
      <c r="BJ117" s="336"/>
      <c r="BK117" s="336"/>
      <c r="BL117" s="336"/>
      <c r="BM117" s="336"/>
      <c r="BN117" s="336"/>
      <c r="BO117" s="336"/>
      <c r="BP117" s="273">
        <f t="shared" si="30"/>
        <v>120000000</v>
      </c>
      <c r="BQ117" s="273">
        <f t="shared" si="31"/>
        <v>34672666</v>
      </c>
      <c r="BR117" s="273">
        <f t="shared" si="32"/>
        <v>34672666</v>
      </c>
      <c r="BS117" s="247" t="s">
        <v>1651</v>
      </c>
      <c r="BT117" s="233"/>
    </row>
    <row r="118" spans="1:72" s="27" customFormat="1" ht="216.75" customHeight="1" x14ac:dyDescent="0.2">
      <c r="A118" s="217">
        <v>312</v>
      </c>
      <c r="B118" s="216" t="s">
        <v>1622</v>
      </c>
      <c r="C118" s="213">
        <v>3</v>
      </c>
      <c r="D118" s="216" t="s">
        <v>1616</v>
      </c>
      <c r="E118" s="213">
        <v>32</v>
      </c>
      <c r="F118" s="216" t="s">
        <v>207</v>
      </c>
      <c r="G118" s="213">
        <v>3202</v>
      </c>
      <c r="H118" s="216" t="s">
        <v>568</v>
      </c>
      <c r="I118" s="213">
        <v>3202</v>
      </c>
      <c r="J118" s="216" t="s">
        <v>1594</v>
      </c>
      <c r="K118" s="216" t="s">
        <v>209</v>
      </c>
      <c r="L118" s="213" t="s">
        <v>41</v>
      </c>
      <c r="M118" s="216" t="s">
        <v>587</v>
      </c>
      <c r="N118" s="304">
        <v>3202014</v>
      </c>
      <c r="O118" s="216" t="s">
        <v>1481</v>
      </c>
      <c r="P118" s="213" t="s">
        <v>41</v>
      </c>
      <c r="Q118" s="311" t="s">
        <v>588</v>
      </c>
      <c r="R118" s="74">
        <v>320201402</v>
      </c>
      <c r="S118" s="311" t="s">
        <v>589</v>
      </c>
      <c r="T118" s="236" t="s">
        <v>1671</v>
      </c>
      <c r="U118" s="339">
        <v>1</v>
      </c>
      <c r="V118" s="339">
        <v>1</v>
      </c>
      <c r="W118" s="236" t="s">
        <v>590</v>
      </c>
      <c r="X118" s="214" t="s">
        <v>591</v>
      </c>
      <c r="Y118" s="216" t="s">
        <v>592</v>
      </c>
      <c r="Z118" s="289"/>
      <c r="AA118" s="289"/>
      <c r="AB118" s="289"/>
      <c r="AC118" s="289"/>
      <c r="AD118" s="289"/>
      <c r="AE118" s="289"/>
      <c r="AF118" s="289"/>
      <c r="AG118" s="289"/>
      <c r="AH118" s="289"/>
      <c r="AI118" s="289"/>
      <c r="AJ118" s="289"/>
      <c r="AK118" s="289"/>
      <c r="AL118" s="289"/>
      <c r="AM118" s="289"/>
      <c r="AN118" s="289"/>
      <c r="AO118" s="289"/>
      <c r="AP118" s="289"/>
      <c r="AQ118" s="289"/>
      <c r="AR118" s="289"/>
      <c r="AS118" s="289"/>
      <c r="AT118" s="289"/>
      <c r="AU118" s="289"/>
      <c r="AV118" s="289"/>
      <c r="AW118" s="289"/>
      <c r="AX118" s="289"/>
      <c r="AY118" s="289"/>
      <c r="AZ118" s="289"/>
      <c r="BA118" s="289"/>
      <c r="BB118" s="289"/>
      <c r="BC118" s="289"/>
      <c r="BD118" s="290">
        <v>36000000</v>
      </c>
      <c r="BE118" s="290">
        <v>34532000</v>
      </c>
      <c r="BF118" s="290">
        <v>34532000</v>
      </c>
      <c r="BG118" s="336"/>
      <c r="BH118" s="336"/>
      <c r="BI118" s="336"/>
      <c r="BJ118" s="336"/>
      <c r="BK118" s="336"/>
      <c r="BL118" s="336"/>
      <c r="BM118" s="336"/>
      <c r="BN118" s="336"/>
      <c r="BO118" s="336"/>
      <c r="BP118" s="273">
        <f t="shared" si="30"/>
        <v>36000000</v>
      </c>
      <c r="BQ118" s="273">
        <f t="shared" si="31"/>
        <v>34532000</v>
      </c>
      <c r="BR118" s="273">
        <f t="shared" si="32"/>
        <v>34532000</v>
      </c>
      <c r="BS118" s="247" t="s">
        <v>1651</v>
      </c>
      <c r="BT118" s="233"/>
    </row>
    <row r="119" spans="1:72" s="27" customFormat="1" ht="204" customHeight="1" x14ac:dyDescent="0.2">
      <c r="A119" s="217">
        <v>312</v>
      </c>
      <c r="B119" s="216" t="s">
        <v>1622</v>
      </c>
      <c r="C119" s="213">
        <v>3</v>
      </c>
      <c r="D119" s="216" t="s">
        <v>1616</v>
      </c>
      <c r="E119" s="213">
        <v>32</v>
      </c>
      <c r="F119" s="216" t="s">
        <v>207</v>
      </c>
      <c r="G119" s="213">
        <v>3202</v>
      </c>
      <c r="H119" s="216" t="s">
        <v>568</v>
      </c>
      <c r="I119" s="213">
        <v>3202</v>
      </c>
      <c r="J119" s="216" t="s">
        <v>1594</v>
      </c>
      <c r="K119" s="216" t="s">
        <v>209</v>
      </c>
      <c r="L119" s="213" t="s">
        <v>41</v>
      </c>
      <c r="M119" s="216" t="s">
        <v>593</v>
      </c>
      <c r="N119" s="213">
        <v>3202014</v>
      </c>
      <c r="O119" s="216" t="s">
        <v>1481</v>
      </c>
      <c r="P119" s="213" t="s">
        <v>41</v>
      </c>
      <c r="Q119" s="311" t="s">
        <v>594</v>
      </c>
      <c r="R119" s="213">
        <v>320201402</v>
      </c>
      <c r="S119" s="311" t="s">
        <v>589</v>
      </c>
      <c r="T119" s="236" t="s">
        <v>1673</v>
      </c>
      <c r="U119" s="339">
        <v>1</v>
      </c>
      <c r="V119" s="339">
        <v>1</v>
      </c>
      <c r="W119" s="236" t="s">
        <v>595</v>
      </c>
      <c r="X119" s="214" t="s">
        <v>596</v>
      </c>
      <c r="Y119" s="216" t="s">
        <v>597</v>
      </c>
      <c r="Z119" s="289"/>
      <c r="AA119" s="289"/>
      <c r="AB119" s="289"/>
      <c r="AC119" s="289"/>
      <c r="AD119" s="289"/>
      <c r="AE119" s="289"/>
      <c r="AF119" s="289"/>
      <c r="AG119" s="289"/>
      <c r="AH119" s="289"/>
      <c r="AI119" s="289"/>
      <c r="AJ119" s="289"/>
      <c r="AK119" s="289"/>
      <c r="AL119" s="289"/>
      <c r="AM119" s="289"/>
      <c r="AN119" s="289"/>
      <c r="AO119" s="289"/>
      <c r="AP119" s="289"/>
      <c r="AQ119" s="289"/>
      <c r="AR119" s="289"/>
      <c r="AS119" s="289"/>
      <c r="AT119" s="289"/>
      <c r="AU119" s="289"/>
      <c r="AV119" s="289"/>
      <c r="AW119" s="289"/>
      <c r="AX119" s="289"/>
      <c r="AY119" s="289"/>
      <c r="AZ119" s="289"/>
      <c r="BA119" s="289"/>
      <c r="BB119" s="289"/>
      <c r="BC119" s="289"/>
      <c r="BD119" s="290">
        <v>54000000</v>
      </c>
      <c r="BE119" s="290">
        <v>43120666</v>
      </c>
      <c r="BF119" s="290">
        <v>43120666</v>
      </c>
      <c r="BG119" s="336"/>
      <c r="BH119" s="336"/>
      <c r="BI119" s="336"/>
      <c r="BJ119" s="336"/>
      <c r="BK119" s="336"/>
      <c r="BL119" s="336"/>
      <c r="BM119" s="336"/>
      <c r="BN119" s="336"/>
      <c r="BO119" s="336"/>
      <c r="BP119" s="273">
        <f t="shared" si="30"/>
        <v>54000000</v>
      </c>
      <c r="BQ119" s="273">
        <f t="shared" si="31"/>
        <v>43120666</v>
      </c>
      <c r="BR119" s="273">
        <f t="shared" si="32"/>
        <v>43120666</v>
      </c>
      <c r="BS119" s="247" t="s">
        <v>1651</v>
      </c>
      <c r="BT119" s="233"/>
    </row>
    <row r="120" spans="1:72" s="27" customFormat="1" ht="206.25" customHeight="1" x14ac:dyDescent="0.2">
      <c r="A120" s="217">
        <v>312</v>
      </c>
      <c r="B120" s="216" t="s">
        <v>1622</v>
      </c>
      <c r="C120" s="213">
        <v>3</v>
      </c>
      <c r="D120" s="216" t="s">
        <v>1616</v>
      </c>
      <c r="E120" s="213">
        <v>32</v>
      </c>
      <c r="F120" s="216" t="s">
        <v>207</v>
      </c>
      <c r="G120" s="213">
        <v>3204</v>
      </c>
      <c r="H120" s="216" t="s">
        <v>1595</v>
      </c>
      <c r="I120" s="213">
        <v>3204</v>
      </c>
      <c r="J120" s="216" t="s">
        <v>1595</v>
      </c>
      <c r="K120" s="216" t="s">
        <v>209</v>
      </c>
      <c r="L120" s="304">
        <v>3204012</v>
      </c>
      <c r="M120" s="216" t="s">
        <v>600</v>
      </c>
      <c r="N120" s="304">
        <v>3204012</v>
      </c>
      <c r="O120" s="216" t="s">
        <v>600</v>
      </c>
      <c r="P120" s="74" t="s">
        <v>601</v>
      </c>
      <c r="Q120" s="311" t="s">
        <v>602</v>
      </c>
      <c r="R120" s="74" t="s">
        <v>601</v>
      </c>
      <c r="S120" s="311" t="s">
        <v>602</v>
      </c>
      <c r="T120" s="236" t="s">
        <v>1673</v>
      </c>
      <c r="U120" s="76">
        <v>2</v>
      </c>
      <c r="V120" s="76">
        <v>1</v>
      </c>
      <c r="W120" s="236" t="s">
        <v>603</v>
      </c>
      <c r="X120" s="214" t="s">
        <v>604</v>
      </c>
      <c r="Y120" s="216" t="s">
        <v>605</v>
      </c>
      <c r="Z120" s="289"/>
      <c r="AA120" s="289"/>
      <c r="AB120" s="289"/>
      <c r="AC120" s="289"/>
      <c r="AD120" s="289"/>
      <c r="AE120" s="289"/>
      <c r="AF120" s="289"/>
      <c r="AG120" s="289"/>
      <c r="AH120" s="289"/>
      <c r="AI120" s="289"/>
      <c r="AJ120" s="289"/>
      <c r="AK120" s="289"/>
      <c r="AL120" s="289"/>
      <c r="AM120" s="289"/>
      <c r="AN120" s="289"/>
      <c r="AO120" s="289"/>
      <c r="AP120" s="289"/>
      <c r="AQ120" s="289"/>
      <c r="AR120" s="289"/>
      <c r="AS120" s="289"/>
      <c r="AT120" s="289"/>
      <c r="AU120" s="289"/>
      <c r="AV120" s="289"/>
      <c r="AW120" s="289"/>
      <c r="AX120" s="289"/>
      <c r="AY120" s="289"/>
      <c r="AZ120" s="289"/>
      <c r="BA120" s="289"/>
      <c r="BB120" s="289"/>
      <c r="BC120" s="289"/>
      <c r="BD120" s="290">
        <v>120000000</v>
      </c>
      <c r="BE120" s="290">
        <v>52835333</v>
      </c>
      <c r="BF120" s="290">
        <v>52835333</v>
      </c>
      <c r="BG120" s="336"/>
      <c r="BH120" s="336"/>
      <c r="BI120" s="336"/>
      <c r="BJ120" s="336"/>
      <c r="BK120" s="336"/>
      <c r="BL120" s="336"/>
      <c r="BM120" s="336"/>
      <c r="BN120" s="336"/>
      <c r="BO120" s="336"/>
      <c r="BP120" s="273">
        <f t="shared" si="30"/>
        <v>120000000</v>
      </c>
      <c r="BQ120" s="273">
        <f t="shared" ref="BQ120:BR126" si="33">+AA120+AD120+AG120+AJ120+AM120+AP120+AS120+AV120+AY120+BB120+BE120+BH120+BK120</f>
        <v>52835333</v>
      </c>
      <c r="BR120" s="273">
        <f t="shared" si="33"/>
        <v>52835333</v>
      </c>
      <c r="BS120" s="247" t="s">
        <v>1651</v>
      </c>
      <c r="BT120" s="233"/>
    </row>
    <row r="121" spans="1:72" s="27" customFormat="1" ht="98.25" customHeight="1" x14ac:dyDescent="0.2">
      <c r="A121" s="217">
        <v>312</v>
      </c>
      <c r="B121" s="216" t="s">
        <v>1622</v>
      </c>
      <c r="C121" s="213">
        <v>3</v>
      </c>
      <c r="D121" s="216" t="s">
        <v>1616</v>
      </c>
      <c r="E121" s="213">
        <v>32</v>
      </c>
      <c r="F121" s="216" t="s">
        <v>207</v>
      </c>
      <c r="G121" s="213">
        <v>3205</v>
      </c>
      <c r="H121" s="216" t="s">
        <v>208</v>
      </c>
      <c r="I121" s="213">
        <v>3205</v>
      </c>
      <c r="J121" s="216" t="s">
        <v>1596</v>
      </c>
      <c r="K121" s="216" t="s">
        <v>209</v>
      </c>
      <c r="L121" s="304" t="s">
        <v>606</v>
      </c>
      <c r="M121" s="216" t="s">
        <v>607</v>
      </c>
      <c r="N121" s="304" t="s">
        <v>606</v>
      </c>
      <c r="O121" s="216" t="s">
        <v>607</v>
      </c>
      <c r="P121" s="213" t="s">
        <v>608</v>
      </c>
      <c r="Q121" s="216" t="s">
        <v>609</v>
      </c>
      <c r="R121" s="213" t="s">
        <v>608</v>
      </c>
      <c r="S121" s="216" t="s">
        <v>609</v>
      </c>
      <c r="T121" s="236" t="s">
        <v>1673</v>
      </c>
      <c r="U121" s="76">
        <v>200</v>
      </c>
      <c r="V121" s="76">
        <v>0</v>
      </c>
      <c r="W121" s="236" t="s">
        <v>610</v>
      </c>
      <c r="X121" s="214" t="s">
        <v>611</v>
      </c>
      <c r="Y121" s="216" t="s">
        <v>612</v>
      </c>
      <c r="Z121" s="296"/>
      <c r="AA121" s="296"/>
      <c r="AB121" s="296"/>
      <c r="AC121" s="289"/>
      <c r="AD121" s="289"/>
      <c r="AE121" s="289"/>
      <c r="AF121" s="289"/>
      <c r="AG121" s="289"/>
      <c r="AH121" s="289"/>
      <c r="AI121" s="289"/>
      <c r="AJ121" s="289"/>
      <c r="AK121" s="289"/>
      <c r="AL121" s="289"/>
      <c r="AM121" s="289"/>
      <c r="AN121" s="289"/>
      <c r="AO121" s="289"/>
      <c r="AP121" s="289"/>
      <c r="AQ121" s="289"/>
      <c r="AR121" s="289"/>
      <c r="AS121" s="289"/>
      <c r="AT121" s="289"/>
      <c r="AU121" s="289"/>
      <c r="AV121" s="289"/>
      <c r="AW121" s="289"/>
      <c r="AX121" s="289"/>
      <c r="AY121" s="289"/>
      <c r="AZ121" s="289"/>
      <c r="BA121" s="289"/>
      <c r="BB121" s="289"/>
      <c r="BC121" s="289"/>
      <c r="BD121" s="290">
        <v>20000000</v>
      </c>
      <c r="BE121" s="545"/>
      <c r="BF121" s="545"/>
      <c r="BG121" s="336"/>
      <c r="BH121" s="336"/>
      <c r="BI121" s="336"/>
      <c r="BJ121" s="336"/>
      <c r="BK121" s="336"/>
      <c r="BL121" s="336"/>
      <c r="BM121" s="336"/>
      <c r="BN121" s="336"/>
      <c r="BO121" s="336"/>
      <c r="BP121" s="273">
        <f t="shared" si="30"/>
        <v>20000000</v>
      </c>
      <c r="BQ121" s="273">
        <f t="shared" si="33"/>
        <v>0</v>
      </c>
      <c r="BR121" s="273">
        <f t="shared" si="33"/>
        <v>0</v>
      </c>
      <c r="BS121" s="247" t="s">
        <v>1651</v>
      </c>
      <c r="BT121" s="233"/>
    </row>
    <row r="122" spans="1:72" s="27" customFormat="1" ht="105.75" customHeight="1" x14ac:dyDescent="0.2">
      <c r="A122" s="217">
        <v>312</v>
      </c>
      <c r="B122" s="216" t="s">
        <v>1622</v>
      </c>
      <c r="C122" s="213">
        <v>3</v>
      </c>
      <c r="D122" s="216" t="s">
        <v>1616</v>
      </c>
      <c r="E122" s="213">
        <v>32</v>
      </c>
      <c r="F122" s="216" t="s">
        <v>207</v>
      </c>
      <c r="G122" s="213">
        <v>3205</v>
      </c>
      <c r="H122" s="216" t="s">
        <v>208</v>
      </c>
      <c r="I122" s="213">
        <v>3205</v>
      </c>
      <c r="J122" s="216" t="s">
        <v>1596</v>
      </c>
      <c r="K122" s="216" t="s">
        <v>209</v>
      </c>
      <c r="L122" s="304" t="s">
        <v>613</v>
      </c>
      <c r="M122" s="216" t="s">
        <v>614</v>
      </c>
      <c r="N122" s="304" t="s">
        <v>613</v>
      </c>
      <c r="O122" s="216" t="s">
        <v>614</v>
      </c>
      <c r="P122" s="213" t="s">
        <v>615</v>
      </c>
      <c r="Q122" s="216" t="s">
        <v>616</v>
      </c>
      <c r="R122" s="213" t="s">
        <v>615</v>
      </c>
      <c r="S122" s="216" t="s">
        <v>616</v>
      </c>
      <c r="T122" s="236" t="s">
        <v>1673</v>
      </c>
      <c r="U122" s="76">
        <v>10</v>
      </c>
      <c r="V122" s="76">
        <v>0</v>
      </c>
      <c r="W122" s="236" t="s">
        <v>610</v>
      </c>
      <c r="X122" s="214" t="s">
        <v>611</v>
      </c>
      <c r="Y122" s="216" t="s">
        <v>612</v>
      </c>
      <c r="Z122" s="296"/>
      <c r="AA122" s="296"/>
      <c r="AB122" s="296"/>
      <c r="AC122" s="289"/>
      <c r="AD122" s="289"/>
      <c r="AE122" s="289"/>
      <c r="AF122" s="289"/>
      <c r="AG122" s="289"/>
      <c r="AH122" s="289"/>
      <c r="AI122" s="289"/>
      <c r="AJ122" s="289"/>
      <c r="AK122" s="289"/>
      <c r="AL122" s="289"/>
      <c r="AM122" s="289"/>
      <c r="AN122" s="289"/>
      <c r="AO122" s="289"/>
      <c r="AP122" s="289"/>
      <c r="AQ122" s="289"/>
      <c r="AR122" s="289"/>
      <c r="AS122" s="289"/>
      <c r="AT122" s="289"/>
      <c r="AU122" s="289"/>
      <c r="AV122" s="289"/>
      <c r="AW122" s="289"/>
      <c r="AX122" s="289"/>
      <c r="AY122" s="289"/>
      <c r="AZ122" s="289"/>
      <c r="BA122" s="289"/>
      <c r="BB122" s="289"/>
      <c r="BC122" s="289"/>
      <c r="BD122" s="290">
        <v>20000000</v>
      </c>
      <c r="BE122" s="545"/>
      <c r="BF122" s="545"/>
      <c r="BG122" s="336"/>
      <c r="BH122" s="336"/>
      <c r="BI122" s="336"/>
      <c r="BJ122" s="336"/>
      <c r="BK122" s="336"/>
      <c r="BL122" s="336"/>
      <c r="BM122" s="336"/>
      <c r="BN122" s="336"/>
      <c r="BO122" s="336"/>
      <c r="BP122" s="273">
        <f t="shared" si="30"/>
        <v>20000000</v>
      </c>
      <c r="BQ122" s="273">
        <f t="shared" si="33"/>
        <v>0</v>
      </c>
      <c r="BR122" s="273">
        <f t="shared" si="33"/>
        <v>0</v>
      </c>
      <c r="BS122" s="247" t="s">
        <v>1651</v>
      </c>
      <c r="BT122" s="233"/>
    </row>
    <row r="123" spans="1:72" s="27" customFormat="1" ht="105" customHeight="1" x14ac:dyDescent="0.2">
      <c r="A123" s="217">
        <v>312</v>
      </c>
      <c r="B123" s="216" t="s">
        <v>1622</v>
      </c>
      <c r="C123" s="213">
        <v>3</v>
      </c>
      <c r="D123" s="216" t="s">
        <v>1616</v>
      </c>
      <c r="E123" s="213">
        <v>32</v>
      </c>
      <c r="F123" s="216" t="s">
        <v>207</v>
      </c>
      <c r="G123" s="213">
        <v>3205</v>
      </c>
      <c r="H123" s="216" t="s">
        <v>208</v>
      </c>
      <c r="I123" s="213">
        <v>3205</v>
      </c>
      <c r="J123" s="216" t="s">
        <v>1596</v>
      </c>
      <c r="K123" s="216" t="s">
        <v>209</v>
      </c>
      <c r="L123" s="304">
        <v>3205010</v>
      </c>
      <c r="M123" s="216" t="s">
        <v>210</v>
      </c>
      <c r="N123" s="304">
        <v>3205010</v>
      </c>
      <c r="O123" s="216" t="s">
        <v>210</v>
      </c>
      <c r="P123" s="213" t="s">
        <v>211</v>
      </c>
      <c r="Q123" s="216" t="s">
        <v>212</v>
      </c>
      <c r="R123" s="213" t="s">
        <v>211</v>
      </c>
      <c r="S123" s="216" t="s">
        <v>212</v>
      </c>
      <c r="T123" s="236" t="s">
        <v>1673</v>
      </c>
      <c r="U123" s="76">
        <v>1</v>
      </c>
      <c r="V123" s="76">
        <v>0</v>
      </c>
      <c r="W123" s="236" t="s">
        <v>610</v>
      </c>
      <c r="X123" s="214" t="s">
        <v>611</v>
      </c>
      <c r="Y123" s="216" t="s">
        <v>612</v>
      </c>
      <c r="Z123" s="296"/>
      <c r="AA123" s="296"/>
      <c r="AB123" s="296"/>
      <c r="AC123" s="289"/>
      <c r="AD123" s="289"/>
      <c r="AE123" s="289"/>
      <c r="AF123" s="289"/>
      <c r="AG123" s="289"/>
      <c r="AH123" s="289"/>
      <c r="AI123" s="289"/>
      <c r="AJ123" s="289"/>
      <c r="AK123" s="289"/>
      <c r="AL123" s="289"/>
      <c r="AM123" s="289"/>
      <c r="AN123" s="289"/>
      <c r="AO123" s="289"/>
      <c r="AP123" s="289"/>
      <c r="AQ123" s="289"/>
      <c r="AR123" s="289"/>
      <c r="AS123" s="289"/>
      <c r="AT123" s="289"/>
      <c r="AU123" s="289"/>
      <c r="AV123" s="289"/>
      <c r="AW123" s="289"/>
      <c r="AX123" s="289"/>
      <c r="AY123" s="289"/>
      <c r="AZ123" s="289"/>
      <c r="BA123" s="289"/>
      <c r="BB123" s="289"/>
      <c r="BC123" s="289"/>
      <c r="BD123" s="290">
        <v>42000000</v>
      </c>
      <c r="BE123" s="336"/>
      <c r="BF123" s="336"/>
      <c r="BG123" s="336"/>
      <c r="BH123" s="336"/>
      <c r="BI123" s="336"/>
      <c r="BJ123" s="336"/>
      <c r="BK123" s="336"/>
      <c r="BL123" s="336"/>
      <c r="BM123" s="336"/>
      <c r="BN123" s="336"/>
      <c r="BO123" s="336"/>
      <c r="BP123" s="273">
        <f t="shared" si="30"/>
        <v>42000000</v>
      </c>
      <c r="BQ123" s="273">
        <f t="shared" si="33"/>
        <v>0</v>
      </c>
      <c r="BR123" s="273">
        <f t="shared" si="33"/>
        <v>0</v>
      </c>
      <c r="BS123" s="247" t="s">
        <v>1651</v>
      </c>
      <c r="BT123" s="233"/>
    </row>
    <row r="124" spans="1:72" s="27" customFormat="1" ht="119.25" customHeight="1" x14ac:dyDescent="0.2">
      <c r="A124" s="217">
        <v>312</v>
      </c>
      <c r="B124" s="216" t="s">
        <v>1622</v>
      </c>
      <c r="C124" s="213">
        <v>3</v>
      </c>
      <c r="D124" s="216" t="s">
        <v>1616</v>
      </c>
      <c r="E124" s="213">
        <v>32</v>
      </c>
      <c r="F124" s="216" t="s">
        <v>207</v>
      </c>
      <c r="G124" s="213">
        <v>3206</v>
      </c>
      <c r="H124" s="216" t="s">
        <v>618</v>
      </c>
      <c r="I124" s="213">
        <v>3206</v>
      </c>
      <c r="J124" s="216" t="s">
        <v>1597</v>
      </c>
      <c r="K124" s="216" t="s">
        <v>209</v>
      </c>
      <c r="L124" s="304" t="s">
        <v>619</v>
      </c>
      <c r="M124" s="216" t="s">
        <v>620</v>
      </c>
      <c r="N124" s="304" t="s">
        <v>619</v>
      </c>
      <c r="O124" s="216" t="s">
        <v>620</v>
      </c>
      <c r="P124" s="74" t="s">
        <v>621</v>
      </c>
      <c r="Q124" s="311" t="s">
        <v>622</v>
      </c>
      <c r="R124" s="74" t="s">
        <v>621</v>
      </c>
      <c r="S124" s="311" t="s">
        <v>622</v>
      </c>
      <c r="T124" s="236" t="s">
        <v>1673</v>
      </c>
      <c r="U124" s="76">
        <v>6</v>
      </c>
      <c r="V124" s="76">
        <v>6</v>
      </c>
      <c r="W124" s="236" t="s">
        <v>623</v>
      </c>
      <c r="X124" s="214" t="s">
        <v>624</v>
      </c>
      <c r="Y124" s="216" t="s">
        <v>625</v>
      </c>
      <c r="Z124" s="289"/>
      <c r="AA124" s="289"/>
      <c r="AB124" s="289"/>
      <c r="AC124" s="289"/>
      <c r="AD124" s="289"/>
      <c r="AE124" s="289"/>
      <c r="AF124" s="289"/>
      <c r="AG124" s="289"/>
      <c r="AH124" s="289"/>
      <c r="AI124" s="289"/>
      <c r="AJ124" s="289"/>
      <c r="AK124" s="289"/>
      <c r="AL124" s="289"/>
      <c r="AM124" s="289"/>
      <c r="AN124" s="289"/>
      <c r="AO124" s="289"/>
      <c r="AP124" s="289"/>
      <c r="AQ124" s="289"/>
      <c r="AR124" s="289"/>
      <c r="AS124" s="289"/>
      <c r="AT124" s="289"/>
      <c r="AU124" s="289"/>
      <c r="AV124" s="289"/>
      <c r="AW124" s="289"/>
      <c r="AX124" s="289"/>
      <c r="AY124" s="289"/>
      <c r="AZ124" s="289"/>
      <c r="BA124" s="289"/>
      <c r="BB124" s="289"/>
      <c r="BC124" s="289"/>
      <c r="BD124" s="290">
        <v>25000000</v>
      </c>
      <c r="BE124" s="290">
        <v>9535000</v>
      </c>
      <c r="BF124" s="290">
        <v>9535000</v>
      </c>
      <c r="BG124" s="336"/>
      <c r="BH124" s="336"/>
      <c r="BI124" s="336"/>
      <c r="BJ124" s="336"/>
      <c r="BK124" s="336"/>
      <c r="BL124" s="336"/>
      <c r="BM124" s="336"/>
      <c r="BN124" s="336"/>
      <c r="BO124" s="336"/>
      <c r="BP124" s="273">
        <f t="shared" si="30"/>
        <v>25000000</v>
      </c>
      <c r="BQ124" s="273">
        <f t="shared" si="33"/>
        <v>9535000</v>
      </c>
      <c r="BR124" s="273">
        <f t="shared" si="33"/>
        <v>9535000</v>
      </c>
      <c r="BS124" s="247" t="s">
        <v>1651</v>
      </c>
      <c r="BT124" s="233"/>
    </row>
    <row r="125" spans="1:72" s="27" customFormat="1" ht="117.75" customHeight="1" x14ac:dyDescent="0.2">
      <c r="A125" s="217">
        <v>312</v>
      </c>
      <c r="B125" s="216" t="s">
        <v>1622</v>
      </c>
      <c r="C125" s="213">
        <v>3</v>
      </c>
      <c r="D125" s="216" t="s">
        <v>1616</v>
      </c>
      <c r="E125" s="213">
        <v>32</v>
      </c>
      <c r="F125" s="216" t="s">
        <v>207</v>
      </c>
      <c r="G125" s="213">
        <v>3206</v>
      </c>
      <c r="H125" s="216" t="s">
        <v>618</v>
      </c>
      <c r="I125" s="213">
        <v>3206</v>
      </c>
      <c r="J125" s="216" t="s">
        <v>1597</v>
      </c>
      <c r="K125" s="216" t="s">
        <v>209</v>
      </c>
      <c r="L125" s="304">
        <v>3206014</v>
      </c>
      <c r="M125" s="216" t="s">
        <v>626</v>
      </c>
      <c r="N125" s="304">
        <v>3206014</v>
      </c>
      <c r="O125" s="216" t="s">
        <v>626</v>
      </c>
      <c r="P125" s="74" t="s">
        <v>627</v>
      </c>
      <c r="Q125" s="311" t="s">
        <v>628</v>
      </c>
      <c r="R125" s="74" t="s">
        <v>627</v>
      </c>
      <c r="S125" s="311" t="s">
        <v>628</v>
      </c>
      <c r="T125" s="236" t="s">
        <v>1673</v>
      </c>
      <c r="U125" s="76">
        <v>1950</v>
      </c>
      <c r="V125" s="76">
        <v>1932</v>
      </c>
      <c r="W125" s="236" t="s">
        <v>623</v>
      </c>
      <c r="X125" s="214" t="s">
        <v>624</v>
      </c>
      <c r="Y125" s="216" t="s">
        <v>625</v>
      </c>
      <c r="Z125" s="289"/>
      <c r="AA125" s="289"/>
      <c r="AB125" s="289"/>
      <c r="AC125" s="289"/>
      <c r="AD125" s="289"/>
      <c r="AE125" s="289"/>
      <c r="AF125" s="289"/>
      <c r="AG125" s="289"/>
      <c r="AH125" s="289"/>
      <c r="AI125" s="289"/>
      <c r="AJ125" s="289"/>
      <c r="AK125" s="289"/>
      <c r="AL125" s="289"/>
      <c r="AM125" s="289"/>
      <c r="AN125" s="289"/>
      <c r="AO125" s="289"/>
      <c r="AP125" s="289"/>
      <c r="AQ125" s="289"/>
      <c r="AR125" s="289"/>
      <c r="AS125" s="289"/>
      <c r="AT125" s="289"/>
      <c r="AU125" s="289"/>
      <c r="AV125" s="289"/>
      <c r="AW125" s="289"/>
      <c r="AX125" s="289"/>
      <c r="AY125" s="289"/>
      <c r="AZ125" s="289"/>
      <c r="BA125" s="289"/>
      <c r="BB125" s="289"/>
      <c r="BC125" s="289"/>
      <c r="BD125" s="290">
        <v>18000000</v>
      </c>
      <c r="BE125" s="336"/>
      <c r="BF125" s="336"/>
      <c r="BG125" s="336"/>
      <c r="BH125" s="336"/>
      <c r="BI125" s="336"/>
      <c r="BJ125" s="336"/>
      <c r="BK125" s="336"/>
      <c r="BL125" s="336"/>
      <c r="BM125" s="336"/>
      <c r="BN125" s="336"/>
      <c r="BO125" s="336"/>
      <c r="BP125" s="273">
        <f t="shared" si="30"/>
        <v>18000000</v>
      </c>
      <c r="BQ125" s="273">
        <f t="shared" si="33"/>
        <v>0</v>
      </c>
      <c r="BR125" s="273">
        <f t="shared" si="33"/>
        <v>0</v>
      </c>
      <c r="BS125" s="247" t="s">
        <v>1651</v>
      </c>
      <c r="BT125" s="233"/>
    </row>
    <row r="126" spans="1:72" s="27" customFormat="1" ht="113.25" customHeight="1" x14ac:dyDescent="0.2">
      <c r="A126" s="217">
        <v>312</v>
      </c>
      <c r="B126" s="216" t="s">
        <v>1622</v>
      </c>
      <c r="C126" s="213">
        <v>3</v>
      </c>
      <c r="D126" s="216" t="s">
        <v>1616</v>
      </c>
      <c r="E126" s="213">
        <v>32</v>
      </c>
      <c r="F126" s="216" t="s">
        <v>207</v>
      </c>
      <c r="G126" s="213">
        <v>3206</v>
      </c>
      <c r="H126" s="216" t="s">
        <v>618</v>
      </c>
      <c r="I126" s="213">
        <v>3206</v>
      </c>
      <c r="J126" s="216" t="s">
        <v>1597</v>
      </c>
      <c r="K126" s="216" t="s">
        <v>209</v>
      </c>
      <c r="L126" s="304" t="s">
        <v>629</v>
      </c>
      <c r="M126" s="216" t="s">
        <v>630</v>
      </c>
      <c r="N126" s="304" t="s">
        <v>629</v>
      </c>
      <c r="O126" s="216" t="s">
        <v>630</v>
      </c>
      <c r="P126" s="74" t="s">
        <v>631</v>
      </c>
      <c r="Q126" s="311" t="s">
        <v>632</v>
      </c>
      <c r="R126" s="74" t="s">
        <v>631</v>
      </c>
      <c r="S126" s="311" t="s">
        <v>632</v>
      </c>
      <c r="T126" s="236" t="s">
        <v>1673</v>
      </c>
      <c r="U126" s="76">
        <v>20</v>
      </c>
      <c r="V126" s="76">
        <v>0</v>
      </c>
      <c r="W126" s="236" t="s">
        <v>623</v>
      </c>
      <c r="X126" s="214" t="s">
        <v>624</v>
      </c>
      <c r="Y126" s="216" t="s">
        <v>625</v>
      </c>
      <c r="Z126" s="289"/>
      <c r="AA126" s="289"/>
      <c r="AB126" s="289"/>
      <c r="AC126" s="289"/>
      <c r="AD126" s="289"/>
      <c r="AE126" s="289"/>
      <c r="AF126" s="289"/>
      <c r="AG126" s="289"/>
      <c r="AH126" s="289"/>
      <c r="AI126" s="289"/>
      <c r="AJ126" s="289"/>
      <c r="AK126" s="289"/>
      <c r="AL126" s="289"/>
      <c r="AM126" s="289"/>
      <c r="AN126" s="289"/>
      <c r="AO126" s="289"/>
      <c r="AP126" s="289"/>
      <c r="AQ126" s="289"/>
      <c r="AR126" s="289"/>
      <c r="AS126" s="289"/>
      <c r="AT126" s="289"/>
      <c r="AU126" s="289"/>
      <c r="AV126" s="289"/>
      <c r="AW126" s="289"/>
      <c r="AX126" s="289"/>
      <c r="AY126" s="289"/>
      <c r="AZ126" s="289"/>
      <c r="BA126" s="289"/>
      <c r="BB126" s="289"/>
      <c r="BC126" s="289"/>
      <c r="BD126" s="290">
        <v>75000000</v>
      </c>
      <c r="BE126" s="336"/>
      <c r="BF126" s="336"/>
      <c r="BG126" s="336"/>
      <c r="BH126" s="336"/>
      <c r="BI126" s="336"/>
      <c r="BJ126" s="336"/>
      <c r="BK126" s="336"/>
      <c r="BL126" s="336"/>
      <c r="BM126" s="336"/>
      <c r="BN126" s="336"/>
      <c r="BO126" s="336"/>
      <c r="BP126" s="273">
        <f t="shared" si="30"/>
        <v>75000000</v>
      </c>
      <c r="BQ126" s="273">
        <f t="shared" si="33"/>
        <v>0</v>
      </c>
      <c r="BR126" s="273">
        <f t="shared" si="33"/>
        <v>0</v>
      </c>
      <c r="BS126" s="247" t="s">
        <v>1651</v>
      </c>
      <c r="BT126" s="233"/>
    </row>
    <row r="127" spans="1:72" s="27" customFormat="1" ht="222" customHeight="1" x14ac:dyDescent="0.2">
      <c r="A127" s="217">
        <v>313</v>
      </c>
      <c r="B127" s="216" t="s">
        <v>1624</v>
      </c>
      <c r="C127" s="213">
        <v>4</v>
      </c>
      <c r="D127" s="216" t="s">
        <v>1612</v>
      </c>
      <c r="E127" s="213">
        <v>45</v>
      </c>
      <c r="F127" s="287" t="s">
        <v>38</v>
      </c>
      <c r="G127" s="213" t="s">
        <v>41</v>
      </c>
      <c r="H127" s="216" t="s">
        <v>1570</v>
      </c>
      <c r="I127" s="213">
        <v>4599</v>
      </c>
      <c r="J127" s="216" t="s">
        <v>1571</v>
      </c>
      <c r="K127" s="216" t="s">
        <v>40</v>
      </c>
      <c r="L127" s="213" t="s">
        <v>41</v>
      </c>
      <c r="M127" s="216" t="s">
        <v>635</v>
      </c>
      <c r="N127" s="213">
        <v>4599023</v>
      </c>
      <c r="O127" s="216" t="s">
        <v>116</v>
      </c>
      <c r="P127" s="213" t="s">
        <v>41</v>
      </c>
      <c r="Q127" s="291" t="s">
        <v>636</v>
      </c>
      <c r="R127" s="213">
        <v>459902304</v>
      </c>
      <c r="S127" s="291" t="s">
        <v>637</v>
      </c>
      <c r="T127" s="236" t="s">
        <v>1671</v>
      </c>
      <c r="U127" s="339">
        <v>1</v>
      </c>
      <c r="V127" s="339">
        <v>1</v>
      </c>
      <c r="W127" s="236" t="s">
        <v>638</v>
      </c>
      <c r="X127" s="327" t="s">
        <v>639</v>
      </c>
      <c r="Y127" s="327" t="s">
        <v>640</v>
      </c>
      <c r="Z127" s="289"/>
      <c r="AA127" s="289"/>
      <c r="AB127" s="289"/>
      <c r="AC127" s="289"/>
      <c r="AD127" s="289"/>
      <c r="AE127" s="289"/>
      <c r="AF127" s="289"/>
      <c r="AG127" s="289"/>
      <c r="AH127" s="289"/>
      <c r="AI127" s="289"/>
      <c r="AJ127" s="289"/>
      <c r="AK127" s="289"/>
      <c r="AL127" s="289"/>
      <c r="AM127" s="289"/>
      <c r="AN127" s="289"/>
      <c r="AO127" s="289"/>
      <c r="AP127" s="289"/>
      <c r="AQ127" s="289"/>
      <c r="AR127" s="289"/>
      <c r="AS127" s="289"/>
      <c r="AT127" s="289"/>
      <c r="AU127" s="289"/>
      <c r="AV127" s="289"/>
      <c r="AW127" s="289"/>
      <c r="AX127" s="289"/>
      <c r="AY127" s="289"/>
      <c r="AZ127" s="289"/>
      <c r="BA127" s="289"/>
      <c r="BB127" s="289"/>
      <c r="BC127" s="289"/>
      <c r="BD127" s="302">
        <v>249636991.63999999</v>
      </c>
      <c r="BE127" s="302">
        <v>249630991.63999999</v>
      </c>
      <c r="BF127" s="302">
        <v>249630991.63999999</v>
      </c>
      <c r="BG127" s="289"/>
      <c r="BH127" s="289"/>
      <c r="BI127" s="289"/>
      <c r="BJ127" s="289"/>
      <c r="BK127" s="289"/>
      <c r="BL127" s="289"/>
      <c r="BM127" s="289"/>
      <c r="BN127" s="289"/>
      <c r="BO127" s="289"/>
      <c r="BP127" s="273">
        <f>+Z127+AC127+AF127+AI127+AL127+AO127+AR127+AU127+AX127+BA127+BD127+BG127+BJ127</f>
        <v>249636991.63999999</v>
      </c>
      <c r="BQ127" s="273">
        <f t="shared" ref="BP127:BR128" si="34">+AA127+AD127+AG127+AJ127+AM127+AP127+AS127+AV127+AY127+BB127+BE127+BH127+BK127</f>
        <v>249630991.63999999</v>
      </c>
      <c r="BR127" s="273">
        <f t="shared" si="34"/>
        <v>249630991.63999999</v>
      </c>
      <c r="BS127" s="236" t="s">
        <v>1652</v>
      </c>
      <c r="BT127" s="233"/>
    </row>
    <row r="128" spans="1:72" s="27" customFormat="1" ht="193.5" customHeight="1" x14ac:dyDescent="0.2">
      <c r="A128" s="217">
        <v>313</v>
      </c>
      <c r="B128" s="216" t="s">
        <v>1624</v>
      </c>
      <c r="C128" s="213">
        <v>4</v>
      </c>
      <c r="D128" s="216" t="s">
        <v>1612</v>
      </c>
      <c r="E128" s="213">
        <v>45</v>
      </c>
      <c r="F128" s="287" t="s">
        <v>38</v>
      </c>
      <c r="G128" s="213" t="s">
        <v>41</v>
      </c>
      <c r="H128" s="216" t="s">
        <v>1570</v>
      </c>
      <c r="I128" s="213">
        <v>4599</v>
      </c>
      <c r="J128" s="216" t="s">
        <v>1571</v>
      </c>
      <c r="K128" s="216" t="s">
        <v>40</v>
      </c>
      <c r="L128" s="213" t="s">
        <v>41</v>
      </c>
      <c r="M128" s="216" t="s">
        <v>641</v>
      </c>
      <c r="N128" s="213">
        <v>4599029</v>
      </c>
      <c r="O128" s="216" t="s">
        <v>63</v>
      </c>
      <c r="P128" s="213" t="s">
        <v>41</v>
      </c>
      <c r="Q128" s="291" t="s">
        <v>642</v>
      </c>
      <c r="R128" s="217">
        <v>459902900</v>
      </c>
      <c r="S128" s="291" t="s">
        <v>65</v>
      </c>
      <c r="T128" s="236" t="s">
        <v>1671</v>
      </c>
      <c r="U128" s="339">
        <v>1</v>
      </c>
      <c r="V128" s="339">
        <v>1</v>
      </c>
      <c r="W128" s="236" t="s">
        <v>643</v>
      </c>
      <c r="X128" s="214" t="s">
        <v>644</v>
      </c>
      <c r="Y128" s="216" t="s">
        <v>645</v>
      </c>
      <c r="Z128" s="289"/>
      <c r="AA128" s="289"/>
      <c r="AB128" s="289"/>
      <c r="AC128" s="289"/>
      <c r="AD128" s="289"/>
      <c r="AE128" s="289"/>
      <c r="AF128" s="289"/>
      <c r="AG128" s="289"/>
      <c r="AH128" s="289"/>
      <c r="AI128" s="289"/>
      <c r="AJ128" s="289"/>
      <c r="AK128" s="289"/>
      <c r="AL128" s="289"/>
      <c r="AM128" s="289"/>
      <c r="AN128" s="289"/>
      <c r="AO128" s="289"/>
      <c r="AP128" s="289"/>
      <c r="AQ128" s="289"/>
      <c r="AR128" s="289"/>
      <c r="AS128" s="289"/>
      <c r="AT128" s="289"/>
      <c r="AU128" s="289"/>
      <c r="AV128" s="289"/>
      <c r="AW128" s="289"/>
      <c r="AX128" s="289"/>
      <c r="AY128" s="289"/>
      <c r="AZ128" s="289"/>
      <c r="BA128" s="289"/>
      <c r="BB128" s="289"/>
      <c r="BC128" s="289"/>
      <c r="BD128" s="302">
        <v>783075508.38</v>
      </c>
      <c r="BE128" s="302">
        <v>781340164.30999994</v>
      </c>
      <c r="BF128" s="302">
        <v>781340164.30999994</v>
      </c>
      <c r="BG128" s="289"/>
      <c r="BH128" s="289"/>
      <c r="BI128" s="289"/>
      <c r="BJ128" s="289"/>
      <c r="BK128" s="289"/>
      <c r="BL128" s="289"/>
      <c r="BM128" s="289"/>
      <c r="BN128" s="289"/>
      <c r="BO128" s="289"/>
      <c r="BP128" s="273">
        <f t="shared" si="34"/>
        <v>783075508.38</v>
      </c>
      <c r="BQ128" s="273">
        <f t="shared" si="34"/>
        <v>781340164.30999994</v>
      </c>
      <c r="BR128" s="273">
        <f t="shared" si="34"/>
        <v>781340164.30999994</v>
      </c>
      <c r="BS128" s="236" t="s">
        <v>1652</v>
      </c>
      <c r="BT128" s="233"/>
    </row>
    <row r="129" spans="1:72" s="27" customFormat="1" ht="191.25" customHeight="1" x14ac:dyDescent="0.2">
      <c r="A129" s="217">
        <v>313</v>
      </c>
      <c r="B129" s="216" t="s">
        <v>1624</v>
      </c>
      <c r="C129" s="213">
        <v>4</v>
      </c>
      <c r="D129" s="216" t="s">
        <v>1612</v>
      </c>
      <c r="E129" s="213">
        <v>45</v>
      </c>
      <c r="F129" s="287" t="s">
        <v>38</v>
      </c>
      <c r="G129" s="213">
        <v>4502</v>
      </c>
      <c r="H129" s="216" t="s">
        <v>1566</v>
      </c>
      <c r="I129" s="213">
        <v>4502</v>
      </c>
      <c r="J129" s="216" t="s">
        <v>1567</v>
      </c>
      <c r="K129" s="216" t="s">
        <v>61</v>
      </c>
      <c r="L129" s="213" t="s">
        <v>41</v>
      </c>
      <c r="M129" s="216" t="s">
        <v>646</v>
      </c>
      <c r="N129" s="213">
        <v>4502001</v>
      </c>
      <c r="O129" s="216" t="s">
        <v>72</v>
      </c>
      <c r="P129" s="213" t="s">
        <v>41</v>
      </c>
      <c r="Q129" s="291" t="s">
        <v>647</v>
      </c>
      <c r="R129" s="213">
        <v>450200100</v>
      </c>
      <c r="S129" s="291" t="s">
        <v>74</v>
      </c>
      <c r="T129" s="236" t="s">
        <v>1671</v>
      </c>
      <c r="U129" s="76">
        <v>30</v>
      </c>
      <c r="V129" s="76">
        <v>30</v>
      </c>
      <c r="W129" s="324" t="s">
        <v>648</v>
      </c>
      <c r="X129" s="214" t="s">
        <v>649</v>
      </c>
      <c r="Y129" s="216" t="s">
        <v>650</v>
      </c>
      <c r="Z129" s="308"/>
      <c r="AA129" s="308"/>
      <c r="AB129" s="308"/>
      <c r="AC129" s="308"/>
      <c r="AD129" s="308"/>
      <c r="AE129" s="308"/>
      <c r="AF129" s="308"/>
      <c r="AG129" s="308"/>
      <c r="AH129" s="308"/>
      <c r="AI129" s="308"/>
      <c r="AJ129" s="308"/>
      <c r="AK129" s="308"/>
      <c r="AL129" s="308"/>
      <c r="AM129" s="308"/>
      <c r="AN129" s="308"/>
      <c r="AO129" s="308"/>
      <c r="AP129" s="308"/>
      <c r="AQ129" s="308"/>
      <c r="AR129" s="308"/>
      <c r="AS129" s="308"/>
      <c r="AT129" s="308"/>
      <c r="AU129" s="308"/>
      <c r="AV129" s="308"/>
      <c r="AW129" s="308"/>
      <c r="AX129" s="308"/>
      <c r="AY129" s="308"/>
      <c r="AZ129" s="308"/>
      <c r="BA129" s="308"/>
      <c r="BB129" s="308"/>
      <c r="BC129" s="308"/>
      <c r="BD129" s="333">
        <v>144287499.97999999</v>
      </c>
      <c r="BE129" s="333">
        <v>144287499.97999999</v>
      </c>
      <c r="BF129" s="333">
        <v>144287499.97999999</v>
      </c>
      <c r="BG129" s="308"/>
      <c r="BH129" s="308"/>
      <c r="BI129" s="308"/>
      <c r="BJ129" s="308"/>
      <c r="BK129" s="308"/>
      <c r="BL129" s="308"/>
      <c r="BM129" s="308"/>
      <c r="BN129" s="308"/>
      <c r="BO129" s="308"/>
      <c r="BP129" s="273">
        <f t="shared" ref="BP129:BR130" si="35">+Z129+AC129+AF129+AI129+AL129+AO129+AR129+AU129+AX129+BA129+BD129+BG129+BJ129</f>
        <v>144287499.97999999</v>
      </c>
      <c r="BQ129" s="273">
        <f t="shared" si="35"/>
        <v>144287499.97999999</v>
      </c>
      <c r="BR129" s="273">
        <f t="shared" si="35"/>
        <v>144287499.97999999</v>
      </c>
      <c r="BS129" s="236" t="s">
        <v>1652</v>
      </c>
      <c r="BT129" s="233"/>
    </row>
    <row r="130" spans="1:72" s="27" customFormat="1" ht="130.5" customHeight="1" x14ac:dyDescent="0.2">
      <c r="A130" s="217">
        <v>314</v>
      </c>
      <c r="B130" s="216" t="s">
        <v>1626</v>
      </c>
      <c r="C130" s="213">
        <v>1</v>
      </c>
      <c r="D130" s="216" t="s">
        <v>1614</v>
      </c>
      <c r="E130" s="213">
        <v>22</v>
      </c>
      <c r="F130" s="287" t="s">
        <v>156</v>
      </c>
      <c r="G130" s="213">
        <v>2201</v>
      </c>
      <c r="H130" s="216" t="s">
        <v>277</v>
      </c>
      <c r="I130" s="213">
        <v>2201</v>
      </c>
      <c r="J130" s="216" t="s">
        <v>1587</v>
      </c>
      <c r="K130" s="216" t="s">
        <v>652</v>
      </c>
      <c r="L130" s="213">
        <v>2201030</v>
      </c>
      <c r="M130" s="216" t="s">
        <v>653</v>
      </c>
      <c r="N130" s="213">
        <v>2201030</v>
      </c>
      <c r="O130" s="216" t="s">
        <v>653</v>
      </c>
      <c r="P130" s="334">
        <v>220103000</v>
      </c>
      <c r="Q130" s="216" t="s">
        <v>654</v>
      </c>
      <c r="R130" s="334">
        <v>220103000</v>
      </c>
      <c r="S130" s="216" t="s">
        <v>654</v>
      </c>
      <c r="T130" s="236" t="s">
        <v>1671</v>
      </c>
      <c r="U130" s="76">
        <v>2500</v>
      </c>
      <c r="V130" s="76">
        <v>2292</v>
      </c>
      <c r="W130" s="236" t="s">
        <v>655</v>
      </c>
      <c r="X130" s="214" t="s">
        <v>656</v>
      </c>
      <c r="Y130" s="216" t="s">
        <v>657</v>
      </c>
      <c r="Z130" s="289"/>
      <c r="AA130" s="289"/>
      <c r="AB130" s="289"/>
      <c r="AC130" s="289"/>
      <c r="AD130" s="289"/>
      <c r="AE130" s="289"/>
      <c r="AF130" s="289"/>
      <c r="AG130" s="289"/>
      <c r="AH130" s="289"/>
      <c r="AI130" s="289"/>
      <c r="AJ130" s="289"/>
      <c r="AK130" s="289"/>
      <c r="AL130" s="289"/>
      <c r="AM130" s="289"/>
      <c r="AN130" s="289"/>
      <c r="AO130" s="289"/>
      <c r="AP130" s="289"/>
      <c r="AQ130" s="289"/>
      <c r="AR130" s="289">
        <v>1343703729</v>
      </c>
      <c r="AS130" s="289">
        <v>1300832085</v>
      </c>
      <c r="AT130" s="289">
        <v>1300832085</v>
      </c>
      <c r="AU130" s="289"/>
      <c r="AV130" s="289"/>
      <c r="AW130" s="289"/>
      <c r="AX130" s="289"/>
      <c r="AY130" s="289"/>
      <c r="AZ130" s="289"/>
      <c r="BA130" s="289"/>
      <c r="BB130" s="289"/>
      <c r="BC130" s="289"/>
      <c r="BD130" s="294"/>
      <c r="BE130" s="294"/>
      <c r="BF130" s="294"/>
      <c r="BG130" s="289"/>
      <c r="BH130" s="289"/>
      <c r="BI130" s="289"/>
      <c r="BJ130" s="289"/>
      <c r="BK130" s="289"/>
      <c r="BL130" s="289"/>
      <c r="BM130" s="289"/>
      <c r="BN130" s="289"/>
      <c r="BO130" s="289"/>
      <c r="BP130" s="273">
        <f>+Z130+AC130+AF130+AI130+AL130+AO130+AR130+AU130+AX130+BA130+BD130+BG130+BJ130</f>
        <v>1343703729</v>
      </c>
      <c r="BQ130" s="273">
        <f>+AA130+AD130+AG130+AJ130+AM130+AP130+AS130+AV130+AY130+BB130+BE130+BH130+BK130</f>
        <v>1300832085</v>
      </c>
      <c r="BR130" s="273">
        <f t="shared" si="35"/>
        <v>1300832085</v>
      </c>
      <c r="BS130" s="246" t="s">
        <v>1653</v>
      </c>
      <c r="BT130" s="233"/>
    </row>
    <row r="131" spans="1:72" s="27" customFormat="1" ht="111.75" customHeight="1" x14ac:dyDescent="0.2">
      <c r="A131" s="217">
        <v>314</v>
      </c>
      <c r="B131" s="216" t="s">
        <v>1626</v>
      </c>
      <c r="C131" s="213">
        <v>1</v>
      </c>
      <c r="D131" s="216" t="s">
        <v>1614</v>
      </c>
      <c r="E131" s="213">
        <v>22</v>
      </c>
      <c r="F131" s="287" t="s">
        <v>156</v>
      </c>
      <c r="G131" s="213">
        <v>2201</v>
      </c>
      <c r="H131" s="216" t="s">
        <v>277</v>
      </c>
      <c r="I131" s="213">
        <v>2201</v>
      </c>
      <c r="J131" s="216" t="s">
        <v>1587</v>
      </c>
      <c r="K131" s="216" t="s">
        <v>658</v>
      </c>
      <c r="L131" s="213">
        <v>2201033</v>
      </c>
      <c r="M131" s="216" t="s">
        <v>659</v>
      </c>
      <c r="N131" s="213">
        <v>2201033</v>
      </c>
      <c r="O131" s="216" t="s">
        <v>659</v>
      </c>
      <c r="P131" s="334">
        <v>220103300</v>
      </c>
      <c r="Q131" s="311" t="s">
        <v>660</v>
      </c>
      <c r="R131" s="334">
        <v>220103300</v>
      </c>
      <c r="S131" s="311" t="s">
        <v>660</v>
      </c>
      <c r="T131" s="236" t="s">
        <v>1673</v>
      </c>
      <c r="U131" s="76">
        <v>9000</v>
      </c>
      <c r="V131" s="76">
        <v>9000</v>
      </c>
      <c r="W131" s="236" t="s">
        <v>655</v>
      </c>
      <c r="X131" s="214" t="s">
        <v>656</v>
      </c>
      <c r="Y131" s="216" t="s">
        <v>657</v>
      </c>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89"/>
      <c r="AY131" s="289"/>
      <c r="AZ131" s="289"/>
      <c r="BA131" s="289"/>
      <c r="BB131" s="289"/>
      <c r="BC131" s="289"/>
      <c r="BD131" s="340">
        <f>18000000</f>
        <v>18000000</v>
      </c>
      <c r="BE131" s="340">
        <v>18000000</v>
      </c>
      <c r="BF131" s="340">
        <v>18000000</v>
      </c>
      <c r="BG131" s="289"/>
      <c r="BH131" s="289"/>
      <c r="BI131" s="289"/>
      <c r="BJ131" s="289"/>
      <c r="BK131" s="289"/>
      <c r="BL131" s="289"/>
      <c r="BM131" s="289"/>
      <c r="BN131" s="289"/>
      <c r="BO131" s="289"/>
      <c r="BP131" s="273">
        <f>+Z131+AC131+AF131+AI131+AL131+AO131+AR131+AU131+AX131+BA131+BD131+BG131+BJ131</f>
        <v>18000000</v>
      </c>
      <c r="BQ131" s="273">
        <f t="shared" ref="BQ131:BQ142" si="36">+AA131+AD131+AG131+AJ131+AM131+AP131+AS131+AV131+AY131+BB131+BE131+BH131+BK131</f>
        <v>18000000</v>
      </c>
      <c r="BR131" s="273">
        <f t="shared" ref="BR131:BR141" si="37">+AB131+AE131+AH131+AK131+AN131+AQ131+AT131+AW131+AZ131+BC131+BF131+BI131+BL131</f>
        <v>18000000</v>
      </c>
      <c r="BS131" s="246" t="s">
        <v>1653</v>
      </c>
      <c r="BT131" s="233"/>
    </row>
    <row r="132" spans="1:72" s="27" customFormat="1" ht="120" customHeight="1" x14ac:dyDescent="0.2">
      <c r="A132" s="217">
        <v>314</v>
      </c>
      <c r="B132" s="216" t="s">
        <v>1626</v>
      </c>
      <c r="C132" s="213">
        <v>1</v>
      </c>
      <c r="D132" s="216" t="s">
        <v>1614</v>
      </c>
      <c r="E132" s="213">
        <v>22</v>
      </c>
      <c r="F132" s="287" t="s">
        <v>156</v>
      </c>
      <c r="G132" s="213">
        <v>2201</v>
      </c>
      <c r="H132" s="216" t="s">
        <v>277</v>
      </c>
      <c r="I132" s="213">
        <v>2201</v>
      </c>
      <c r="J132" s="216" t="s">
        <v>1587</v>
      </c>
      <c r="K132" s="216" t="s">
        <v>661</v>
      </c>
      <c r="L132" s="213">
        <v>2201032</v>
      </c>
      <c r="M132" s="216" t="s">
        <v>662</v>
      </c>
      <c r="N132" s="213">
        <v>2201032</v>
      </c>
      <c r="O132" s="216" t="s">
        <v>662</v>
      </c>
      <c r="P132" s="304">
        <v>220103200</v>
      </c>
      <c r="Q132" s="216" t="s">
        <v>663</v>
      </c>
      <c r="R132" s="304">
        <v>220103200</v>
      </c>
      <c r="S132" s="216" t="s">
        <v>663</v>
      </c>
      <c r="T132" s="236" t="s">
        <v>1673</v>
      </c>
      <c r="U132" s="76">
        <v>200</v>
      </c>
      <c r="V132" s="76">
        <v>264</v>
      </c>
      <c r="W132" s="236" t="s">
        <v>655</v>
      </c>
      <c r="X132" s="214" t="s">
        <v>656</v>
      </c>
      <c r="Y132" s="216" t="s">
        <v>657</v>
      </c>
      <c r="Z132" s="289"/>
      <c r="AA132" s="289"/>
      <c r="AB132" s="289"/>
      <c r="AC132" s="289"/>
      <c r="AD132" s="289"/>
      <c r="AE132" s="289"/>
      <c r="AF132" s="289"/>
      <c r="AG132" s="289"/>
      <c r="AH132" s="289"/>
      <c r="AI132" s="289"/>
      <c r="AJ132" s="289"/>
      <c r="AK132" s="289"/>
      <c r="AL132" s="289"/>
      <c r="AM132" s="289"/>
      <c r="AN132" s="289"/>
      <c r="AO132" s="289"/>
      <c r="AP132" s="289"/>
      <c r="AQ132" s="289"/>
      <c r="AR132" s="289"/>
      <c r="AS132" s="289"/>
      <c r="AT132" s="289"/>
      <c r="AU132" s="289"/>
      <c r="AV132" s="289"/>
      <c r="AW132" s="289"/>
      <c r="AX132" s="289"/>
      <c r="AY132" s="289"/>
      <c r="AZ132" s="289"/>
      <c r="BA132" s="289"/>
      <c r="BB132" s="289"/>
      <c r="BC132" s="289"/>
      <c r="BD132" s="326">
        <f>10000000.01-10000000.01</f>
        <v>0</v>
      </c>
      <c r="BE132" s="326"/>
      <c r="BF132" s="326"/>
      <c r="BG132" s="289"/>
      <c r="BH132" s="289"/>
      <c r="BI132" s="289"/>
      <c r="BJ132" s="289"/>
      <c r="BK132" s="289"/>
      <c r="BL132" s="289"/>
      <c r="BM132" s="289"/>
      <c r="BN132" s="289"/>
      <c r="BO132" s="289"/>
      <c r="BP132" s="273">
        <f t="shared" ref="BP132:BP141" si="38">+Z132+AC132+AF132+AI132+AL132+AO132+AR132+AU132+AX132+BA132+BD132+BG132+BJ132</f>
        <v>0</v>
      </c>
      <c r="BQ132" s="273">
        <f t="shared" si="36"/>
        <v>0</v>
      </c>
      <c r="BR132" s="273">
        <f t="shared" si="37"/>
        <v>0</v>
      </c>
      <c r="BS132" s="246" t="s">
        <v>1653</v>
      </c>
      <c r="BT132" s="233"/>
    </row>
    <row r="133" spans="1:72" s="27" customFormat="1" ht="175.5" customHeight="1" x14ac:dyDescent="0.2">
      <c r="A133" s="217">
        <v>314</v>
      </c>
      <c r="B133" s="216" t="s">
        <v>1626</v>
      </c>
      <c r="C133" s="213">
        <v>1</v>
      </c>
      <c r="D133" s="216" t="s">
        <v>1614</v>
      </c>
      <c r="E133" s="213">
        <v>22</v>
      </c>
      <c r="F133" s="287" t="s">
        <v>156</v>
      </c>
      <c r="G133" s="213">
        <v>2201</v>
      </c>
      <c r="H133" s="216" t="s">
        <v>277</v>
      </c>
      <c r="I133" s="213">
        <v>2201</v>
      </c>
      <c r="J133" s="216" t="s">
        <v>1587</v>
      </c>
      <c r="K133" s="216" t="s">
        <v>664</v>
      </c>
      <c r="L133" s="213">
        <v>2201055</v>
      </c>
      <c r="M133" s="216" t="s">
        <v>665</v>
      </c>
      <c r="N133" s="213">
        <v>2201055</v>
      </c>
      <c r="O133" s="216" t="s">
        <v>665</v>
      </c>
      <c r="P133" s="334">
        <v>220105500</v>
      </c>
      <c r="Q133" s="311" t="s">
        <v>666</v>
      </c>
      <c r="R133" s="334">
        <v>220105500</v>
      </c>
      <c r="S133" s="311" t="s">
        <v>666</v>
      </c>
      <c r="T133" s="236" t="s">
        <v>1671</v>
      </c>
      <c r="U133" s="76">
        <v>1</v>
      </c>
      <c r="V133" s="76">
        <v>1</v>
      </c>
      <c r="W133" s="236" t="s">
        <v>655</v>
      </c>
      <c r="X133" s="214" t="s">
        <v>656</v>
      </c>
      <c r="Y133" s="216" t="s">
        <v>657</v>
      </c>
      <c r="Z133" s="289"/>
      <c r="AA133" s="289"/>
      <c r="AB133" s="289"/>
      <c r="AC133" s="289"/>
      <c r="AD133" s="289"/>
      <c r="AE133" s="289"/>
      <c r="AF133" s="289"/>
      <c r="AG133" s="289"/>
      <c r="AH133" s="289"/>
      <c r="AI133" s="289"/>
      <c r="AJ133" s="289"/>
      <c r="AK133" s="289"/>
      <c r="AL133" s="289"/>
      <c r="AM133" s="289"/>
      <c r="AN133" s="289"/>
      <c r="AO133" s="289"/>
      <c r="AP133" s="289"/>
      <c r="AQ133" s="289"/>
      <c r="AR133" s="289">
        <v>48279229</v>
      </c>
      <c r="AS133" s="289">
        <v>48279229</v>
      </c>
      <c r="AT133" s="289">
        <v>48279229</v>
      </c>
      <c r="AU133" s="289"/>
      <c r="AV133" s="289"/>
      <c r="AW133" s="289"/>
      <c r="AX133" s="289"/>
      <c r="AY133" s="289"/>
      <c r="AZ133" s="289"/>
      <c r="BA133" s="289"/>
      <c r="BB133" s="289"/>
      <c r="BC133" s="289"/>
      <c r="BD133" s="294">
        <v>0</v>
      </c>
      <c r="BE133" s="326"/>
      <c r="BF133" s="294"/>
      <c r="BG133" s="289"/>
      <c r="BH133" s="289"/>
      <c r="BI133" s="289"/>
      <c r="BJ133" s="289"/>
      <c r="BK133" s="289"/>
      <c r="BL133" s="289"/>
      <c r="BM133" s="289"/>
      <c r="BN133" s="289"/>
      <c r="BO133" s="289"/>
      <c r="BP133" s="273">
        <f t="shared" si="38"/>
        <v>48279229</v>
      </c>
      <c r="BQ133" s="273">
        <f t="shared" si="36"/>
        <v>48279229</v>
      </c>
      <c r="BR133" s="273">
        <f t="shared" si="37"/>
        <v>48279229</v>
      </c>
      <c r="BS133" s="246" t="s">
        <v>1653</v>
      </c>
      <c r="BT133" s="233"/>
    </row>
    <row r="134" spans="1:72" s="27" customFormat="1" ht="144.75" customHeight="1" x14ac:dyDescent="0.2">
      <c r="A134" s="217">
        <v>314</v>
      </c>
      <c r="B134" s="216" t="s">
        <v>1626</v>
      </c>
      <c r="C134" s="213">
        <v>1</v>
      </c>
      <c r="D134" s="216" t="s">
        <v>1614</v>
      </c>
      <c r="E134" s="213">
        <v>22</v>
      </c>
      <c r="F134" s="287" t="s">
        <v>156</v>
      </c>
      <c r="G134" s="213">
        <v>2201</v>
      </c>
      <c r="H134" s="216" t="s">
        <v>277</v>
      </c>
      <c r="I134" s="213">
        <v>2201</v>
      </c>
      <c r="J134" s="216" t="s">
        <v>1587</v>
      </c>
      <c r="K134" s="216" t="s">
        <v>667</v>
      </c>
      <c r="L134" s="213">
        <v>2201067</v>
      </c>
      <c r="M134" s="216" t="s">
        <v>668</v>
      </c>
      <c r="N134" s="213">
        <v>2201067</v>
      </c>
      <c r="O134" s="216" t="s">
        <v>668</v>
      </c>
      <c r="P134" s="304">
        <v>220106700</v>
      </c>
      <c r="Q134" s="216" t="s">
        <v>669</v>
      </c>
      <c r="R134" s="304">
        <v>220106700</v>
      </c>
      <c r="S134" s="216" t="s">
        <v>669</v>
      </c>
      <c r="T134" s="236" t="s">
        <v>1671</v>
      </c>
      <c r="U134" s="76">
        <v>54</v>
      </c>
      <c r="V134" s="76">
        <v>54</v>
      </c>
      <c r="W134" s="236" t="s">
        <v>655</v>
      </c>
      <c r="X134" s="214" t="s">
        <v>656</v>
      </c>
      <c r="Y134" s="216" t="s">
        <v>657</v>
      </c>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9"/>
      <c r="AV134" s="289"/>
      <c r="AW134" s="289"/>
      <c r="AX134" s="289"/>
      <c r="AY134" s="289"/>
      <c r="AZ134" s="289"/>
      <c r="BA134" s="289"/>
      <c r="BB134" s="289"/>
      <c r="BC134" s="289"/>
      <c r="BD134" s="326">
        <v>10000000.01</v>
      </c>
      <c r="BE134" s="326">
        <v>9905167</v>
      </c>
      <c r="BF134" s="326">
        <v>9905167</v>
      </c>
      <c r="BG134" s="289"/>
      <c r="BH134" s="289"/>
      <c r="BI134" s="289"/>
      <c r="BJ134" s="289"/>
      <c r="BK134" s="289"/>
      <c r="BL134" s="289"/>
      <c r="BM134" s="289"/>
      <c r="BN134" s="289"/>
      <c r="BO134" s="289"/>
      <c r="BP134" s="273">
        <f t="shared" si="38"/>
        <v>10000000.01</v>
      </c>
      <c r="BQ134" s="273">
        <f t="shared" si="36"/>
        <v>9905167</v>
      </c>
      <c r="BR134" s="273">
        <f t="shared" si="37"/>
        <v>9905167</v>
      </c>
      <c r="BS134" s="246" t="s">
        <v>1653</v>
      </c>
      <c r="BT134" s="233"/>
    </row>
    <row r="135" spans="1:72" s="27" customFormat="1" ht="112.5" customHeight="1" x14ac:dyDescent="0.2">
      <c r="A135" s="217">
        <v>314</v>
      </c>
      <c r="B135" s="216" t="s">
        <v>1626</v>
      </c>
      <c r="C135" s="213">
        <v>1</v>
      </c>
      <c r="D135" s="216" t="s">
        <v>1614</v>
      </c>
      <c r="E135" s="213">
        <v>22</v>
      </c>
      <c r="F135" s="287" t="s">
        <v>156</v>
      </c>
      <c r="G135" s="213">
        <v>2201</v>
      </c>
      <c r="H135" s="216" t="s">
        <v>277</v>
      </c>
      <c r="I135" s="213">
        <v>2201</v>
      </c>
      <c r="J135" s="216" t="s">
        <v>1587</v>
      </c>
      <c r="K135" s="216" t="s">
        <v>667</v>
      </c>
      <c r="L135" s="213">
        <v>2201028</v>
      </c>
      <c r="M135" s="216" t="s">
        <v>670</v>
      </c>
      <c r="N135" s="213">
        <v>2201028</v>
      </c>
      <c r="O135" s="216" t="s">
        <v>670</v>
      </c>
      <c r="P135" s="334">
        <v>220102801</v>
      </c>
      <c r="Q135" s="216" t="s">
        <v>671</v>
      </c>
      <c r="R135" s="334">
        <v>220102801</v>
      </c>
      <c r="S135" s="216" t="s">
        <v>671</v>
      </c>
      <c r="T135" s="236" t="s">
        <v>1671</v>
      </c>
      <c r="U135" s="76">
        <v>36000</v>
      </c>
      <c r="V135" s="76">
        <v>30730</v>
      </c>
      <c r="W135" s="236" t="s">
        <v>655</v>
      </c>
      <c r="X135" s="214" t="s">
        <v>656</v>
      </c>
      <c r="Y135" s="216" t="s">
        <v>657</v>
      </c>
      <c r="Z135" s="289"/>
      <c r="AA135" s="289"/>
      <c r="AB135" s="289"/>
      <c r="AC135" s="289"/>
      <c r="AD135" s="289"/>
      <c r="AE135" s="289"/>
      <c r="AF135" s="289"/>
      <c r="AG135" s="289"/>
      <c r="AH135" s="289"/>
      <c r="AI135" s="289"/>
      <c r="AJ135" s="289"/>
      <c r="AK135" s="289"/>
      <c r="AL135" s="289"/>
      <c r="AM135" s="289"/>
      <c r="AN135" s="289"/>
      <c r="AO135" s="289"/>
      <c r="AP135" s="289"/>
      <c r="AQ135" s="289"/>
      <c r="AR135" s="289"/>
      <c r="AS135" s="342"/>
      <c r="AT135" s="289"/>
      <c r="AU135" s="341"/>
      <c r="AV135" s="341"/>
      <c r="AW135" s="341"/>
      <c r="AX135" s="326">
        <v>12544566918.389999</v>
      </c>
      <c r="AY135" s="326">
        <v>10751473890</v>
      </c>
      <c r="AZ135" s="326">
        <v>10751473890</v>
      </c>
      <c r="BA135" s="289"/>
      <c r="BB135" s="289"/>
      <c r="BC135" s="289"/>
      <c r="BD135" s="326">
        <v>2377000000</v>
      </c>
      <c r="BE135" s="294">
        <v>2079012660</v>
      </c>
      <c r="BF135" s="326">
        <v>2079012660</v>
      </c>
      <c r="BG135" s="326">
        <v>62.1</v>
      </c>
      <c r="BH135" s="326"/>
      <c r="BI135" s="326"/>
      <c r="BJ135" s="289"/>
      <c r="BK135" s="289"/>
      <c r="BL135" s="289"/>
      <c r="BM135" s="289"/>
      <c r="BN135" s="289"/>
      <c r="BO135" s="289"/>
      <c r="BP135" s="273">
        <f t="shared" si="38"/>
        <v>14921566980.49</v>
      </c>
      <c r="BQ135" s="273">
        <f>+AA135+AD135+AG135+AJ135+AM135+AP135+AS135+AV135+AY135+BB135+BE135+BH135+BK135</f>
        <v>12830486550</v>
      </c>
      <c r="BR135" s="273">
        <f>+AB135+AE135+AH135+AK135+AN135+AQ135+AT135+AW135+AZ135+BC135+BF135+BI135+BL135</f>
        <v>12830486550</v>
      </c>
      <c r="BS135" s="246" t="s">
        <v>1653</v>
      </c>
      <c r="BT135" s="233"/>
    </row>
    <row r="136" spans="1:72" s="27" customFormat="1" ht="165" customHeight="1" x14ac:dyDescent="0.2">
      <c r="A136" s="217">
        <v>314</v>
      </c>
      <c r="B136" s="216" t="s">
        <v>1626</v>
      </c>
      <c r="C136" s="213">
        <v>1</v>
      </c>
      <c r="D136" s="216" t="s">
        <v>1614</v>
      </c>
      <c r="E136" s="213">
        <v>22</v>
      </c>
      <c r="F136" s="287" t="s">
        <v>156</v>
      </c>
      <c r="G136" s="213">
        <v>2201</v>
      </c>
      <c r="H136" s="216" t="s">
        <v>277</v>
      </c>
      <c r="I136" s="213">
        <v>2201</v>
      </c>
      <c r="J136" s="216" t="s">
        <v>1587</v>
      </c>
      <c r="K136" s="216" t="s">
        <v>667</v>
      </c>
      <c r="L136" s="213">
        <v>2201029</v>
      </c>
      <c r="M136" s="216" t="s">
        <v>672</v>
      </c>
      <c r="N136" s="213">
        <v>2201029</v>
      </c>
      <c r="O136" s="216" t="s">
        <v>672</v>
      </c>
      <c r="P136" s="334">
        <v>220102900</v>
      </c>
      <c r="Q136" s="216" t="s">
        <v>673</v>
      </c>
      <c r="R136" s="334">
        <v>220102900</v>
      </c>
      <c r="S136" s="216" t="s">
        <v>673</v>
      </c>
      <c r="T136" s="236" t="s">
        <v>1673</v>
      </c>
      <c r="U136" s="76">
        <v>1000</v>
      </c>
      <c r="V136" s="76">
        <v>593</v>
      </c>
      <c r="W136" s="236" t="s">
        <v>655</v>
      </c>
      <c r="X136" s="214" t="s">
        <v>656</v>
      </c>
      <c r="Y136" s="216" t="s">
        <v>657</v>
      </c>
      <c r="Z136" s="289"/>
      <c r="AA136" s="289"/>
      <c r="AB136" s="289"/>
      <c r="AC136" s="289"/>
      <c r="AD136" s="289"/>
      <c r="AE136" s="289"/>
      <c r="AF136" s="289"/>
      <c r="AG136" s="289"/>
      <c r="AH136" s="289"/>
      <c r="AI136" s="289"/>
      <c r="AJ136" s="289"/>
      <c r="AK136" s="289"/>
      <c r="AL136" s="289"/>
      <c r="AM136" s="289"/>
      <c r="AN136" s="289"/>
      <c r="AO136" s="289"/>
      <c r="AP136" s="289"/>
      <c r="AQ136" s="289"/>
      <c r="AR136" s="289"/>
      <c r="AS136" s="289"/>
      <c r="AT136" s="289"/>
      <c r="AU136" s="289"/>
      <c r="AV136" s="289"/>
      <c r="AW136" s="289"/>
      <c r="AX136" s="289"/>
      <c r="AY136" s="289"/>
      <c r="AZ136" s="289"/>
      <c r="BA136" s="289"/>
      <c r="BB136" s="289"/>
      <c r="BC136" s="289"/>
      <c r="BD136" s="369">
        <v>95316290.020000011</v>
      </c>
      <c r="BE136" s="326">
        <v>95316290</v>
      </c>
      <c r="BF136" s="326">
        <v>95316290</v>
      </c>
      <c r="BG136" s="289"/>
      <c r="BH136" s="289"/>
      <c r="BI136" s="289"/>
      <c r="BJ136" s="289"/>
      <c r="BK136" s="289"/>
      <c r="BL136" s="289"/>
      <c r="BM136" s="289"/>
      <c r="BN136" s="289"/>
      <c r="BO136" s="289"/>
      <c r="BP136" s="273">
        <f t="shared" si="38"/>
        <v>95316290.020000011</v>
      </c>
      <c r="BQ136" s="273">
        <f t="shared" si="36"/>
        <v>95316290</v>
      </c>
      <c r="BR136" s="273">
        <f t="shared" si="37"/>
        <v>95316290</v>
      </c>
      <c r="BS136" s="246" t="s">
        <v>1653</v>
      </c>
      <c r="BT136" s="233"/>
    </row>
    <row r="137" spans="1:72" s="27" customFormat="1" ht="138.75" customHeight="1" x14ac:dyDescent="0.2">
      <c r="A137" s="217">
        <v>314</v>
      </c>
      <c r="B137" s="216" t="s">
        <v>1626</v>
      </c>
      <c r="C137" s="213">
        <v>1</v>
      </c>
      <c r="D137" s="216" t="s">
        <v>1614</v>
      </c>
      <c r="E137" s="213">
        <v>22</v>
      </c>
      <c r="F137" s="287" t="s">
        <v>156</v>
      </c>
      <c r="G137" s="213">
        <v>2201</v>
      </c>
      <c r="H137" s="216" t="s">
        <v>277</v>
      </c>
      <c r="I137" s="213">
        <v>2201</v>
      </c>
      <c r="J137" s="216" t="s">
        <v>1587</v>
      </c>
      <c r="K137" s="216" t="s">
        <v>158</v>
      </c>
      <c r="L137" s="213" t="s">
        <v>41</v>
      </c>
      <c r="M137" s="216" t="s">
        <v>674</v>
      </c>
      <c r="N137" s="213">
        <v>2201062</v>
      </c>
      <c r="O137" s="216" t="s">
        <v>160</v>
      </c>
      <c r="P137" s="213" t="s">
        <v>41</v>
      </c>
      <c r="Q137" s="216" t="s">
        <v>161</v>
      </c>
      <c r="R137" s="213">
        <v>220106200</v>
      </c>
      <c r="S137" s="216" t="s">
        <v>675</v>
      </c>
      <c r="T137" s="236" t="s">
        <v>1673</v>
      </c>
      <c r="U137" s="213">
        <v>15</v>
      </c>
      <c r="V137" s="76">
        <v>4</v>
      </c>
      <c r="W137" s="236" t="s">
        <v>655</v>
      </c>
      <c r="X137" s="214" t="s">
        <v>656</v>
      </c>
      <c r="Y137" s="216" t="s">
        <v>657</v>
      </c>
      <c r="Z137" s="289"/>
      <c r="AA137" s="289"/>
      <c r="AB137" s="289"/>
      <c r="AC137" s="289"/>
      <c r="AD137" s="289"/>
      <c r="AE137" s="289"/>
      <c r="AF137" s="289"/>
      <c r="AG137" s="289"/>
      <c r="AH137" s="289"/>
      <c r="AI137" s="289"/>
      <c r="AJ137" s="289"/>
      <c r="AK137" s="289"/>
      <c r="AL137" s="289"/>
      <c r="AM137" s="289"/>
      <c r="AN137" s="289"/>
      <c r="AO137" s="289"/>
      <c r="AP137" s="289"/>
      <c r="AQ137" s="289"/>
      <c r="AR137" s="289"/>
      <c r="AS137" s="289"/>
      <c r="AT137" s="289"/>
      <c r="AU137" s="289"/>
      <c r="AV137" s="289"/>
      <c r="AW137" s="289"/>
      <c r="AX137" s="289"/>
      <c r="AY137" s="289"/>
      <c r="AZ137" s="289"/>
      <c r="BA137" s="289"/>
      <c r="BB137" s="289"/>
      <c r="BC137" s="289"/>
      <c r="BD137" s="294">
        <v>109520000</v>
      </c>
      <c r="BE137" s="326">
        <v>108090000</v>
      </c>
      <c r="BF137" s="294">
        <v>108090000</v>
      </c>
      <c r="BG137" s="289"/>
      <c r="BH137" s="289"/>
      <c r="BI137" s="289"/>
      <c r="BJ137" s="289"/>
      <c r="BK137" s="289"/>
      <c r="BL137" s="289"/>
      <c r="BM137" s="289"/>
      <c r="BN137" s="289"/>
      <c r="BO137" s="289"/>
      <c r="BP137" s="273">
        <f t="shared" si="38"/>
        <v>109520000</v>
      </c>
      <c r="BQ137" s="273">
        <f>+AA137+AD137+AG137+AJ137+AM137+AP137+AS137+AV137+AY137+BB137+BE137+BH137+BK137</f>
        <v>108090000</v>
      </c>
      <c r="BR137" s="273">
        <f>+AB137+AE137+AH137+AK137+AN137+AQ137+AT137+AW137+AZ137+BC137+BF137+BI137+BL137</f>
        <v>108090000</v>
      </c>
      <c r="BS137" s="246" t="s">
        <v>1653</v>
      </c>
      <c r="BT137" s="233"/>
    </row>
    <row r="138" spans="1:72" s="27" customFormat="1" ht="111.75" customHeight="1" x14ac:dyDescent="0.2">
      <c r="A138" s="217">
        <v>314</v>
      </c>
      <c r="B138" s="216" t="s">
        <v>1626</v>
      </c>
      <c r="C138" s="213">
        <v>1</v>
      </c>
      <c r="D138" s="216" t="s">
        <v>1614</v>
      </c>
      <c r="E138" s="213">
        <v>22</v>
      </c>
      <c r="F138" s="287" t="s">
        <v>156</v>
      </c>
      <c r="G138" s="213">
        <v>2201</v>
      </c>
      <c r="H138" s="216" t="s">
        <v>277</v>
      </c>
      <c r="I138" s="213">
        <v>2201</v>
      </c>
      <c r="J138" s="216" t="s">
        <v>1587</v>
      </c>
      <c r="K138" s="216" t="s">
        <v>676</v>
      </c>
      <c r="L138" s="213">
        <v>2201063</v>
      </c>
      <c r="M138" s="216" t="s">
        <v>677</v>
      </c>
      <c r="N138" s="213">
        <v>2201063</v>
      </c>
      <c r="O138" s="216" t="s">
        <v>677</v>
      </c>
      <c r="P138" s="304">
        <v>220106300</v>
      </c>
      <c r="Q138" s="216" t="s">
        <v>678</v>
      </c>
      <c r="R138" s="304">
        <v>220106300</v>
      </c>
      <c r="S138" s="216" t="s">
        <v>678</v>
      </c>
      <c r="T138" s="236" t="s">
        <v>1673</v>
      </c>
      <c r="U138" s="76">
        <v>2</v>
      </c>
      <c r="V138" s="76">
        <v>2</v>
      </c>
      <c r="W138" s="236" t="s">
        <v>655</v>
      </c>
      <c r="X138" s="214" t="s">
        <v>656</v>
      </c>
      <c r="Y138" s="216" t="s">
        <v>657</v>
      </c>
      <c r="Z138" s="289"/>
      <c r="AA138" s="289"/>
      <c r="AB138" s="289"/>
      <c r="AC138" s="289"/>
      <c r="AD138" s="289"/>
      <c r="AE138" s="289"/>
      <c r="AF138" s="289"/>
      <c r="AG138" s="289"/>
      <c r="AH138" s="289"/>
      <c r="AI138" s="289"/>
      <c r="AJ138" s="289"/>
      <c r="AK138" s="289"/>
      <c r="AL138" s="289"/>
      <c r="AM138" s="289"/>
      <c r="AN138" s="289"/>
      <c r="AO138" s="289"/>
      <c r="AP138" s="289"/>
      <c r="AQ138" s="289"/>
      <c r="AR138" s="289"/>
      <c r="AS138" s="289"/>
      <c r="AT138" s="289"/>
      <c r="AU138" s="289"/>
      <c r="AV138" s="289"/>
      <c r="AW138" s="289"/>
      <c r="AX138" s="289"/>
      <c r="AY138" s="289"/>
      <c r="AZ138" s="289"/>
      <c r="BA138" s="289"/>
      <c r="BB138" s="289"/>
      <c r="BC138" s="289"/>
      <c r="BD138" s="326">
        <f>30000000-30000000</f>
        <v>0</v>
      </c>
      <c r="BE138" s="326"/>
      <c r="BF138" s="326"/>
      <c r="BG138" s="289"/>
      <c r="BH138" s="289"/>
      <c r="BI138" s="289"/>
      <c r="BJ138" s="289"/>
      <c r="BK138" s="289"/>
      <c r="BL138" s="289"/>
      <c r="BM138" s="289"/>
      <c r="BN138" s="289"/>
      <c r="BO138" s="289"/>
      <c r="BP138" s="273">
        <f t="shared" si="38"/>
        <v>0</v>
      </c>
      <c r="BQ138" s="273">
        <f>+AA138+AD138+AG138+AJ138+AM138+AP138+AS138+AV138+AY138+BB138+BE138+BH138+BK138</f>
        <v>0</v>
      </c>
      <c r="BR138" s="273">
        <f t="shared" si="37"/>
        <v>0</v>
      </c>
      <c r="BS138" s="246" t="s">
        <v>1653</v>
      </c>
      <c r="BT138" s="233"/>
    </row>
    <row r="139" spans="1:72" s="27" customFormat="1" ht="110.25" customHeight="1" x14ac:dyDescent="0.2">
      <c r="A139" s="217">
        <v>314</v>
      </c>
      <c r="B139" s="216" t="s">
        <v>1626</v>
      </c>
      <c r="C139" s="213">
        <v>1</v>
      </c>
      <c r="D139" s="216" t="s">
        <v>1614</v>
      </c>
      <c r="E139" s="213">
        <v>22</v>
      </c>
      <c r="F139" s="287" t="s">
        <v>156</v>
      </c>
      <c r="G139" s="213">
        <v>2201</v>
      </c>
      <c r="H139" s="216" t="s">
        <v>277</v>
      </c>
      <c r="I139" s="213">
        <v>2201</v>
      </c>
      <c r="J139" s="216" t="s">
        <v>1587</v>
      </c>
      <c r="K139" s="216" t="s">
        <v>676</v>
      </c>
      <c r="L139" s="213">
        <v>2201069</v>
      </c>
      <c r="M139" s="216" t="s">
        <v>679</v>
      </c>
      <c r="N139" s="213">
        <v>2201069</v>
      </c>
      <c r="O139" s="216" t="s">
        <v>679</v>
      </c>
      <c r="P139" s="304">
        <v>220106900</v>
      </c>
      <c r="Q139" s="214" t="s">
        <v>680</v>
      </c>
      <c r="R139" s="304">
        <v>220106900</v>
      </c>
      <c r="S139" s="214" t="s">
        <v>680</v>
      </c>
      <c r="T139" s="236" t="s">
        <v>1673</v>
      </c>
      <c r="U139" s="76">
        <v>3</v>
      </c>
      <c r="V139" s="76">
        <v>3</v>
      </c>
      <c r="W139" s="236" t="s">
        <v>655</v>
      </c>
      <c r="X139" s="214" t="s">
        <v>656</v>
      </c>
      <c r="Y139" s="216" t="s">
        <v>657</v>
      </c>
      <c r="Z139" s="289"/>
      <c r="AA139" s="289"/>
      <c r="AB139" s="289"/>
      <c r="AC139" s="289"/>
      <c r="AD139" s="289"/>
      <c r="AE139" s="289"/>
      <c r="AF139" s="289"/>
      <c r="AG139" s="289"/>
      <c r="AH139" s="289"/>
      <c r="AI139" s="289"/>
      <c r="AJ139" s="289"/>
      <c r="AK139" s="289"/>
      <c r="AL139" s="289"/>
      <c r="AM139" s="289"/>
      <c r="AN139" s="289"/>
      <c r="AO139" s="289"/>
      <c r="AP139" s="289"/>
      <c r="AQ139" s="289"/>
      <c r="AR139" s="289">
        <v>3286467.8</v>
      </c>
      <c r="AS139" s="289"/>
      <c r="AT139" s="289"/>
      <c r="AU139" s="289"/>
      <c r="AV139" s="289"/>
      <c r="AW139" s="289"/>
      <c r="AX139" s="289"/>
      <c r="AY139" s="289"/>
      <c r="AZ139" s="289"/>
      <c r="BA139" s="289"/>
      <c r="BB139" s="289"/>
      <c r="BC139" s="289"/>
      <c r="BD139" s="326">
        <v>20000000</v>
      </c>
      <c r="BE139" s="294">
        <v>15568000</v>
      </c>
      <c r="BF139" s="326">
        <v>15568000</v>
      </c>
      <c r="BG139" s="289"/>
      <c r="BH139" s="289"/>
      <c r="BI139" s="289"/>
      <c r="BJ139" s="289"/>
      <c r="BK139" s="289"/>
      <c r="BL139" s="289"/>
      <c r="BM139" s="289"/>
      <c r="BN139" s="289"/>
      <c r="BO139" s="289"/>
      <c r="BP139" s="273">
        <f t="shared" si="38"/>
        <v>23286467.800000001</v>
      </c>
      <c r="BQ139" s="273">
        <f t="shared" si="36"/>
        <v>15568000</v>
      </c>
      <c r="BR139" s="273">
        <f t="shared" si="37"/>
        <v>15568000</v>
      </c>
      <c r="BS139" s="246" t="s">
        <v>1653</v>
      </c>
      <c r="BT139" s="233"/>
    </row>
    <row r="140" spans="1:72" s="27" customFormat="1" ht="138" customHeight="1" x14ac:dyDescent="0.2">
      <c r="A140" s="217">
        <v>314</v>
      </c>
      <c r="B140" s="216" t="s">
        <v>1626</v>
      </c>
      <c r="C140" s="213">
        <v>1</v>
      </c>
      <c r="D140" s="216" t="s">
        <v>1614</v>
      </c>
      <c r="E140" s="213">
        <v>22</v>
      </c>
      <c r="F140" s="287" t="s">
        <v>156</v>
      </c>
      <c r="G140" s="213">
        <v>2201</v>
      </c>
      <c r="H140" s="216" t="s">
        <v>277</v>
      </c>
      <c r="I140" s="213">
        <v>2201</v>
      </c>
      <c r="J140" s="216" t="s">
        <v>1587</v>
      </c>
      <c r="K140" s="216" t="s">
        <v>681</v>
      </c>
      <c r="L140" s="213">
        <v>2201018</v>
      </c>
      <c r="M140" s="216" t="s">
        <v>682</v>
      </c>
      <c r="N140" s="213">
        <v>2201018</v>
      </c>
      <c r="O140" s="216" t="s">
        <v>682</v>
      </c>
      <c r="P140" s="304">
        <v>220101802</v>
      </c>
      <c r="Q140" s="216" t="s">
        <v>683</v>
      </c>
      <c r="R140" s="304">
        <v>220101802</v>
      </c>
      <c r="S140" s="216" t="s">
        <v>683</v>
      </c>
      <c r="T140" s="236" t="s">
        <v>1671</v>
      </c>
      <c r="U140" s="76">
        <v>1</v>
      </c>
      <c r="V140" s="76">
        <v>1</v>
      </c>
      <c r="W140" s="236" t="s">
        <v>684</v>
      </c>
      <c r="X140" s="214" t="s">
        <v>685</v>
      </c>
      <c r="Y140" s="216" t="s">
        <v>686</v>
      </c>
      <c r="Z140" s="289"/>
      <c r="AA140" s="289"/>
      <c r="AB140" s="289"/>
      <c r="AC140" s="289"/>
      <c r="AD140" s="289"/>
      <c r="AE140" s="289"/>
      <c r="AF140" s="289"/>
      <c r="AG140" s="289"/>
      <c r="AH140" s="289"/>
      <c r="AI140" s="289"/>
      <c r="AJ140" s="289"/>
      <c r="AK140" s="289"/>
      <c r="AL140" s="289"/>
      <c r="AM140" s="289"/>
      <c r="AN140" s="289"/>
      <c r="AO140" s="289"/>
      <c r="AP140" s="289"/>
      <c r="AQ140" s="289"/>
      <c r="AR140" s="289"/>
      <c r="AS140" s="289"/>
      <c r="AT140" s="289"/>
      <c r="AU140" s="289"/>
      <c r="AV140" s="289"/>
      <c r="AW140" s="289"/>
      <c r="AX140" s="289"/>
      <c r="AY140" s="289"/>
      <c r="AZ140" s="289"/>
      <c r="BA140" s="289"/>
      <c r="BB140" s="289"/>
      <c r="BC140" s="289"/>
      <c r="BD140" s="326">
        <f>6000000-6000000</f>
        <v>0</v>
      </c>
      <c r="BE140" s="294"/>
      <c r="BF140" s="326"/>
      <c r="BG140" s="289"/>
      <c r="BH140" s="289"/>
      <c r="BI140" s="289"/>
      <c r="BJ140" s="289"/>
      <c r="BK140" s="289"/>
      <c r="BL140" s="289"/>
      <c r="BM140" s="289"/>
      <c r="BN140" s="289"/>
      <c r="BO140" s="289"/>
      <c r="BP140" s="273">
        <f>+Z140+AC140+AF140+AI140+AL140+AO140+AR140+AU140+AX140+BA140+BD140+BG140+BJ140</f>
        <v>0</v>
      </c>
      <c r="BQ140" s="273">
        <f t="shared" si="36"/>
        <v>0</v>
      </c>
      <c r="BR140" s="273">
        <f t="shared" si="37"/>
        <v>0</v>
      </c>
      <c r="BS140" s="246" t="s">
        <v>1653</v>
      </c>
      <c r="BT140" s="233"/>
    </row>
    <row r="141" spans="1:72" s="27" customFormat="1" ht="115.5" customHeight="1" x14ac:dyDescent="0.2">
      <c r="A141" s="217">
        <v>314</v>
      </c>
      <c r="B141" s="216" t="s">
        <v>1626</v>
      </c>
      <c r="C141" s="213">
        <v>1</v>
      </c>
      <c r="D141" s="216" t="s">
        <v>1614</v>
      </c>
      <c r="E141" s="213">
        <v>22</v>
      </c>
      <c r="F141" s="287" t="s">
        <v>156</v>
      </c>
      <c r="G141" s="213">
        <v>2201</v>
      </c>
      <c r="H141" s="216" t="s">
        <v>277</v>
      </c>
      <c r="I141" s="213">
        <v>2201</v>
      </c>
      <c r="J141" s="216" t="s">
        <v>1587</v>
      </c>
      <c r="K141" s="216" t="s">
        <v>687</v>
      </c>
      <c r="L141" s="213">
        <v>2201037</v>
      </c>
      <c r="M141" s="216" t="s">
        <v>688</v>
      </c>
      <c r="N141" s="213">
        <v>2201037</v>
      </c>
      <c r="O141" s="216" t="s">
        <v>688</v>
      </c>
      <c r="P141" s="334">
        <v>220103700</v>
      </c>
      <c r="Q141" s="311" t="s">
        <v>689</v>
      </c>
      <c r="R141" s="334">
        <v>220103700</v>
      </c>
      <c r="S141" s="311" t="s">
        <v>689</v>
      </c>
      <c r="T141" s="236" t="s">
        <v>1671</v>
      </c>
      <c r="U141" s="76">
        <v>54</v>
      </c>
      <c r="V141" s="76">
        <v>54</v>
      </c>
      <c r="W141" s="236" t="s">
        <v>684</v>
      </c>
      <c r="X141" s="214" t="s">
        <v>685</v>
      </c>
      <c r="Y141" s="216" t="s">
        <v>686</v>
      </c>
      <c r="Z141" s="289"/>
      <c r="AA141" s="289"/>
      <c r="AB141" s="289"/>
      <c r="AC141" s="289"/>
      <c r="AD141" s="289"/>
      <c r="AE141" s="289"/>
      <c r="AF141" s="289"/>
      <c r="AG141" s="289"/>
      <c r="AH141" s="289"/>
      <c r="AI141" s="289"/>
      <c r="AJ141" s="289"/>
      <c r="AK141" s="289"/>
      <c r="AL141" s="289"/>
      <c r="AM141" s="289"/>
      <c r="AN141" s="289"/>
      <c r="AO141" s="289"/>
      <c r="AP141" s="289"/>
      <c r="AQ141" s="289"/>
      <c r="AR141" s="289"/>
      <c r="AS141" s="289"/>
      <c r="AT141" s="289"/>
      <c r="AU141" s="289"/>
      <c r="AV141" s="289"/>
      <c r="AW141" s="289"/>
      <c r="AX141" s="289"/>
      <c r="AY141" s="289"/>
      <c r="AZ141" s="289"/>
      <c r="BA141" s="289"/>
      <c r="BB141" s="289"/>
      <c r="BC141" s="289"/>
      <c r="BD141" s="326">
        <v>10000000</v>
      </c>
      <c r="BE141" s="326">
        <v>9905167</v>
      </c>
      <c r="BF141" s="326">
        <v>9905167</v>
      </c>
      <c r="BG141" s="289"/>
      <c r="BH141" s="289"/>
      <c r="BI141" s="289"/>
      <c r="BJ141" s="289"/>
      <c r="BK141" s="289"/>
      <c r="BL141" s="289"/>
      <c r="BM141" s="289"/>
      <c r="BN141" s="289"/>
      <c r="BO141" s="289"/>
      <c r="BP141" s="273">
        <f t="shared" si="38"/>
        <v>10000000</v>
      </c>
      <c r="BQ141" s="273">
        <f t="shared" si="36"/>
        <v>9905167</v>
      </c>
      <c r="BR141" s="273">
        <f t="shared" si="37"/>
        <v>9905167</v>
      </c>
      <c r="BS141" s="246" t="s">
        <v>1653</v>
      </c>
      <c r="BT141" s="233"/>
    </row>
    <row r="142" spans="1:72" s="27" customFormat="1" ht="218.25" customHeight="1" x14ac:dyDescent="0.2">
      <c r="A142" s="217">
        <v>314</v>
      </c>
      <c r="B142" s="216" t="s">
        <v>1626</v>
      </c>
      <c r="C142" s="213">
        <v>1</v>
      </c>
      <c r="D142" s="216" t="s">
        <v>1614</v>
      </c>
      <c r="E142" s="213">
        <v>22</v>
      </c>
      <c r="F142" s="287" t="s">
        <v>156</v>
      </c>
      <c r="G142" s="213">
        <v>2201</v>
      </c>
      <c r="H142" s="216" t="s">
        <v>277</v>
      </c>
      <c r="I142" s="213">
        <v>2201</v>
      </c>
      <c r="J142" s="216" t="s">
        <v>1587</v>
      </c>
      <c r="K142" s="216" t="s">
        <v>690</v>
      </c>
      <c r="L142" s="213">
        <v>2201007</v>
      </c>
      <c r="M142" s="216" t="s">
        <v>691</v>
      </c>
      <c r="N142" s="213">
        <v>2201073</v>
      </c>
      <c r="O142" s="216" t="s">
        <v>691</v>
      </c>
      <c r="P142" s="213">
        <v>220100700</v>
      </c>
      <c r="Q142" s="216" t="s">
        <v>692</v>
      </c>
      <c r="R142" s="304">
        <v>220107300</v>
      </c>
      <c r="S142" s="216" t="s">
        <v>692</v>
      </c>
      <c r="T142" s="236" t="s">
        <v>1673</v>
      </c>
      <c r="U142" s="76">
        <v>7774</v>
      </c>
      <c r="V142" s="76">
        <v>8318</v>
      </c>
      <c r="W142" s="236" t="s">
        <v>693</v>
      </c>
      <c r="X142" s="214" t="s">
        <v>694</v>
      </c>
      <c r="Y142" s="216" t="s">
        <v>695</v>
      </c>
      <c r="Z142" s="289"/>
      <c r="AA142" s="289"/>
      <c r="AB142" s="289"/>
      <c r="AC142" s="289"/>
      <c r="AD142" s="289"/>
      <c r="AE142" s="289"/>
      <c r="AF142" s="289"/>
      <c r="AG142" s="289"/>
      <c r="AH142" s="289"/>
      <c r="AI142" s="289"/>
      <c r="AJ142" s="289"/>
      <c r="AK142" s="289"/>
      <c r="AL142" s="289"/>
      <c r="AM142" s="289"/>
      <c r="AN142" s="289"/>
      <c r="AO142" s="289"/>
      <c r="AP142" s="289"/>
      <c r="AQ142" s="289"/>
      <c r="AR142" s="289">
        <v>13838656.48</v>
      </c>
      <c r="AS142" s="289">
        <v>13834320</v>
      </c>
      <c r="AT142" s="289">
        <v>13834320</v>
      </c>
      <c r="AU142" s="289"/>
      <c r="AV142" s="289"/>
      <c r="AW142" s="289"/>
      <c r="AX142" s="289"/>
      <c r="AY142" s="289"/>
      <c r="AZ142" s="289"/>
      <c r="BA142" s="289"/>
      <c r="BB142" s="289"/>
      <c r="BC142" s="289"/>
      <c r="BD142" s="326">
        <v>19999999.989999998</v>
      </c>
      <c r="BE142" s="326">
        <v>18672292</v>
      </c>
      <c r="BF142" s="326">
        <v>18672292</v>
      </c>
      <c r="BG142" s="289"/>
      <c r="BH142" s="289"/>
      <c r="BI142" s="289"/>
      <c r="BJ142" s="289"/>
      <c r="BK142" s="289"/>
      <c r="BL142" s="289"/>
      <c r="BM142" s="289"/>
      <c r="BN142" s="289"/>
      <c r="BO142" s="289"/>
      <c r="BP142" s="273">
        <f>+Z142+AC142+AF142+AI142+AL142+AO142+AR142+AU142+AX142+BA142+BD142+BG142+BJ142</f>
        <v>33838656.469999999</v>
      </c>
      <c r="BQ142" s="273">
        <f t="shared" si="36"/>
        <v>32506612</v>
      </c>
      <c r="BR142" s="273">
        <f>+AB142+AE142+AH142+AK142+AN142+AQ142+AT142+AW142+AZ142+BC142+BF142+BI142+BL142</f>
        <v>32506612</v>
      </c>
      <c r="BS142" s="246" t="s">
        <v>1653</v>
      </c>
      <c r="BT142" s="233"/>
    </row>
    <row r="143" spans="1:72" s="27" customFormat="1" ht="138.75" customHeight="1" x14ac:dyDescent="0.2">
      <c r="A143" s="217">
        <v>314</v>
      </c>
      <c r="B143" s="216" t="s">
        <v>1626</v>
      </c>
      <c r="C143" s="213">
        <v>1</v>
      </c>
      <c r="D143" s="216" t="s">
        <v>1614</v>
      </c>
      <c r="E143" s="213">
        <v>22</v>
      </c>
      <c r="F143" s="287" t="s">
        <v>156</v>
      </c>
      <c r="G143" s="213">
        <v>2201</v>
      </c>
      <c r="H143" s="216" t="s">
        <v>277</v>
      </c>
      <c r="I143" s="213">
        <v>2201</v>
      </c>
      <c r="J143" s="216" t="s">
        <v>1587</v>
      </c>
      <c r="K143" s="216" t="s">
        <v>696</v>
      </c>
      <c r="L143" s="213">
        <v>2201068</v>
      </c>
      <c r="M143" s="216" t="s">
        <v>279</v>
      </c>
      <c r="N143" s="213">
        <v>2201068</v>
      </c>
      <c r="O143" s="216" t="s">
        <v>279</v>
      </c>
      <c r="P143" s="334">
        <v>220106800</v>
      </c>
      <c r="Q143" s="311" t="s">
        <v>280</v>
      </c>
      <c r="R143" s="334">
        <v>220106800</v>
      </c>
      <c r="S143" s="311" t="s">
        <v>280</v>
      </c>
      <c r="T143" s="236" t="s">
        <v>1673</v>
      </c>
      <c r="U143" s="213">
        <v>70</v>
      </c>
      <c r="V143" s="213">
        <v>79</v>
      </c>
      <c r="W143" s="236" t="s">
        <v>693</v>
      </c>
      <c r="X143" s="214" t="s">
        <v>694</v>
      </c>
      <c r="Y143" s="216" t="s">
        <v>695</v>
      </c>
      <c r="Z143" s="289"/>
      <c r="AA143" s="289"/>
      <c r="AB143" s="289"/>
      <c r="AC143" s="289"/>
      <c r="AD143" s="289"/>
      <c r="AE143" s="289"/>
      <c r="AF143" s="289">
        <v>0</v>
      </c>
      <c r="AG143" s="289"/>
      <c r="AH143" s="289"/>
      <c r="AI143" s="289">
        <v>0</v>
      </c>
      <c r="AJ143" s="289"/>
      <c r="AK143" s="289"/>
      <c r="AL143" s="289">
        <v>0</v>
      </c>
      <c r="AM143" s="289"/>
      <c r="AN143" s="289"/>
      <c r="AO143" s="289">
        <v>0</v>
      </c>
      <c r="AP143" s="289"/>
      <c r="AQ143" s="289"/>
      <c r="AR143" s="289">
        <v>0</v>
      </c>
      <c r="AS143" s="289"/>
      <c r="AT143" s="289"/>
      <c r="AU143" s="289">
        <v>0</v>
      </c>
      <c r="AV143" s="289"/>
      <c r="AW143" s="289"/>
      <c r="AX143" s="289">
        <v>0</v>
      </c>
      <c r="AY143" s="289"/>
      <c r="AZ143" s="289"/>
      <c r="BA143" s="289">
        <v>0</v>
      </c>
      <c r="BB143" s="289"/>
      <c r="BC143" s="289"/>
      <c r="BD143" s="294">
        <v>18000000</v>
      </c>
      <c r="BE143" s="326">
        <v>17310000</v>
      </c>
      <c r="BF143" s="294">
        <v>17310000</v>
      </c>
      <c r="BG143" s="289">
        <v>0</v>
      </c>
      <c r="BH143" s="289"/>
      <c r="BI143" s="289"/>
      <c r="BJ143" s="289">
        <v>0</v>
      </c>
      <c r="BK143" s="289"/>
      <c r="BL143" s="289"/>
      <c r="BM143" s="289"/>
      <c r="BN143" s="289"/>
      <c r="BO143" s="289"/>
      <c r="BP143" s="273">
        <f>+Z143+AC143+AF143+AI143+AL143+AO143+AR143+AU143+AX143+BA143+BD143+BG143+BJ143</f>
        <v>18000000</v>
      </c>
      <c r="BQ143" s="273">
        <f t="shared" ref="BP143:BR145" si="39">+AA143+AD143+AG143+AJ143+AM143+AP143+AS143+AV143+AY143+BB143+BE143+BH143+BK143</f>
        <v>17310000</v>
      </c>
      <c r="BR143" s="273">
        <f t="shared" si="39"/>
        <v>17310000</v>
      </c>
      <c r="BS143" s="246" t="s">
        <v>1653</v>
      </c>
      <c r="BT143" s="233"/>
    </row>
    <row r="144" spans="1:72" s="27" customFormat="1" ht="74.25" customHeight="1" x14ac:dyDescent="0.2">
      <c r="A144" s="217">
        <v>314</v>
      </c>
      <c r="B144" s="216" t="s">
        <v>1626</v>
      </c>
      <c r="C144" s="213">
        <v>1</v>
      </c>
      <c r="D144" s="216" t="s">
        <v>1614</v>
      </c>
      <c r="E144" s="213">
        <v>22</v>
      </c>
      <c r="F144" s="287" t="s">
        <v>156</v>
      </c>
      <c r="G144" s="213">
        <v>2201</v>
      </c>
      <c r="H144" s="216" t="s">
        <v>277</v>
      </c>
      <c r="I144" s="213">
        <v>2201</v>
      </c>
      <c r="J144" s="216" t="s">
        <v>1587</v>
      </c>
      <c r="K144" s="216" t="s">
        <v>676</v>
      </c>
      <c r="L144" s="213">
        <v>2201026</v>
      </c>
      <c r="M144" s="216" t="s">
        <v>697</v>
      </c>
      <c r="N144" s="213">
        <v>2201026</v>
      </c>
      <c r="O144" s="216" t="s">
        <v>697</v>
      </c>
      <c r="P144" s="334">
        <v>220102600</v>
      </c>
      <c r="Q144" s="216" t="s">
        <v>698</v>
      </c>
      <c r="R144" s="334">
        <v>220102600</v>
      </c>
      <c r="S144" s="216" t="s">
        <v>698</v>
      </c>
      <c r="T144" s="236" t="s">
        <v>1673</v>
      </c>
      <c r="U144" s="76">
        <v>17</v>
      </c>
      <c r="V144" s="76">
        <v>17</v>
      </c>
      <c r="W144" s="236" t="s">
        <v>693</v>
      </c>
      <c r="X144" s="214" t="s">
        <v>694</v>
      </c>
      <c r="Y144" s="216" t="s">
        <v>695</v>
      </c>
      <c r="Z144" s="289"/>
      <c r="AA144" s="289"/>
      <c r="AB144" s="289"/>
      <c r="AC144" s="289"/>
      <c r="AD144" s="289"/>
      <c r="AE144" s="289"/>
      <c r="AF144" s="289"/>
      <c r="AG144" s="289"/>
      <c r="AH144" s="289"/>
      <c r="AI144" s="289"/>
      <c r="AJ144" s="289"/>
      <c r="AK144" s="289"/>
      <c r="AL144" s="289"/>
      <c r="AM144" s="289"/>
      <c r="AN144" s="289"/>
      <c r="AO144" s="289"/>
      <c r="AP144" s="289"/>
      <c r="AQ144" s="289"/>
      <c r="AR144" s="289">
        <v>1594997</v>
      </c>
      <c r="AS144" s="289">
        <v>1594997</v>
      </c>
      <c r="AT144" s="289">
        <v>1594997</v>
      </c>
      <c r="AU144" s="289"/>
      <c r="AV144" s="289"/>
      <c r="AW144" s="289"/>
      <c r="AX144" s="289"/>
      <c r="AY144" s="289"/>
      <c r="AZ144" s="289"/>
      <c r="BA144" s="289"/>
      <c r="BB144" s="289"/>
      <c r="BC144" s="289"/>
      <c r="BD144" s="294">
        <v>18000000</v>
      </c>
      <c r="BE144" s="294">
        <v>17000000</v>
      </c>
      <c r="BF144" s="294">
        <v>17000000</v>
      </c>
      <c r="BG144" s="289"/>
      <c r="BH144" s="289"/>
      <c r="BI144" s="289"/>
      <c r="BJ144" s="289"/>
      <c r="BK144" s="289"/>
      <c r="BL144" s="289"/>
      <c r="BM144" s="289"/>
      <c r="BN144" s="289"/>
      <c r="BO144" s="289"/>
      <c r="BP144" s="273">
        <f t="shared" si="39"/>
        <v>19594997</v>
      </c>
      <c r="BQ144" s="273">
        <f t="shared" si="39"/>
        <v>18594997</v>
      </c>
      <c r="BR144" s="273">
        <f t="shared" si="39"/>
        <v>18594997</v>
      </c>
      <c r="BS144" s="246" t="s">
        <v>1653</v>
      </c>
      <c r="BT144" s="233"/>
    </row>
    <row r="145" spans="1:72" s="27" customFormat="1" ht="116.25" customHeight="1" x14ac:dyDescent="0.2">
      <c r="A145" s="217">
        <v>314</v>
      </c>
      <c r="B145" s="216" t="s">
        <v>1626</v>
      </c>
      <c r="C145" s="213">
        <v>1</v>
      </c>
      <c r="D145" s="216" t="s">
        <v>1614</v>
      </c>
      <c r="E145" s="213">
        <v>22</v>
      </c>
      <c r="F145" s="287" t="s">
        <v>156</v>
      </c>
      <c r="G145" s="213">
        <v>2201</v>
      </c>
      <c r="H145" s="216" t="s">
        <v>277</v>
      </c>
      <c r="I145" s="213">
        <v>2201</v>
      </c>
      <c r="J145" s="216" t="s">
        <v>1587</v>
      </c>
      <c r="K145" s="216" t="s">
        <v>690</v>
      </c>
      <c r="L145" s="213">
        <v>2201009</v>
      </c>
      <c r="M145" s="216" t="s">
        <v>699</v>
      </c>
      <c r="N145" s="213">
        <v>2201074</v>
      </c>
      <c r="O145" s="216" t="s">
        <v>699</v>
      </c>
      <c r="P145" s="213">
        <v>220100900</v>
      </c>
      <c r="Q145" s="216" t="s">
        <v>700</v>
      </c>
      <c r="R145" s="304">
        <v>220107400</v>
      </c>
      <c r="S145" s="216" t="s">
        <v>701</v>
      </c>
      <c r="T145" s="236" t="s">
        <v>1673</v>
      </c>
      <c r="U145" s="76">
        <v>606</v>
      </c>
      <c r="V145" s="76">
        <v>620</v>
      </c>
      <c r="W145" s="236" t="s">
        <v>693</v>
      </c>
      <c r="X145" s="214" t="s">
        <v>694</v>
      </c>
      <c r="Y145" s="216" t="s">
        <v>695</v>
      </c>
      <c r="Z145" s="289"/>
      <c r="AA145" s="289"/>
      <c r="AB145" s="289"/>
      <c r="AC145" s="289"/>
      <c r="AD145" s="289"/>
      <c r="AE145" s="289"/>
      <c r="AF145" s="289"/>
      <c r="AG145" s="289"/>
      <c r="AH145" s="289"/>
      <c r="AI145" s="289"/>
      <c r="AJ145" s="289"/>
      <c r="AK145" s="289"/>
      <c r="AL145" s="289"/>
      <c r="AM145" s="289"/>
      <c r="AN145" s="289"/>
      <c r="AO145" s="289"/>
      <c r="AP145" s="289"/>
      <c r="AQ145" s="289"/>
      <c r="AR145" s="289"/>
      <c r="AS145" s="289"/>
      <c r="AT145" s="289"/>
      <c r="AU145" s="289"/>
      <c r="AV145" s="289"/>
      <c r="AW145" s="289"/>
      <c r="AX145" s="289"/>
      <c r="AY145" s="289"/>
      <c r="AZ145" s="289"/>
      <c r="BA145" s="289"/>
      <c r="BB145" s="289"/>
      <c r="BC145" s="289"/>
      <c r="BD145" s="326">
        <v>19999999.989999998</v>
      </c>
      <c r="BE145" s="326">
        <v>19999999.989999998</v>
      </c>
      <c r="BF145" s="326">
        <v>19999999.989999998</v>
      </c>
      <c r="BG145" s="289"/>
      <c r="BH145" s="289"/>
      <c r="BI145" s="289"/>
      <c r="BJ145" s="289"/>
      <c r="BK145" s="289"/>
      <c r="BL145" s="289"/>
      <c r="BM145" s="289"/>
      <c r="BN145" s="289"/>
      <c r="BO145" s="289"/>
      <c r="BP145" s="273">
        <f>+Z145+AC145+AF145+AI145+AL145+AO145+AR145+AU145+AX145+BA145+BD145+BG145+BJ145</f>
        <v>19999999.989999998</v>
      </c>
      <c r="BQ145" s="273">
        <f t="shared" si="39"/>
        <v>19999999.989999998</v>
      </c>
      <c r="BR145" s="273">
        <f t="shared" si="39"/>
        <v>19999999.989999998</v>
      </c>
      <c r="BS145" s="246" t="s">
        <v>1653</v>
      </c>
      <c r="BT145" s="233"/>
    </row>
    <row r="146" spans="1:72" s="27" customFormat="1" ht="162.75" customHeight="1" x14ac:dyDescent="0.2">
      <c r="A146" s="217">
        <v>314</v>
      </c>
      <c r="B146" s="216" t="s">
        <v>1626</v>
      </c>
      <c r="C146" s="213">
        <v>1</v>
      </c>
      <c r="D146" s="216" t="s">
        <v>1614</v>
      </c>
      <c r="E146" s="213">
        <v>22</v>
      </c>
      <c r="F146" s="287" t="s">
        <v>156</v>
      </c>
      <c r="G146" s="213">
        <v>2201</v>
      </c>
      <c r="H146" s="216" t="s">
        <v>277</v>
      </c>
      <c r="I146" s="213">
        <v>2201</v>
      </c>
      <c r="J146" s="216" t="s">
        <v>1587</v>
      </c>
      <c r="K146" s="216" t="s">
        <v>690</v>
      </c>
      <c r="L146" s="213">
        <v>2201010</v>
      </c>
      <c r="M146" s="216" t="s">
        <v>702</v>
      </c>
      <c r="N146" s="213">
        <v>2201074</v>
      </c>
      <c r="O146" s="216" t="s">
        <v>703</v>
      </c>
      <c r="P146" s="213">
        <v>220101000</v>
      </c>
      <c r="Q146" s="216" t="s">
        <v>704</v>
      </c>
      <c r="R146" s="304">
        <v>220107400</v>
      </c>
      <c r="S146" s="216" t="s">
        <v>701</v>
      </c>
      <c r="T146" s="236" t="s">
        <v>1671</v>
      </c>
      <c r="U146" s="76">
        <v>94</v>
      </c>
      <c r="V146" s="76">
        <v>94</v>
      </c>
      <c r="W146" s="236" t="s">
        <v>693</v>
      </c>
      <c r="X146" s="214" t="s">
        <v>694</v>
      </c>
      <c r="Y146" s="216" t="s">
        <v>695</v>
      </c>
      <c r="Z146" s="289"/>
      <c r="AA146" s="289"/>
      <c r="AB146" s="289"/>
      <c r="AC146" s="289"/>
      <c r="AD146" s="289"/>
      <c r="AE146" s="289"/>
      <c r="AF146" s="289"/>
      <c r="AG146" s="289"/>
      <c r="AH146" s="289"/>
      <c r="AI146" s="289"/>
      <c r="AJ146" s="289"/>
      <c r="AK146" s="289"/>
      <c r="AL146" s="289"/>
      <c r="AM146" s="289"/>
      <c r="AN146" s="289"/>
      <c r="AO146" s="289"/>
      <c r="AP146" s="289"/>
      <c r="AQ146" s="289"/>
      <c r="AR146" s="289"/>
      <c r="AS146" s="289"/>
      <c r="AT146" s="289"/>
      <c r="AU146" s="289"/>
      <c r="AV146" s="289"/>
      <c r="AW146" s="289"/>
      <c r="AX146" s="289"/>
      <c r="AY146" s="289"/>
      <c r="AZ146" s="289"/>
      <c r="BA146" s="289"/>
      <c r="BB146" s="289"/>
      <c r="BC146" s="289"/>
      <c r="BD146" s="326">
        <v>20000000</v>
      </c>
      <c r="BE146" s="326">
        <v>20000000</v>
      </c>
      <c r="BF146" s="326">
        <v>20000000</v>
      </c>
      <c r="BG146" s="289"/>
      <c r="BH146" s="289"/>
      <c r="BI146" s="289"/>
      <c r="BJ146" s="289"/>
      <c r="BK146" s="289"/>
      <c r="BL146" s="289"/>
      <c r="BM146" s="289"/>
      <c r="BN146" s="289"/>
      <c r="BO146" s="289"/>
      <c r="BP146" s="273">
        <f>+Z146+AC146+AF146+AI146+AL146+AO146+AR146+AU146+AX146+BA146+BD146+BG146+BJ146</f>
        <v>20000000</v>
      </c>
      <c r="BQ146" s="273">
        <f t="shared" ref="BQ146:BQ163" si="40">+AA146+AD146+AG146+AJ146+AM146+AP146+AS146+AV146+AY146+BB146+BE146+BH146+BK146</f>
        <v>20000000</v>
      </c>
      <c r="BR146" s="273">
        <f t="shared" ref="BR146:BR163" si="41">+AB146+AE146+AH146+AK146+AN146+AQ146+AT146+AW146+AZ146+BC146+BF146+BI146+BL146</f>
        <v>20000000</v>
      </c>
      <c r="BS146" s="246" t="s">
        <v>1653</v>
      </c>
      <c r="BT146" s="233"/>
    </row>
    <row r="147" spans="1:72" s="27" customFormat="1" ht="129.75" customHeight="1" x14ac:dyDescent="0.2">
      <c r="A147" s="217">
        <v>314</v>
      </c>
      <c r="B147" s="216" t="s">
        <v>1626</v>
      </c>
      <c r="C147" s="213">
        <v>1</v>
      </c>
      <c r="D147" s="216" t="s">
        <v>1614</v>
      </c>
      <c r="E147" s="213">
        <v>22</v>
      </c>
      <c r="F147" s="287" t="s">
        <v>156</v>
      </c>
      <c r="G147" s="213">
        <v>2201</v>
      </c>
      <c r="H147" s="216" t="s">
        <v>277</v>
      </c>
      <c r="I147" s="213">
        <v>2201</v>
      </c>
      <c r="J147" s="216" t="s">
        <v>1587</v>
      </c>
      <c r="K147" s="216" t="s">
        <v>705</v>
      </c>
      <c r="L147" s="213">
        <v>2201035</v>
      </c>
      <c r="M147" s="216" t="s">
        <v>706</v>
      </c>
      <c r="N147" s="213">
        <v>2201035</v>
      </c>
      <c r="O147" s="216" t="s">
        <v>706</v>
      </c>
      <c r="P147" s="304">
        <v>220103500</v>
      </c>
      <c r="Q147" s="216" t="s">
        <v>707</v>
      </c>
      <c r="R147" s="304">
        <v>220103500</v>
      </c>
      <c r="S147" s="214" t="s">
        <v>707</v>
      </c>
      <c r="T147" s="236" t="s">
        <v>1673</v>
      </c>
      <c r="U147" s="76">
        <v>8</v>
      </c>
      <c r="V147" s="76">
        <v>8</v>
      </c>
      <c r="W147" s="236" t="s">
        <v>693</v>
      </c>
      <c r="X147" s="214" t="s">
        <v>694</v>
      </c>
      <c r="Y147" s="216" t="s">
        <v>695</v>
      </c>
      <c r="Z147" s="289"/>
      <c r="AA147" s="289"/>
      <c r="AB147" s="289"/>
      <c r="AC147" s="289"/>
      <c r="AD147" s="289"/>
      <c r="AE147" s="289"/>
      <c r="AF147" s="289"/>
      <c r="AG147" s="289"/>
      <c r="AH147" s="289"/>
      <c r="AI147" s="289"/>
      <c r="AJ147" s="289"/>
      <c r="AK147" s="289"/>
      <c r="AL147" s="289"/>
      <c r="AM147" s="289"/>
      <c r="AN147" s="289"/>
      <c r="AO147" s="289"/>
      <c r="AP147" s="289"/>
      <c r="AQ147" s="289"/>
      <c r="AR147" s="289"/>
      <c r="AS147" s="289"/>
      <c r="AT147" s="289"/>
      <c r="AU147" s="289"/>
      <c r="AV147" s="289"/>
      <c r="AW147" s="289"/>
      <c r="AX147" s="289"/>
      <c r="AY147" s="289"/>
      <c r="AZ147" s="289"/>
      <c r="BA147" s="289"/>
      <c r="BB147" s="289"/>
      <c r="BC147" s="289"/>
      <c r="BD147" s="326">
        <v>10000000</v>
      </c>
      <c r="BE147" s="326">
        <v>10000000</v>
      </c>
      <c r="BF147" s="326">
        <v>10000000</v>
      </c>
      <c r="BG147" s="289"/>
      <c r="BH147" s="289"/>
      <c r="BI147" s="289"/>
      <c r="BJ147" s="289"/>
      <c r="BK147" s="289"/>
      <c r="BL147" s="289"/>
      <c r="BM147" s="289"/>
      <c r="BN147" s="289"/>
      <c r="BO147" s="289"/>
      <c r="BP147" s="273">
        <f>+Z147+AC147+AF147+AI147+AL147+AO147+AR147+AU147+AX147+BA147+BD147+BG147+BJ147</f>
        <v>10000000</v>
      </c>
      <c r="BQ147" s="273">
        <f>+AA147+AD147+AG147+AJ147+AM147+AP147+AS147+AV147+AY147+BB147+BE147+BH147+BK147</f>
        <v>10000000</v>
      </c>
      <c r="BR147" s="273">
        <f>+AB147+AE147+AH147+AK147+AN147+AQ147+AT147+AW147+AZ147+BC147+BF147+BI147+BL147</f>
        <v>10000000</v>
      </c>
      <c r="BS147" s="246" t="s">
        <v>1653</v>
      </c>
      <c r="BT147" s="233"/>
    </row>
    <row r="148" spans="1:72" s="27" customFormat="1" ht="121.5" customHeight="1" x14ac:dyDescent="0.2">
      <c r="A148" s="217">
        <v>314</v>
      </c>
      <c r="B148" s="216" t="s">
        <v>1626</v>
      </c>
      <c r="C148" s="213">
        <v>1</v>
      </c>
      <c r="D148" s="216" t="s">
        <v>1614</v>
      </c>
      <c r="E148" s="213">
        <v>22</v>
      </c>
      <c r="F148" s="287" t="s">
        <v>156</v>
      </c>
      <c r="G148" s="213">
        <v>2201</v>
      </c>
      <c r="H148" s="216" t="s">
        <v>277</v>
      </c>
      <c r="I148" s="213">
        <v>2201</v>
      </c>
      <c r="J148" s="216" t="s">
        <v>1587</v>
      </c>
      <c r="K148" s="216" t="s">
        <v>667</v>
      </c>
      <c r="L148" s="213">
        <v>2201046</v>
      </c>
      <c r="M148" s="216" t="s">
        <v>708</v>
      </c>
      <c r="N148" s="213">
        <v>2201046</v>
      </c>
      <c r="O148" s="216" t="s">
        <v>708</v>
      </c>
      <c r="P148" s="334">
        <v>220104602</v>
      </c>
      <c r="Q148" s="216" t="s">
        <v>709</v>
      </c>
      <c r="R148" s="334">
        <v>220104602</v>
      </c>
      <c r="S148" s="216" t="s">
        <v>709</v>
      </c>
      <c r="T148" s="236" t="s">
        <v>1673</v>
      </c>
      <c r="U148" s="76">
        <v>13</v>
      </c>
      <c r="V148" s="76">
        <v>16</v>
      </c>
      <c r="W148" s="236" t="s">
        <v>693</v>
      </c>
      <c r="X148" s="214" t="s">
        <v>694</v>
      </c>
      <c r="Y148" s="216" t="s">
        <v>695</v>
      </c>
      <c r="Z148" s="289"/>
      <c r="AA148" s="289"/>
      <c r="AB148" s="289"/>
      <c r="AC148" s="289"/>
      <c r="AD148" s="289"/>
      <c r="AE148" s="289"/>
      <c r="AF148" s="289"/>
      <c r="AG148" s="289"/>
      <c r="AH148" s="289"/>
      <c r="AI148" s="273"/>
      <c r="AJ148" s="273"/>
      <c r="AK148" s="273"/>
      <c r="AL148" s="289"/>
      <c r="AM148" s="289"/>
      <c r="AN148" s="289"/>
      <c r="AO148" s="289"/>
      <c r="AP148" s="289"/>
      <c r="AQ148" s="289"/>
      <c r="AR148" s="289"/>
      <c r="AS148" s="289"/>
      <c r="AT148" s="289"/>
      <c r="AU148" s="289"/>
      <c r="AV148" s="289"/>
      <c r="AW148" s="289"/>
      <c r="AX148" s="289"/>
      <c r="AY148" s="289"/>
      <c r="AZ148" s="289"/>
      <c r="BA148" s="289"/>
      <c r="BB148" s="289"/>
      <c r="BC148" s="289"/>
      <c r="BD148" s="294">
        <v>10000000.01</v>
      </c>
      <c r="BE148" s="326">
        <v>9999000.0100000016</v>
      </c>
      <c r="BF148" s="294">
        <v>9999000.0100000016</v>
      </c>
      <c r="BG148" s="289"/>
      <c r="BH148" s="289"/>
      <c r="BI148" s="289"/>
      <c r="BJ148" s="289"/>
      <c r="BK148" s="289"/>
      <c r="BL148" s="289"/>
      <c r="BM148" s="289"/>
      <c r="BN148" s="289"/>
      <c r="BO148" s="289"/>
      <c r="BP148" s="273">
        <f t="shared" ref="BP148:BP163" si="42">+Z148+AC148+AF148+AI148+AL148+AO148+AR148+AU148+AX148+BA148+BD148+BG148+BJ148</f>
        <v>10000000.01</v>
      </c>
      <c r="BQ148" s="273">
        <f t="shared" si="40"/>
        <v>9999000.0100000016</v>
      </c>
      <c r="BR148" s="273">
        <f t="shared" si="41"/>
        <v>9999000.0100000016</v>
      </c>
      <c r="BS148" s="246" t="s">
        <v>1653</v>
      </c>
      <c r="BT148" s="233"/>
    </row>
    <row r="149" spans="1:72" s="27" customFormat="1" ht="131.25" customHeight="1" x14ac:dyDescent="0.2">
      <c r="A149" s="217">
        <v>314</v>
      </c>
      <c r="B149" s="216" t="s">
        <v>1626</v>
      </c>
      <c r="C149" s="213">
        <v>1</v>
      </c>
      <c r="D149" s="216" t="s">
        <v>1614</v>
      </c>
      <c r="E149" s="213">
        <v>22</v>
      </c>
      <c r="F149" s="287" t="s">
        <v>156</v>
      </c>
      <c r="G149" s="213">
        <v>2201</v>
      </c>
      <c r="H149" s="216" t="s">
        <v>277</v>
      </c>
      <c r="I149" s="213">
        <v>2201</v>
      </c>
      <c r="J149" s="216" t="s">
        <v>1587</v>
      </c>
      <c r="K149" s="216" t="s">
        <v>667</v>
      </c>
      <c r="L149" s="213">
        <v>2201054</v>
      </c>
      <c r="M149" s="216" t="s">
        <v>710</v>
      </c>
      <c r="N149" s="213">
        <v>2201054</v>
      </c>
      <c r="O149" s="216" t="s">
        <v>710</v>
      </c>
      <c r="P149" s="304">
        <v>220105400</v>
      </c>
      <c r="Q149" s="216" t="s">
        <v>711</v>
      </c>
      <c r="R149" s="304">
        <v>220105400</v>
      </c>
      <c r="S149" s="216" t="s">
        <v>711</v>
      </c>
      <c r="T149" s="236" t="s">
        <v>1671</v>
      </c>
      <c r="U149" s="76">
        <v>11</v>
      </c>
      <c r="V149" s="76">
        <v>11</v>
      </c>
      <c r="W149" s="236" t="s">
        <v>693</v>
      </c>
      <c r="X149" s="214" t="s">
        <v>694</v>
      </c>
      <c r="Y149" s="216" t="s">
        <v>695</v>
      </c>
      <c r="Z149" s="289"/>
      <c r="AA149" s="289"/>
      <c r="AB149" s="289"/>
      <c r="AC149" s="289"/>
      <c r="AD149" s="289"/>
      <c r="AE149" s="289"/>
      <c r="AF149" s="289"/>
      <c r="AG149" s="289"/>
      <c r="AH149" s="289"/>
      <c r="AI149" s="289"/>
      <c r="AJ149" s="289"/>
      <c r="AK149" s="289"/>
      <c r="AL149" s="289"/>
      <c r="AM149" s="289"/>
      <c r="AN149" s="289"/>
      <c r="AO149" s="289"/>
      <c r="AP149" s="289"/>
      <c r="AQ149" s="289"/>
      <c r="AR149" s="289"/>
      <c r="AS149" s="289"/>
      <c r="AT149" s="289"/>
      <c r="AU149" s="289"/>
      <c r="AV149" s="289"/>
      <c r="AW149" s="289"/>
      <c r="AX149" s="289"/>
      <c r="AY149" s="289"/>
      <c r="AZ149" s="289"/>
      <c r="BA149" s="289"/>
      <c r="BB149" s="289"/>
      <c r="BC149" s="289"/>
      <c r="BD149" s="326">
        <v>10000000.01</v>
      </c>
      <c r="BE149" s="294">
        <v>9905167</v>
      </c>
      <c r="BF149" s="326">
        <v>9905167</v>
      </c>
      <c r="BG149" s="289"/>
      <c r="BH149" s="289"/>
      <c r="BI149" s="289"/>
      <c r="BJ149" s="289"/>
      <c r="BK149" s="289"/>
      <c r="BL149" s="289"/>
      <c r="BM149" s="289"/>
      <c r="BN149" s="289"/>
      <c r="BO149" s="289"/>
      <c r="BP149" s="273">
        <f t="shared" si="42"/>
        <v>10000000.01</v>
      </c>
      <c r="BQ149" s="273">
        <f>+AA149+AD149+AG149+AJ149+AM149+AP149+AS149+AV149+AY149+BB149+BE149+BH149+BK149</f>
        <v>9905167</v>
      </c>
      <c r="BR149" s="273">
        <f t="shared" si="41"/>
        <v>9905167</v>
      </c>
      <c r="BS149" s="246" t="s">
        <v>1653</v>
      </c>
      <c r="BT149" s="233"/>
    </row>
    <row r="150" spans="1:72" s="27" customFormat="1" ht="121.5" customHeight="1" x14ac:dyDescent="0.2">
      <c r="A150" s="217">
        <v>314</v>
      </c>
      <c r="B150" s="216" t="s">
        <v>1626</v>
      </c>
      <c r="C150" s="213">
        <v>1</v>
      </c>
      <c r="D150" s="216" t="s">
        <v>1614</v>
      </c>
      <c r="E150" s="213">
        <v>22</v>
      </c>
      <c r="F150" s="287" t="s">
        <v>156</v>
      </c>
      <c r="G150" s="213">
        <v>2201</v>
      </c>
      <c r="H150" s="216" t="s">
        <v>277</v>
      </c>
      <c r="I150" s="213">
        <v>2201</v>
      </c>
      <c r="J150" s="216" t="s">
        <v>1587</v>
      </c>
      <c r="K150" s="216" t="s">
        <v>664</v>
      </c>
      <c r="L150" s="213">
        <v>2201061</v>
      </c>
      <c r="M150" s="216" t="s">
        <v>712</v>
      </c>
      <c r="N150" s="213">
        <v>2201061</v>
      </c>
      <c r="O150" s="216" t="s">
        <v>712</v>
      </c>
      <c r="P150" s="304">
        <v>220106102</v>
      </c>
      <c r="Q150" s="216" t="s">
        <v>713</v>
      </c>
      <c r="R150" s="304">
        <v>220106102</v>
      </c>
      <c r="S150" s="216" t="s">
        <v>713</v>
      </c>
      <c r="T150" s="236" t="s">
        <v>1673</v>
      </c>
      <c r="U150" s="76">
        <v>12</v>
      </c>
      <c r="V150" s="76">
        <v>12</v>
      </c>
      <c r="W150" s="236" t="s">
        <v>693</v>
      </c>
      <c r="X150" s="214" t="s">
        <v>694</v>
      </c>
      <c r="Y150" s="216" t="s">
        <v>695</v>
      </c>
      <c r="Z150" s="289"/>
      <c r="AA150" s="289"/>
      <c r="AB150" s="289"/>
      <c r="AC150" s="289"/>
      <c r="AD150" s="289"/>
      <c r="AE150" s="289"/>
      <c r="AF150" s="289"/>
      <c r="AG150" s="289"/>
      <c r="AH150" s="289"/>
      <c r="AI150" s="289"/>
      <c r="AJ150" s="289"/>
      <c r="AK150" s="289"/>
      <c r="AL150" s="289"/>
      <c r="AM150" s="289"/>
      <c r="AN150" s="289"/>
      <c r="AO150" s="289"/>
      <c r="AP150" s="289"/>
      <c r="AQ150" s="289"/>
      <c r="AR150" s="289"/>
      <c r="AS150" s="289"/>
      <c r="AT150" s="289"/>
      <c r="AU150" s="289"/>
      <c r="AV150" s="289"/>
      <c r="AW150" s="289"/>
      <c r="AX150" s="289"/>
      <c r="AY150" s="289"/>
      <c r="AZ150" s="289"/>
      <c r="BA150" s="289"/>
      <c r="BB150" s="289"/>
      <c r="BC150" s="289"/>
      <c r="BD150" s="326">
        <v>10000000</v>
      </c>
      <c r="BE150" s="359">
        <v>10000000</v>
      </c>
      <c r="BF150" s="326">
        <v>10000000</v>
      </c>
      <c r="BG150" s="289"/>
      <c r="BH150" s="289"/>
      <c r="BI150" s="289"/>
      <c r="BJ150" s="289"/>
      <c r="BK150" s="289"/>
      <c r="BL150" s="289"/>
      <c r="BM150" s="289"/>
      <c r="BN150" s="289"/>
      <c r="BO150" s="289"/>
      <c r="BP150" s="273">
        <f t="shared" si="42"/>
        <v>10000000</v>
      </c>
      <c r="BQ150" s="273">
        <f t="shared" si="40"/>
        <v>10000000</v>
      </c>
      <c r="BR150" s="273">
        <f t="shared" si="41"/>
        <v>10000000</v>
      </c>
      <c r="BS150" s="246" t="s">
        <v>1653</v>
      </c>
      <c r="BT150" s="233"/>
    </row>
    <row r="151" spans="1:72" s="27" customFormat="1" ht="137.25" customHeight="1" x14ac:dyDescent="0.2">
      <c r="A151" s="217">
        <v>314</v>
      </c>
      <c r="B151" s="216" t="s">
        <v>1626</v>
      </c>
      <c r="C151" s="213">
        <v>1</v>
      </c>
      <c r="D151" s="216" t="s">
        <v>1614</v>
      </c>
      <c r="E151" s="213">
        <v>22</v>
      </c>
      <c r="F151" s="287" t="s">
        <v>156</v>
      </c>
      <c r="G151" s="213">
        <v>2201</v>
      </c>
      <c r="H151" s="216" t="s">
        <v>277</v>
      </c>
      <c r="I151" s="213">
        <v>2201</v>
      </c>
      <c r="J151" s="216" t="s">
        <v>1587</v>
      </c>
      <c r="K151" s="216" t="s">
        <v>664</v>
      </c>
      <c r="L151" s="213">
        <v>2201066</v>
      </c>
      <c r="M151" s="216" t="s">
        <v>714</v>
      </c>
      <c r="N151" s="213">
        <v>2201066</v>
      </c>
      <c r="O151" s="216" t="s">
        <v>714</v>
      </c>
      <c r="P151" s="304">
        <v>220106600</v>
      </c>
      <c r="Q151" s="216" t="s">
        <v>715</v>
      </c>
      <c r="R151" s="304">
        <v>220106600</v>
      </c>
      <c r="S151" s="216" t="s">
        <v>715</v>
      </c>
      <c r="T151" s="236" t="s">
        <v>1673</v>
      </c>
      <c r="U151" s="76">
        <v>10000</v>
      </c>
      <c r="V151" s="76">
        <v>4934</v>
      </c>
      <c r="W151" s="236" t="s">
        <v>693</v>
      </c>
      <c r="X151" s="214" t="s">
        <v>694</v>
      </c>
      <c r="Y151" s="216" t="s">
        <v>695</v>
      </c>
      <c r="Z151" s="289"/>
      <c r="AA151" s="289"/>
      <c r="AB151" s="289"/>
      <c r="AC151" s="289"/>
      <c r="AD151" s="289"/>
      <c r="AE151" s="289"/>
      <c r="AF151" s="289"/>
      <c r="AG151" s="289"/>
      <c r="AH151" s="289"/>
      <c r="AI151" s="289"/>
      <c r="AJ151" s="289"/>
      <c r="AK151" s="289"/>
      <c r="AL151" s="289"/>
      <c r="AM151" s="289"/>
      <c r="AN151" s="289"/>
      <c r="AO151" s="289"/>
      <c r="AP151" s="289"/>
      <c r="AQ151" s="289"/>
      <c r="AR151" s="289"/>
      <c r="AS151" s="289"/>
      <c r="AT151" s="289"/>
      <c r="AU151" s="289"/>
      <c r="AV151" s="289"/>
      <c r="AW151" s="289"/>
      <c r="AX151" s="289"/>
      <c r="AY151" s="289"/>
      <c r="AZ151" s="289"/>
      <c r="BA151" s="289"/>
      <c r="BB151" s="289"/>
      <c r="BC151" s="289"/>
      <c r="BD151" s="326">
        <f>10000000-8460000</f>
        <v>1540000</v>
      </c>
      <c r="BE151" s="326">
        <v>1540000</v>
      </c>
      <c r="BF151" s="326">
        <v>1540000</v>
      </c>
      <c r="BG151" s="289"/>
      <c r="BH151" s="289"/>
      <c r="BI151" s="289"/>
      <c r="BJ151" s="289"/>
      <c r="BK151" s="289"/>
      <c r="BL151" s="289"/>
      <c r="BM151" s="289"/>
      <c r="BN151" s="289"/>
      <c r="BO151" s="289"/>
      <c r="BP151" s="273">
        <f>+Z151+AC151+AF151+AI151+AL151+AO151+AR151+AU151+AX151+BA151+BD151+BG151+BJ151</f>
        <v>1540000</v>
      </c>
      <c r="BQ151" s="273">
        <f>+AA151+AD151+AG151+AJ151+AM151+AP151+AS151+AV151+AY151+BB151+BE151+BH151+BK151</f>
        <v>1540000</v>
      </c>
      <c r="BR151" s="273">
        <f t="shared" si="41"/>
        <v>1540000</v>
      </c>
      <c r="BS151" s="246" t="s">
        <v>1653</v>
      </c>
      <c r="BT151" s="233"/>
    </row>
    <row r="152" spans="1:72" s="27" customFormat="1" ht="128.25" customHeight="1" x14ac:dyDescent="0.2">
      <c r="A152" s="217">
        <v>314</v>
      </c>
      <c r="B152" s="216" t="s">
        <v>1626</v>
      </c>
      <c r="C152" s="213">
        <v>1</v>
      </c>
      <c r="D152" s="216" t="s">
        <v>1614</v>
      </c>
      <c r="E152" s="213">
        <v>22</v>
      </c>
      <c r="F152" s="287" t="s">
        <v>156</v>
      </c>
      <c r="G152" s="213">
        <v>2201</v>
      </c>
      <c r="H152" s="216" t="s">
        <v>277</v>
      </c>
      <c r="I152" s="213">
        <v>2201</v>
      </c>
      <c r="J152" s="216" t="s">
        <v>1587</v>
      </c>
      <c r="K152" s="216" t="s">
        <v>716</v>
      </c>
      <c r="L152" s="213">
        <v>2201006</v>
      </c>
      <c r="M152" s="216" t="s">
        <v>717</v>
      </c>
      <c r="N152" s="213">
        <v>2201006</v>
      </c>
      <c r="O152" s="216" t="s">
        <v>717</v>
      </c>
      <c r="P152" s="334">
        <v>220100600</v>
      </c>
      <c r="Q152" s="216" t="s">
        <v>718</v>
      </c>
      <c r="R152" s="334">
        <v>220100600</v>
      </c>
      <c r="S152" s="216" t="s">
        <v>718</v>
      </c>
      <c r="T152" s="236" t="s">
        <v>1671</v>
      </c>
      <c r="U152" s="76">
        <v>54</v>
      </c>
      <c r="V152" s="76">
        <v>54</v>
      </c>
      <c r="W152" s="236" t="s">
        <v>719</v>
      </c>
      <c r="X152" s="214" t="s">
        <v>720</v>
      </c>
      <c r="Y152" s="216" t="s">
        <v>721</v>
      </c>
      <c r="Z152" s="289"/>
      <c r="AA152" s="289"/>
      <c r="AB152" s="289"/>
      <c r="AC152" s="289"/>
      <c r="AD152" s="289"/>
      <c r="AE152" s="289"/>
      <c r="AF152" s="289"/>
      <c r="AG152" s="289"/>
      <c r="AH152" s="289"/>
      <c r="AI152" s="289"/>
      <c r="AJ152" s="289"/>
      <c r="AK152" s="289"/>
      <c r="AL152" s="289"/>
      <c r="AM152" s="289"/>
      <c r="AN152" s="289"/>
      <c r="AO152" s="289"/>
      <c r="AP152" s="289"/>
      <c r="AQ152" s="289"/>
      <c r="AR152" s="342"/>
      <c r="AS152" s="342"/>
      <c r="AT152" s="342"/>
      <c r="AU152" s="289"/>
      <c r="AV152" s="289"/>
      <c r="AW152" s="289"/>
      <c r="AX152" s="289"/>
      <c r="AY152" s="289"/>
      <c r="AZ152" s="289"/>
      <c r="BA152" s="289"/>
      <c r="BB152" s="289"/>
      <c r="BC152" s="289"/>
      <c r="BD152" s="370">
        <v>174900000.94999999</v>
      </c>
      <c r="BE152" s="326">
        <v>171388333</v>
      </c>
      <c r="BF152" s="326">
        <v>171388333</v>
      </c>
      <c r="BG152" s="289"/>
      <c r="BH152" s="289"/>
      <c r="BI152" s="289"/>
      <c r="BJ152" s="289"/>
      <c r="BK152" s="289"/>
      <c r="BL152" s="289"/>
      <c r="BM152" s="289"/>
      <c r="BN152" s="289"/>
      <c r="BO152" s="289"/>
      <c r="BP152" s="273">
        <f t="shared" si="42"/>
        <v>174900000.94999999</v>
      </c>
      <c r="BQ152" s="273">
        <f>+AA152+AD152+AG152+AJ152+AM152+AP152+AS152+AV152+AY152+BB152+BE152+BH152+BK152</f>
        <v>171388333</v>
      </c>
      <c r="BR152" s="273">
        <f>+AB152+AE152+AH152+AK152+AN152+AQ152+AT152+AW152+AZ152+BC152+BF152+BI152+BL152</f>
        <v>171388333</v>
      </c>
      <c r="BS152" s="246" t="s">
        <v>1653</v>
      </c>
      <c r="BT152" s="233"/>
    </row>
    <row r="153" spans="1:72" s="27" customFormat="1" ht="150" customHeight="1" x14ac:dyDescent="0.2">
      <c r="A153" s="217">
        <v>314</v>
      </c>
      <c r="B153" s="216" t="s">
        <v>1626</v>
      </c>
      <c r="C153" s="213">
        <v>1</v>
      </c>
      <c r="D153" s="216" t="s">
        <v>1614</v>
      </c>
      <c r="E153" s="213">
        <v>22</v>
      </c>
      <c r="F153" s="287" t="s">
        <v>156</v>
      </c>
      <c r="G153" s="213">
        <v>2201</v>
      </c>
      <c r="H153" s="216" t="s">
        <v>277</v>
      </c>
      <c r="I153" s="213">
        <v>2201</v>
      </c>
      <c r="J153" s="216" t="s">
        <v>1587</v>
      </c>
      <c r="K153" s="216" t="s">
        <v>716</v>
      </c>
      <c r="L153" s="213">
        <v>2201015</v>
      </c>
      <c r="M153" s="216" t="s">
        <v>722</v>
      </c>
      <c r="N153" s="213">
        <v>2201015</v>
      </c>
      <c r="O153" s="216" t="s">
        <v>722</v>
      </c>
      <c r="P153" s="304">
        <v>220101500</v>
      </c>
      <c r="Q153" s="216" t="s">
        <v>723</v>
      </c>
      <c r="R153" s="304">
        <v>220101500</v>
      </c>
      <c r="S153" s="216" t="s">
        <v>723</v>
      </c>
      <c r="T153" s="236" t="s">
        <v>1671</v>
      </c>
      <c r="U153" s="76">
        <v>11</v>
      </c>
      <c r="V153" s="76">
        <v>11</v>
      </c>
      <c r="W153" s="236" t="s">
        <v>719</v>
      </c>
      <c r="X153" s="214" t="s">
        <v>720</v>
      </c>
      <c r="Y153" s="216" t="s">
        <v>721</v>
      </c>
      <c r="Z153" s="289"/>
      <c r="AA153" s="289"/>
      <c r="AB153" s="289"/>
      <c r="AC153" s="289"/>
      <c r="AD153" s="289"/>
      <c r="AE153" s="289"/>
      <c r="AF153" s="289"/>
      <c r="AG153" s="289"/>
      <c r="AH153" s="289"/>
      <c r="AI153" s="289"/>
      <c r="AJ153" s="289"/>
      <c r="AK153" s="289"/>
      <c r="AL153" s="289"/>
      <c r="AM153" s="289"/>
      <c r="AN153" s="289"/>
      <c r="AO153" s="289"/>
      <c r="AP153" s="289"/>
      <c r="AQ153" s="289"/>
      <c r="AR153" s="289"/>
      <c r="AS153" s="289"/>
      <c r="AT153" s="289"/>
      <c r="AU153" s="289"/>
      <c r="AV153" s="289"/>
      <c r="AW153" s="289"/>
      <c r="AX153" s="289"/>
      <c r="AY153" s="289"/>
      <c r="AZ153" s="289"/>
      <c r="BA153" s="289"/>
      <c r="BB153" s="289"/>
      <c r="BC153" s="289"/>
      <c r="BD153" s="326">
        <f>12000000-12000000</f>
        <v>0</v>
      </c>
      <c r="BE153" s="326"/>
      <c r="BF153" s="326"/>
      <c r="BG153" s="289"/>
      <c r="BH153" s="289"/>
      <c r="BI153" s="289"/>
      <c r="BJ153" s="289"/>
      <c r="BK153" s="289"/>
      <c r="BL153" s="289"/>
      <c r="BM153" s="289"/>
      <c r="BN153" s="289"/>
      <c r="BO153" s="289"/>
      <c r="BP153" s="273">
        <f t="shared" si="42"/>
        <v>0</v>
      </c>
      <c r="BQ153" s="273">
        <f t="shared" si="40"/>
        <v>0</v>
      </c>
      <c r="BR153" s="273">
        <f t="shared" si="41"/>
        <v>0</v>
      </c>
      <c r="BS153" s="246" t="s">
        <v>1653</v>
      </c>
      <c r="BT153" s="233"/>
    </row>
    <row r="154" spans="1:72" s="27" customFormat="1" ht="154.5" customHeight="1" x14ac:dyDescent="0.2">
      <c r="A154" s="217">
        <v>314</v>
      </c>
      <c r="B154" s="216" t="s">
        <v>1626</v>
      </c>
      <c r="C154" s="213">
        <v>1</v>
      </c>
      <c r="D154" s="216" t="s">
        <v>1614</v>
      </c>
      <c r="E154" s="213">
        <v>22</v>
      </c>
      <c r="F154" s="287" t="s">
        <v>156</v>
      </c>
      <c r="G154" s="213">
        <v>2201</v>
      </c>
      <c r="H154" s="216" t="s">
        <v>277</v>
      </c>
      <c r="I154" s="213">
        <v>2201</v>
      </c>
      <c r="J154" s="216" t="s">
        <v>1587</v>
      </c>
      <c r="K154" s="216" t="s">
        <v>667</v>
      </c>
      <c r="L154" s="213">
        <v>2201042</v>
      </c>
      <c r="M154" s="216" t="s">
        <v>724</v>
      </c>
      <c r="N154" s="213">
        <v>2201042</v>
      </c>
      <c r="O154" s="216" t="s">
        <v>724</v>
      </c>
      <c r="P154" s="304">
        <v>220104200</v>
      </c>
      <c r="Q154" s="216" t="s">
        <v>725</v>
      </c>
      <c r="R154" s="304">
        <v>220104200</v>
      </c>
      <c r="S154" s="216" t="s">
        <v>725</v>
      </c>
      <c r="T154" s="236" t="s">
        <v>1673</v>
      </c>
      <c r="U154" s="76">
        <v>6000</v>
      </c>
      <c r="V154" s="76">
        <v>6000</v>
      </c>
      <c r="W154" s="236" t="s">
        <v>719</v>
      </c>
      <c r="X154" s="214" t="s">
        <v>720</v>
      </c>
      <c r="Y154" s="216" t="s">
        <v>721</v>
      </c>
      <c r="Z154" s="289"/>
      <c r="AA154" s="289"/>
      <c r="AB154" s="289"/>
      <c r="AC154" s="289"/>
      <c r="AD154" s="289"/>
      <c r="AE154" s="289"/>
      <c r="AF154" s="289"/>
      <c r="AG154" s="289"/>
      <c r="AH154" s="289"/>
      <c r="AI154" s="289"/>
      <c r="AJ154" s="289"/>
      <c r="AK154" s="289"/>
      <c r="AL154" s="289"/>
      <c r="AM154" s="289"/>
      <c r="AN154" s="289"/>
      <c r="AO154" s="289"/>
      <c r="AP154" s="289"/>
      <c r="AQ154" s="289"/>
      <c r="AR154" s="289"/>
      <c r="AS154" s="289"/>
      <c r="AT154" s="289"/>
      <c r="AU154" s="289"/>
      <c r="AV154" s="289"/>
      <c r="AW154" s="289"/>
      <c r="AX154" s="289"/>
      <c r="AY154" s="289"/>
      <c r="AZ154" s="289"/>
      <c r="BA154" s="289"/>
      <c r="BB154" s="289"/>
      <c r="BC154" s="289"/>
      <c r="BD154" s="294">
        <v>10000000.01</v>
      </c>
      <c r="BE154" s="326">
        <v>9905167</v>
      </c>
      <c r="BF154" s="294">
        <v>9905167</v>
      </c>
      <c r="BG154" s="289"/>
      <c r="BH154" s="289"/>
      <c r="BI154" s="289"/>
      <c r="BJ154" s="289"/>
      <c r="BK154" s="289"/>
      <c r="BL154" s="289"/>
      <c r="BM154" s="289"/>
      <c r="BN154" s="289"/>
      <c r="BO154" s="289"/>
      <c r="BP154" s="273">
        <f t="shared" si="42"/>
        <v>10000000.01</v>
      </c>
      <c r="BQ154" s="273">
        <f>+AA154+AD154+AG154+AJ154+AM154+AP154+AS154+AV154+AY154+BB154+BE154+BH154+BK154</f>
        <v>9905167</v>
      </c>
      <c r="BR154" s="273">
        <f t="shared" si="41"/>
        <v>9905167</v>
      </c>
      <c r="BS154" s="246" t="s">
        <v>1653</v>
      </c>
      <c r="BT154" s="233"/>
    </row>
    <row r="155" spans="1:72" s="27" customFormat="1" ht="111.75" customHeight="1" x14ac:dyDescent="0.2">
      <c r="A155" s="217">
        <v>314</v>
      </c>
      <c r="B155" s="216" t="s">
        <v>1626</v>
      </c>
      <c r="C155" s="213">
        <v>1</v>
      </c>
      <c r="D155" s="216" t="s">
        <v>1614</v>
      </c>
      <c r="E155" s="213">
        <v>22</v>
      </c>
      <c r="F155" s="287" t="s">
        <v>156</v>
      </c>
      <c r="G155" s="213">
        <v>2201</v>
      </c>
      <c r="H155" s="216" t="s">
        <v>277</v>
      </c>
      <c r="I155" s="213">
        <v>2201</v>
      </c>
      <c r="J155" s="216" t="s">
        <v>1587</v>
      </c>
      <c r="K155" s="216" t="s">
        <v>726</v>
      </c>
      <c r="L155" s="213">
        <v>2201071</v>
      </c>
      <c r="M155" s="343" t="s">
        <v>727</v>
      </c>
      <c r="N155" s="213">
        <v>2201071</v>
      </c>
      <c r="O155" s="343" t="s">
        <v>727</v>
      </c>
      <c r="P155" s="334">
        <v>220107100</v>
      </c>
      <c r="Q155" s="216" t="s">
        <v>728</v>
      </c>
      <c r="R155" s="334">
        <v>220107100</v>
      </c>
      <c r="S155" s="216" t="s">
        <v>728</v>
      </c>
      <c r="T155" s="236" t="s">
        <v>1671</v>
      </c>
      <c r="U155" s="76">
        <v>54</v>
      </c>
      <c r="V155" s="76">
        <v>54</v>
      </c>
      <c r="W155" s="236" t="s">
        <v>719</v>
      </c>
      <c r="X155" s="214" t="s">
        <v>720</v>
      </c>
      <c r="Y155" s="216" t="s">
        <v>721</v>
      </c>
      <c r="Z155" s="344"/>
      <c r="AA155" s="344"/>
      <c r="AB155" s="344"/>
      <c r="AC155" s="344"/>
      <c r="AD155" s="344"/>
      <c r="AE155" s="344"/>
      <c r="AF155" s="344"/>
      <c r="AG155" s="344"/>
      <c r="AH155" s="344"/>
      <c r="AI155" s="368">
        <v>1573920278.6600001</v>
      </c>
      <c r="AJ155" s="344">
        <v>1498549072.7800002</v>
      </c>
      <c r="AK155" s="344">
        <v>1498549072.7800002</v>
      </c>
      <c r="AL155" s="344"/>
      <c r="AM155" s="344"/>
      <c r="AN155" s="344"/>
      <c r="AO155" s="344"/>
      <c r="AP155" s="344"/>
      <c r="AQ155" s="344"/>
      <c r="AR155" s="342">
        <v>135943144737.94</v>
      </c>
      <c r="AS155" s="342">
        <v>134541477492.14999</v>
      </c>
      <c r="AT155" s="342">
        <v>134541477492.14999</v>
      </c>
      <c r="AU155" s="345">
        <v>28315024554</v>
      </c>
      <c r="AV155" s="345">
        <v>28315024554</v>
      </c>
      <c r="AW155" s="345">
        <v>28315024554</v>
      </c>
      <c r="AX155" s="344"/>
      <c r="AY155" s="344"/>
      <c r="AZ155" s="344"/>
      <c r="BA155" s="344"/>
      <c r="BB155" s="344"/>
      <c r="BC155" s="344"/>
      <c r="BD155" s="366">
        <v>6038518198.2200003</v>
      </c>
      <c r="BE155" s="326">
        <v>5639793613.2200003</v>
      </c>
      <c r="BF155" s="359">
        <v>5639793613.2200003</v>
      </c>
      <c r="BG155" s="344"/>
      <c r="BH155" s="344"/>
      <c r="BI155" s="344"/>
      <c r="BJ155" s="344">
        <v>3316642291.1900001</v>
      </c>
      <c r="BK155" s="344">
        <v>2997838179.8000002</v>
      </c>
      <c r="BL155" s="344">
        <v>2997838179.8000002</v>
      </c>
      <c r="BM155" s="344"/>
      <c r="BN155" s="344"/>
      <c r="BO155" s="344"/>
      <c r="BP155" s="273">
        <f>+Z155+AC155+AF155+AI155+AL155+AO155+AR155+AU155+AX155+BA155+BD155+BG155+BJ155</f>
        <v>175187250060.01001</v>
      </c>
      <c r="BQ155" s="273">
        <f>+AA155+AD155+AG155+AJ155+AM155+AP155+AS155+AV155+AY155+BB155+BE155+BH155+BK155</f>
        <v>172992682911.94998</v>
      </c>
      <c r="BR155" s="273">
        <f>+AB155+AE155+AH155+AK155+AN155+AQ155+AT155+AW155+AZ155+BC155+BF155+BI155+BL155</f>
        <v>172992682911.94998</v>
      </c>
      <c r="BS155" s="246" t="s">
        <v>1653</v>
      </c>
      <c r="BT155" s="233"/>
    </row>
    <row r="156" spans="1:72" s="27" customFormat="1" ht="168" customHeight="1" x14ac:dyDescent="0.2">
      <c r="A156" s="217">
        <v>314</v>
      </c>
      <c r="B156" s="216" t="s">
        <v>1626</v>
      </c>
      <c r="C156" s="213">
        <v>1</v>
      </c>
      <c r="D156" s="216" t="s">
        <v>1614</v>
      </c>
      <c r="E156" s="213">
        <v>22</v>
      </c>
      <c r="F156" s="287" t="s">
        <v>156</v>
      </c>
      <c r="G156" s="213">
        <v>2201</v>
      </c>
      <c r="H156" s="216" t="s">
        <v>277</v>
      </c>
      <c r="I156" s="213">
        <v>2201</v>
      </c>
      <c r="J156" s="216" t="s">
        <v>1587</v>
      </c>
      <c r="K156" s="216" t="s">
        <v>667</v>
      </c>
      <c r="L156" s="213">
        <v>2201050</v>
      </c>
      <c r="M156" s="216" t="s">
        <v>729</v>
      </c>
      <c r="N156" s="213">
        <v>2201050</v>
      </c>
      <c r="O156" s="216" t="s">
        <v>729</v>
      </c>
      <c r="P156" s="304">
        <v>220105000</v>
      </c>
      <c r="Q156" s="216" t="s">
        <v>730</v>
      </c>
      <c r="R156" s="304">
        <v>220105000</v>
      </c>
      <c r="S156" s="216" t="s">
        <v>730</v>
      </c>
      <c r="T156" s="236" t="s">
        <v>1673</v>
      </c>
      <c r="U156" s="76">
        <v>8000</v>
      </c>
      <c r="V156" s="76">
        <v>8000</v>
      </c>
      <c r="W156" s="236" t="s">
        <v>731</v>
      </c>
      <c r="X156" s="214" t="s">
        <v>732</v>
      </c>
      <c r="Y156" s="216" t="s">
        <v>733</v>
      </c>
      <c r="Z156" s="289"/>
      <c r="AA156" s="289"/>
      <c r="AB156" s="289"/>
      <c r="AC156" s="289"/>
      <c r="AD156" s="289"/>
      <c r="AE156" s="289"/>
      <c r="AF156" s="289"/>
      <c r="AG156" s="289"/>
      <c r="AH156" s="289"/>
      <c r="AI156" s="289"/>
      <c r="AJ156" s="289"/>
      <c r="AK156" s="289"/>
      <c r="AL156" s="289"/>
      <c r="AM156" s="289"/>
      <c r="AN156" s="289"/>
      <c r="AO156" s="289"/>
      <c r="AP156" s="289"/>
      <c r="AQ156" s="289"/>
      <c r="AR156" s="297"/>
      <c r="AS156" s="297"/>
      <c r="AT156" s="297"/>
      <c r="AU156" s="289"/>
      <c r="AV156" s="289"/>
      <c r="AW156" s="289"/>
      <c r="AX156" s="289"/>
      <c r="AY156" s="289"/>
      <c r="AZ156" s="289"/>
      <c r="BA156" s="289"/>
      <c r="BB156" s="289"/>
      <c r="BC156" s="289"/>
      <c r="BD156" s="326">
        <v>10000000.01</v>
      </c>
      <c r="BE156" s="294">
        <v>10000000</v>
      </c>
      <c r="BF156" s="326">
        <v>10000000</v>
      </c>
      <c r="BG156" s="289"/>
      <c r="BH156" s="289"/>
      <c r="BI156" s="289"/>
      <c r="BJ156" s="289"/>
      <c r="BK156" s="289"/>
      <c r="BL156" s="289"/>
      <c r="BM156" s="289"/>
      <c r="BN156" s="289"/>
      <c r="BO156" s="289"/>
      <c r="BP156" s="273">
        <f>+Z156+AC156+AF156+AI156+AL156+AO156+AR156+AU156+AX156+BA156+BD156+BG156+BJ156</f>
        <v>10000000.01</v>
      </c>
      <c r="BQ156" s="273">
        <f>+AA156+AD156+AG156+AJ156+AM156+AP156+AS156+AV156+AY156+BB156+BE156+BH156+BK156</f>
        <v>10000000</v>
      </c>
      <c r="BR156" s="273">
        <f t="shared" si="41"/>
        <v>10000000</v>
      </c>
      <c r="BS156" s="246" t="s">
        <v>1653</v>
      </c>
      <c r="BT156" s="233"/>
    </row>
    <row r="157" spans="1:72" s="27" customFormat="1" ht="135" customHeight="1" x14ac:dyDescent="0.2">
      <c r="A157" s="217">
        <v>314</v>
      </c>
      <c r="B157" s="216" t="s">
        <v>1626</v>
      </c>
      <c r="C157" s="213">
        <v>1</v>
      </c>
      <c r="D157" s="216" t="s">
        <v>1614</v>
      </c>
      <c r="E157" s="213">
        <v>22</v>
      </c>
      <c r="F157" s="287" t="s">
        <v>156</v>
      </c>
      <c r="G157" s="213">
        <v>2201</v>
      </c>
      <c r="H157" s="216" t="s">
        <v>277</v>
      </c>
      <c r="I157" s="213">
        <v>2201</v>
      </c>
      <c r="J157" s="216" t="s">
        <v>1587</v>
      </c>
      <c r="K157" s="216" t="s">
        <v>667</v>
      </c>
      <c r="L157" s="213">
        <v>2201050</v>
      </c>
      <c r="M157" s="216" t="s">
        <v>729</v>
      </c>
      <c r="N157" s="213">
        <v>2201050</v>
      </c>
      <c r="O157" s="216" t="s">
        <v>729</v>
      </c>
      <c r="P157" s="334">
        <v>220105001</v>
      </c>
      <c r="Q157" s="216" t="s">
        <v>734</v>
      </c>
      <c r="R157" s="334">
        <v>220105001</v>
      </c>
      <c r="S157" s="216" t="s">
        <v>734</v>
      </c>
      <c r="T157" s="236" t="s">
        <v>1671</v>
      </c>
      <c r="U157" s="76">
        <v>150</v>
      </c>
      <c r="V157" s="76">
        <v>150</v>
      </c>
      <c r="W157" s="236" t="s">
        <v>731</v>
      </c>
      <c r="X157" s="214" t="s">
        <v>732</v>
      </c>
      <c r="Y157" s="216" t="s">
        <v>733</v>
      </c>
      <c r="Z157" s="289"/>
      <c r="AA157" s="289"/>
      <c r="AB157" s="289"/>
      <c r="AC157" s="289"/>
      <c r="AD157" s="289"/>
      <c r="AE157" s="289"/>
      <c r="AF157" s="289"/>
      <c r="AG157" s="289"/>
      <c r="AH157" s="289"/>
      <c r="AI157" s="289"/>
      <c r="AJ157" s="289"/>
      <c r="AK157" s="289"/>
      <c r="AL157" s="289"/>
      <c r="AM157" s="289"/>
      <c r="AN157" s="289"/>
      <c r="AO157" s="289"/>
      <c r="AP157" s="289"/>
      <c r="AQ157" s="289"/>
      <c r="AR157" s="289">
        <f>749000000-157054393</f>
        <v>591945607</v>
      </c>
      <c r="AS157" s="289">
        <v>591802211</v>
      </c>
      <c r="AT157" s="289">
        <v>591802211</v>
      </c>
      <c r="AU157" s="289">
        <v>0</v>
      </c>
      <c r="AV157" s="289"/>
      <c r="AW157" s="289"/>
      <c r="AX157" s="289">
        <v>0</v>
      </c>
      <c r="AY157" s="289"/>
      <c r="AZ157" s="289"/>
      <c r="BA157" s="289">
        <v>0</v>
      </c>
      <c r="BB157" s="289"/>
      <c r="BC157" s="289"/>
      <c r="BD157" s="289">
        <v>0</v>
      </c>
      <c r="BE157" s="294"/>
      <c r="BF157" s="289"/>
      <c r="BG157" s="289">
        <v>0</v>
      </c>
      <c r="BH157" s="289"/>
      <c r="BI157" s="289"/>
      <c r="BJ157" s="289">
        <v>0</v>
      </c>
      <c r="BK157" s="289"/>
      <c r="BL157" s="289"/>
      <c r="BM157" s="289"/>
      <c r="BN157" s="289"/>
      <c r="BO157" s="289"/>
      <c r="BP157" s="273">
        <f t="shared" si="42"/>
        <v>591945607</v>
      </c>
      <c r="BQ157" s="273">
        <f>+AA157+AD157+AG157+AJ157+AM157+AP157+AS157+AV157+AY157+BB157+BE157+BH157+BK157</f>
        <v>591802211</v>
      </c>
      <c r="BR157" s="273">
        <f>+AB157+AE157+AH157+AK157+AN157+AQ157+AT157+AW157+AZ157+BC157+BF157+BI157+BL157</f>
        <v>591802211</v>
      </c>
      <c r="BS157" s="246" t="s">
        <v>1653</v>
      </c>
      <c r="BT157" s="233"/>
    </row>
    <row r="158" spans="1:72" s="27" customFormat="1" ht="120.75" customHeight="1" x14ac:dyDescent="0.2">
      <c r="A158" s="217">
        <v>314</v>
      </c>
      <c r="B158" s="216" t="s">
        <v>1626</v>
      </c>
      <c r="C158" s="213">
        <v>1</v>
      </c>
      <c r="D158" s="216" t="s">
        <v>1614</v>
      </c>
      <c r="E158" s="213">
        <v>22</v>
      </c>
      <c r="F158" s="287" t="s">
        <v>156</v>
      </c>
      <c r="G158" s="213">
        <v>2201</v>
      </c>
      <c r="H158" s="216" t="s">
        <v>277</v>
      </c>
      <c r="I158" s="213">
        <v>2201</v>
      </c>
      <c r="J158" s="216" t="s">
        <v>1587</v>
      </c>
      <c r="K158" s="216" t="s">
        <v>676</v>
      </c>
      <c r="L158" s="213" t="s">
        <v>41</v>
      </c>
      <c r="M158" s="216" t="s">
        <v>735</v>
      </c>
      <c r="N158" s="213">
        <v>2201001</v>
      </c>
      <c r="O158" s="216" t="s">
        <v>233</v>
      </c>
      <c r="P158" s="213" t="s">
        <v>41</v>
      </c>
      <c r="Q158" s="216" t="s">
        <v>736</v>
      </c>
      <c r="R158" s="304">
        <v>220100100</v>
      </c>
      <c r="S158" s="216" t="s">
        <v>737</v>
      </c>
      <c r="T158" s="236" t="s">
        <v>1671</v>
      </c>
      <c r="U158" s="76">
        <v>2</v>
      </c>
      <c r="V158" s="76">
        <v>2</v>
      </c>
      <c r="W158" s="236" t="s">
        <v>731</v>
      </c>
      <c r="X158" s="214" t="s">
        <v>732</v>
      </c>
      <c r="Y158" s="216" t="s">
        <v>733</v>
      </c>
      <c r="Z158" s="289"/>
      <c r="AA158" s="289"/>
      <c r="AB158" s="289"/>
      <c r="AC158" s="289"/>
      <c r="AD158" s="289"/>
      <c r="AE158" s="289"/>
      <c r="AF158" s="289"/>
      <c r="AG158" s="289"/>
      <c r="AH158" s="289"/>
      <c r="AI158" s="289"/>
      <c r="AJ158" s="289"/>
      <c r="AK158" s="289"/>
      <c r="AL158" s="289"/>
      <c r="AM158" s="289"/>
      <c r="AN158" s="289"/>
      <c r="AO158" s="289"/>
      <c r="AP158" s="289"/>
      <c r="AQ158" s="289"/>
      <c r="AR158" s="289"/>
      <c r="AS158" s="289"/>
      <c r="AT158" s="289"/>
      <c r="AU158" s="289"/>
      <c r="AV158" s="289"/>
      <c r="AW158" s="289"/>
      <c r="AX158" s="289"/>
      <c r="AY158" s="289"/>
      <c r="AZ158" s="289"/>
      <c r="BA158" s="289"/>
      <c r="BB158" s="289"/>
      <c r="BC158" s="289"/>
      <c r="BD158" s="326">
        <v>10000000.01</v>
      </c>
      <c r="BE158" s="326">
        <v>7800000</v>
      </c>
      <c r="BF158" s="326">
        <v>7800000</v>
      </c>
      <c r="BG158" s="289"/>
      <c r="BH158" s="289"/>
      <c r="BI158" s="289"/>
      <c r="BJ158" s="289"/>
      <c r="BK158" s="289"/>
      <c r="BL158" s="289"/>
      <c r="BM158" s="289"/>
      <c r="BN158" s="289"/>
      <c r="BO158" s="289"/>
      <c r="BP158" s="273">
        <f>+Z158+AC158+AF158+AI158+AL158+AO158+AR158+AU158+AX158+BA158+BD158+BG158+BJ158</f>
        <v>10000000.01</v>
      </c>
      <c r="BQ158" s="273">
        <f>+AA158+AD158+AG158+AJ158+AM158+AP158+AS158+AV158+AY158+BB158+BE158+BH158+BK158</f>
        <v>7800000</v>
      </c>
      <c r="BR158" s="273">
        <f t="shared" si="41"/>
        <v>7800000</v>
      </c>
      <c r="BS158" s="246" t="s">
        <v>1653</v>
      </c>
      <c r="BT158" s="233"/>
    </row>
    <row r="159" spans="1:72" s="27" customFormat="1" ht="114" customHeight="1" x14ac:dyDescent="0.2">
      <c r="A159" s="217">
        <v>314</v>
      </c>
      <c r="B159" s="216" t="s">
        <v>1626</v>
      </c>
      <c r="C159" s="213">
        <v>1</v>
      </c>
      <c r="D159" s="216" t="s">
        <v>1614</v>
      </c>
      <c r="E159" s="213">
        <v>22</v>
      </c>
      <c r="F159" s="287" t="s">
        <v>156</v>
      </c>
      <c r="G159" s="213">
        <v>2201</v>
      </c>
      <c r="H159" s="216" t="s">
        <v>277</v>
      </c>
      <c r="I159" s="213">
        <v>2201</v>
      </c>
      <c r="J159" s="216" t="s">
        <v>1587</v>
      </c>
      <c r="K159" s="216" t="s">
        <v>738</v>
      </c>
      <c r="L159" s="213">
        <v>2201034</v>
      </c>
      <c r="M159" s="216" t="s">
        <v>739</v>
      </c>
      <c r="N159" s="213">
        <v>2201034</v>
      </c>
      <c r="O159" s="216" t="s">
        <v>739</v>
      </c>
      <c r="P159" s="334">
        <v>220103400</v>
      </c>
      <c r="Q159" s="216" t="s">
        <v>740</v>
      </c>
      <c r="R159" s="334">
        <v>220103400</v>
      </c>
      <c r="S159" s="216" t="s">
        <v>740</v>
      </c>
      <c r="T159" s="236" t="s">
        <v>1673</v>
      </c>
      <c r="U159" s="76">
        <v>5500</v>
      </c>
      <c r="V159" s="76">
        <v>4760</v>
      </c>
      <c r="W159" s="236" t="s">
        <v>741</v>
      </c>
      <c r="X159" s="214" t="s">
        <v>742</v>
      </c>
      <c r="Y159" s="216" t="s">
        <v>743</v>
      </c>
      <c r="Z159" s="289"/>
      <c r="AA159" s="289"/>
      <c r="AB159" s="289"/>
      <c r="AC159" s="289"/>
      <c r="AD159" s="289"/>
      <c r="AE159" s="289"/>
      <c r="AF159" s="289"/>
      <c r="AG159" s="289"/>
      <c r="AH159" s="289"/>
      <c r="AI159" s="289"/>
      <c r="AJ159" s="289"/>
      <c r="AK159" s="289"/>
      <c r="AL159" s="289"/>
      <c r="AM159" s="289"/>
      <c r="AN159" s="289"/>
      <c r="AO159" s="289"/>
      <c r="AP159" s="289"/>
      <c r="AQ159" s="289"/>
      <c r="AR159" s="289"/>
      <c r="AS159" s="289"/>
      <c r="AT159" s="289"/>
      <c r="AU159" s="289"/>
      <c r="AV159" s="289"/>
      <c r="AW159" s="289"/>
      <c r="AX159" s="289"/>
      <c r="AY159" s="289"/>
      <c r="AZ159" s="289"/>
      <c r="BA159" s="289"/>
      <c r="BB159" s="289"/>
      <c r="BC159" s="289"/>
      <c r="BD159" s="326">
        <v>10000000.01</v>
      </c>
      <c r="BE159" s="326">
        <v>10000000</v>
      </c>
      <c r="BF159" s="326">
        <v>10000000</v>
      </c>
      <c r="BG159" s="289"/>
      <c r="BH159" s="289"/>
      <c r="BI159" s="289"/>
      <c r="BJ159" s="289"/>
      <c r="BK159" s="289"/>
      <c r="BL159" s="289"/>
      <c r="BM159" s="289"/>
      <c r="BN159" s="289"/>
      <c r="BO159" s="289"/>
      <c r="BP159" s="273">
        <f t="shared" si="42"/>
        <v>10000000.01</v>
      </c>
      <c r="BQ159" s="273">
        <f t="shared" si="40"/>
        <v>10000000</v>
      </c>
      <c r="BR159" s="273">
        <f t="shared" si="41"/>
        <v>10000000</v>
      </c>
      <c r="BS159" s="246" t="s">
        <v>1653</v>
      </c>
      <c r="BT159" s="233"/>
    </row>
    <row r="160" spans="1:72" s="27" customFormat="1" ht="103.5" customHeight="1" x14ac:dyDescent="0.2">
      <c r="A160" s="217">
        <v>314</v>
      </c>
      <c r="B160" s="216" t="s">
        <v>1626</v>
      </c>
      <c r="C160" s="213">
        <v>1</v>
      </c>
      <c r="D160" s="216" t="s">
        <v>1614</v>
      </c>
      <c r="E160" s="213">
        <v>22</v>
      </c>
      <c r="F160" s="287" t="s">
        <v>156</v>
      </c>
      <c r="G160" s="213">
        <v>2201</v>
      </c>
      <c r="H160" s="216" t="s">
        <v>277</v>
      </c>
      <c r="I160" s="213">
        <v>2201</v>
      </c>
      <c r="J160" s="216" t="s">
        <v>1587</v>
      </c>
      <c r="K160" s="216" t="s">
        <v>738</v>
      </c>
      <c r="L160" s="213">
        <v>2201034</v>
      </c>
      <c r="M160" s="216" t="s">
        <v>744</v>
      </c>
      <c r="N160" s="213">
        <v>2201034</v>
      </c>
      <c r="O160" s="216" t="s">
        <v>744</v>
      </c>
      <c r="P160" s="304">
        <v>220103401</v>
      </c>
      <c r="Q160" s="216" t="s">
        <v>745</v>
      </c>
      <c r="R160" s="304">
        <v>220103401</v>
      </c>
      <c r="S160" s="216" t="s">
        <v>745</v>
      </c>
      <c r="T160" s="236" t="s">
        <v>1671</v>
      </c>
      <c r="U160" s="76">
        <v>54</v>
      </c>
      <c r="V160" s="76">
        <v>54</v>
      </c>
      <c r="W160" s="236" t="s">
        <v>741</v>
      </c>
      <c r="X160" s="214" t="s">
        <v>742</v>
      </c>
      <c r="Y160" s="216" t="s">
        <v>743</v>
      </c>
      <c r="Z160" s="289"/>
      <c r="AA160" s="289"/>
      <c r="AB160" s="289"/>
      <c r="AC160" s="289"/>
      <c r="AD160" s="289"/>
      <c r="AE160" s="289"/>
      <c r="AF160" s="289"/>
      <c r="AG160" s="289"/>
      <c r="AH160" s="289"/>
      <c r="AI160" s="289"/>
      <c r="AJ160" s="289"/>
      <c r="AK160" s="289"/>
      <c r="AL160" s="289"/>
      <c r="AM160" s="289"/>
      <c r="AN160" s="289"/>
      <c r="AO160" s="289"/>
      <c r="AP160" s="289"/>
      <c r="AQ160" s="289"/>
      <c r="AR160" s="289"/>
      <c r="AS160" s="289"/>
      <c r="AT160" s="289"/>
      <c r="AU160" s="289"/>
      <c r="AV160" s="289"/>
      <c r="AW160" s="289"/>
      <c r="AX160" s="289"/>
      <c r="AY160" s="289"/>
      <c r="AZ160" s="289"/>
      <c r="BA160" s="289"/>
      <c r="BB160" s="289"/>
      <c r="BC160" s="289"/>
      <c r="BD160" s="326">
        <v>9999999.9800000004</v>
      </c>
      <c r="BE160" s="326">
        <v>9334359</v>
      </c>
      <c r="BF160" s="326">
        <v>9334359</v>
      </c>
      <c r="BG160" s="289"/>
      <c r="BH160" s="289"/>
      <c r="BI160" s="289"/>
      <c r="BJ160" s="289"/>
      <c r="BK160" s="289"/>
      <c r="BL160" s="289"/>
      <c r="BM160" s="289"/>
      <c r="BN160" s="289"/>
      <c r="BO160" s="289"/>
      <c r="BP160" s="273">
        <f t="shared" si="42"/>
        <v>9999999.9800000004</v>
      </c>
      <c r="BQ160" s="273">
        <f t="shared" si="40"/>
        <v>9334359</v>
      </c>
      <c r="BR160" s="273">
        <f t="shared" si="41"/>
        <v>9334359</v>
      </c>
      <c r="BS160" s="246" t="s">
        <v>1653</v>
      </c>
      <c r="BT160" s="233"/>
    </row>
    <row r="161" spans="1:72" s="27" customFormat="1" ht="93.75" customHeight="1" x14ac:dyDescent="0.2">
      <c r="A161" s="217">
        <v>314</v>
      </c>
      <c r="B161" s="216" t="s">
        <v>1626</v>
      </c>
      <c r="C161" s="213">
        <v>1</v>
      </c>
      <c r="D161" s="216" t="s">
        <v>1614</v>
      </c>
      <c r="E161" s="213">
        <v>22</v>
      </c>
      <c r="F161" s="287" t="s">
        <v>156</v>
      </c>
      <c r="G161" s="213">
        <v>2201</v>
      </c>
      <c r="H161" s="216" t="s">
        <v>277</v>
      </c>
      <c r="I161" s="213">
        <v>2201</v>
      </c>
      <c r="J161" s="216" t="s">
        <v>1587</v>
      </c>
      <c r="K161" s="216" t="s">
        <v>738</v>
      </c>
      <c r="L161" s="213">
        <v>2201060</v>
      </c>
      <c r="M161" s="216" t="s">
        <v>746</v>
      </c>
      <c r="N161" s="213">
        <v>2201060</v>
      </c>
      <c r="O161" s="216" t="s">
        <v>746</v>
      </c>
      <c r="P161" s="334">
        <v>220106000</v>
      </c>
      <c r="Q161" s="216" t="s">
        <v>747</v>
      </c>
      <c r="R161" s="334">
        <v>220106000</v>
      </c>
      <c r="S161" s="216" t="s">
        <v>747</v>
      </c>
      <c r="T161" s="236" t="s">
        <v>1673</v>
      </c>
      <c r="U161" s="76">
        <v>200</v>
      </c>
      <c r="V161" s="76">
        <v>153</v>
      </c>
      <c r="W161" s="236" t="s">
        <v>741</v>
      </c>
      <c r="X161" s="214" t="s">
        <v>742</v>
      </c>
      <c r="Y161" s="216" t="s">
        <v>743</v>
      </c>
      <c r="Z161" s="289"/>
      <c r="AA161" s="289"/>
      <c r="AB161" s="289"/>
      <c r="AC161" s="289"/>
      <c r="AD161" s="289"/>
      <c r="AE161" s="289"/>
      <c r="AF161" s="289"/>
      <c r="AG161" s="289"/>
      <c r="AH161" s="289"/>
      <c r="AI161" s="289"/>
      <c r="AJ161" s="289"/>
      <c r="AK161" s="289"/>
      <c r="AL161" s="289"/>
      <c r="AM161" s="289"/>
      <c r="AN161" s="289"/>
      <c r="AO161" s="289"/>
      <c r="AP161" s="289"/>
      <c r="AQ161" s="289"/>
      <c r="AR161" s="289"/>
      <c r="AS161" s="289"/>
      <c r="AT161" s="289"/>
      <c r="AU161" s="289"/>
      <c r="AV161" s="289"/>
      <c r="AW161" s="289"/>
      <c r="AX161" s="289"/>
      <c r="AY161" s="289"/>
      <c r="AZ161" s="289"/>
      <c r="BA161" s="289"/>
      <c r="BB161" s="289"/>
      <c r="BC161" s="289"/>
      <c r="BD161" s="326">
        <f>10000000.01-10000000.01</f>
        <v>0</v>
      </c>
      <c r="BE161" s="326"/>
      <c r="BF161" s="326"/>
      <c r="BG161" s="289"/>
      <c r="BH161" s="289"/>
      <c r="BI161" s="289"/>
      <c r="BJ161" s="289"/>
      <c r="BK161" s="289"/>
      <c r="BL161" s="289"/>
      <c r="BM161" s="289"/>
      <c r="BN161" s="289"/>
      <c r="BO161" s="289"/>
      <c r="BP161" s="273">
        <f t="shared" si="42"/>
        <v>0</v>
      </c>
      <c r="BQ161" s="273">
        <f t="shared" si="40"/>
        <v>0</v>
      </c>
      <c r="BR161" s="273">
        <f>+AB161+AE161+AH161+AK161+AN161+AQ161+AT161+AW161+AZ161+BC161+BF161+BI161+BL161</f>
        <v>0</v>
      </c>
      <c r="BS161" s="246" t="s">
        <v>1653</v>
      </c>
      <c r="BT161" s="233"/>
    </row>
    <row r="162" spans="1:72" s="27" customFormat="1" ht="159.75" customHeight="1" x14ac:dyDescent="0.2">
      <c r="A162" s="217">
        <v>314</v>
      </c>
      <c r="B162" s="216" t="s">
        <v>1626</v>
      </c>
      <c r="C162" s="213">
        <v>1</v>
      </c>
      <c r="D162" s="216" t="s">
        <v>1614</v>
      </c>
      <c r="E162" s="213">
        <v>22</v>
      </c>
      <c r="F162" s="287" t="s">
        <v>156</v>
      </c>
      <c r="G162" s="213">
        <v>2201</v>
      </c>
      <c r="H162" s="216" t="s">
        <v>277</v>
      </c>
      <c r="I162" s="213">
        <v>2201</v>
      </c>
      <c r="J162" s="216" t="s">
        <v>1587</v>
      </c>
      <c r="K162" s="216" t="s">
        <v>716</v>
      </c>
      <c r="L162" s="213">
        <v>2201001</v>
      </c>
      <c r="M162" s="216" t="s">
        <v>233</v>
      </c>
      <c r="N162" s="213">
        <v>2201001</v>
      </c>
      <c r="O162" s="216" t="s">
        <v>233</v>
      </c>
      <c r="P162" s="213">
        <v>2201001</v>
      </c>
      <c r="Q162" s="216" t="s">
        <v>737</v>
      </c>
      <c r="R162" s="213">
        <v>220100100</v>
      </c>
      <c r="S162" s="216" t="s">
        <v>737</v>
      </c>
      <c r="T162" s="236" t="s">
        <v>1671</v>
      </c>
      <c r="U162" s="76">
        <v>5</v>
      </c>
      <c r="V162" s="76">
        <v>5</v>
      </c>
      <c r="W162" s="236" t="s">
        <v>748</v>
      </c>
      <c r="X162" s="214" t="s">
        <v>1662</v>
      </c>
      <c r="Y162" s="216" t="s">
        <v>1663</v>
      </c>
      <c r="Z162" s="289"/>
      <c r="AA162" s="289"/>
      <c r="AB162" s="289"/>
      <c r="AC162" s="289"/>
      <c r="AD162" s="289"/>
      <c r="AE162" s="289"/>
      <c r="AF162" s="289"/>
      <c r="AG162" s="289"/>
      <c r="AH162" s="289"/>
      <c r="AI162" s="289"/>
      <c r="AJ162" s="289"/>
      <c r="AK162" s="289"/>
      <c r="AL162" s="289"/>
      <c r="AM162" s="289"/>
      <c r="AN162" s="289"/>
      <c r="AO162" s="289"/>
      <c r="AP162" s="289"/>
      <c r="AQ162" s="289"/>
      <c r="AR162" s="289"/>
      <c r="AS162" s="289"/>
      <c r="AT162" s="289"/>
      <c r="AU162" s="289"/>
      <c r="AV162" s="289"/>
      <c r="AW162" s="289"/>
      <c r="AX162" s="289"/>
      <c r="AY162" s="289"/>
      <c r="AZ162" s="289"/>
      <c r="BA162" s="289"/>
      <c r="BB162" s="289"/>
      <c r="BC162" s="289"/>
      <c r="BD162" s="370">
        <f>9000000+5100000</f>
        <v>14100000</v>
      </c>
      <c r="BE162" s="326">
        <v>13100000</v>
      </c>
      <c r="BF162" s="326">
        <v>13100000</v>
      </c>
      <c r="BG162" s="289"/>
      <c r="BH162" s="289"/>
      <c r="BI162" s="289"/>
      <c r="BJ162" s="289"/>
      <c r="BK162" s="289"/>
      <c r="BL162" s="289"/>
      <c r="BM162" s="289"/>
      <c r="BN162" s="289"/>
      <c r="BO162" s="289"/>
      <c r="BP162" s="273">
        <f t="shared" si="42"/>
        <v>14100000</v>
      </c>
      <c r="BQ162" s="273">
        <f t="shared" si="40"/>
        <v>13100000</v>
      </c>
      <c r="BR162" s="273">
        <f t="shared" si="41"/>
        <v>13100000</v>
      </c>
      <c r="BS162" s="246" t="s">
        <v>1653</v>
      </c>
      <c r="BT162" s="233"/>
    </row>
    <row r="163" spans="1:72" s="27" customFormat="1" ht="122.25" customHeight="1" x14ac:dyDescent="0.2">
      <c r="A163" s="217">
        <v>314</v>
      </c>
      <c r="B163" s="216" t="s">
        <v>1626</v>
      </c>
      <c r="C163" s="213">
        <v>1</v>
      </c>
      <c r="D163" s="216" t="s">
        <v>1614</v>
      </c>
      <c r="E163" s="213">
        <v>22</v>
      </c>
      <c r="F163" s="287" t="s">
        <v>156</v>
      </c>
      <c r="G163" s="213">
        <v>2201</v>
      </c>
      <c r="H163" s="216" t="s">
        <v>277</v>
      </c>
      <c r="I163" s="213">
        <v>2201</v>
      </c>
      <c r="J163" s="216" t="s">
        <v>1587</v>
      </c>
      <c r="K163" s="216" t="s">
        <v>667</v>
      </c>
      <c r="L163" s="213">
        <v>2201048</v>
      </c>
      <c r="M163" s="216" t="s">
        <v>750</v>
      </c>
      <c r="N163" s="213">
        <v>2201048</v>
      </c>
      <c r="O163" s="216" t="s">
        <v>750</v>
      </c>
      <c r="P163" s="304">
        <v>220104801</v>
      </c>
      <c r="Q163" s="216" t="s">
        <v>751</v>
      </c>
      <c r="R163" s="304">
        <v>220104801</v>
      </c>
      <c r="S163" s="216" t="s">
        <v>751</v>
      </c>
      <c r="T163" s="236" t="s">
        <v>1671</v>
      </c>
      <c r="U163" s="76">
        <v>1</v>
      </c>
      <c r="V163" s="76">
        <v>1</v>
      </c>
      <c r="W163" s="236" t="s">
        <v>748</v>
      </c>
      <c r="X163" s="214" t="s">
        <v>1662</v>
      </c>
      <c r="Y163" s="216" t="s">
        <v>1663</v>
      </c>
      <c r="Z163" s="289"/>
      <c r="AA163" s="289"/>
      <c r="AB163" s="289"/>
      <c r="AC163" s="289"/>
      <c r="AD163" s="289"/>
      <c r="AE163" s="289"/>
      <c r="AF163" s="289"/>
      <c r="AG163" s="289"/>
      <c r="AH163" s="289"/>
      <c r="AI163" s="289"/>
      <c r="AJ163" s="289"/>
      <c r="AK163" s="289"/>
      <c r="AL163" s="289"/>
      <c r="AM163" s="289"/>
      <c r="AN163" s="289"/>
      <c r="AO163" s="289"/>
      <c r="AP163" s="289"/>
      <c r="AQ163" s="289"/>
      <c r="AR163" s="289"/>
      <c r="AS163" s="289"/>
      <c r="AT163" s="289"/>
      <c r="AU163" s="289"/>
      <c r="AV163" s="289"/>
      <c r="AW163" s="289"/>
      <c r="AX163" s="289"/>
      <c r="AY163" s="289"/>
      <c r="AZ163" s="289"/>
      <c r="BA163" s="289"/>
      <c r="BB163" s="289"/>
      <c r="BC163" s="289"/>
      <c r="BD163" s="326">
        <f>9000000-9000000</f>
        <v>0</v>
      </c>
      <c r="BE163" s="326"/>
      <c r="BF163" s="326"/>
      <c r="BG163" s="289"/>
      <c r="BH163" s="289"/>
      <c r="BI163" s="289"/>
      <c r="BJ163" s="289"/>
      <c r="BK163" s="289"/>
      <c r="BL163" s="289"/>
      <c r="BM163" s="289"/>
      <c r="BN163" s="289"/>
      <c r="BO163" s="289"/>
      <c r="BP163" s="273">
        <f t="shared" si="42"/>
        <v>0</v>
      </c>
      <c r="BQ163" s="273">
        <f t="shared" si="40"/>
        <v>0</v>
      </c>
      <c r="BR163" s="273">
        <f t="shared" si="41"/>
        <v>0</v>
      </c>
      <c r="BS163" s="246" t="s">
        <v>1653</v>
      </c>
      <c r="BT163" s="233"/>
    </row>
    <row r="164" spans="1:72" s="57" customFormat="1" ht="156" customHeight="1" x14ac:dyDescent="0.25">
      <c r="A164" s="217">
        <v>314</v>
      </c>
      <c r="B164" s="216" t="s">
        <v>1626</v>
      </c>
      <c r="C164" s="213">
        <v>1</v>
      </c>
      <c r="D164" s="216" t="s">
        <v>1614</v>
      </c>
      <c r="E164" s="213">
        <v>22</v>
      </c>
      <c r="F164" s="287" t="s">
        <v>156</v>
      </c>
      <c r="G164" s="213" t="s">
        <v>41</v>
      </c>
      <c r="H164" s="216" t="s">
        <v>1559</v>
      </c>
      <c r="I164" s="346">
        <v>2202</v>
      </c>
      <c r="J164" s="216" t="s">
        <v>1560</v>
      </c>
      <c r="K164" s="216" t="s">
        <v>752</v>
      </c>
      <c r="L164" s="213" t="s">
        <v>41</v>
      </c>
      <c r="M164" s="216" t="s">
        <v>753</v>
      </c>
      <c r="N164" s="213">
        <v>2202006</v>
      </c>
      <c r="O164" s="216" t="s">
        <v>753</v>
      </c>
      <c r="P164" s="213" t="s">
        <v>41</v>
      </c>
      <c r="Q164" s="216" t="s">
        <v>754</v>
      </c>
      <c r="R164" s="213">
        <v>220200604</v>
      </c>
      <c r="S164" s="216" t="s">
        <v>755</v>
      </c>
      <c r="T164" s="236" t="s">
        <v>1671</v>
      </c>
      <c r="U164" s="76">
        <v>2</v>
      </c>
      <c r="V164" s="76">
        <v>2</v>
      </c>
      <c r="W164" s="236" t="s">
        <v>756</v>
      </c>
      <c r="X164" s="214" t="s">
        <v>757</v>
      </c>
      <c r="Y164" s="216" t="s">
        <v>758</v>
      </c>
      <c r="Z164" s="289"/>
      <c r="AA164" s="289"/>
      <c r="AB164" s="289"/>
      <c r="AC164" s="289"/>
      <c r="AD164" s="289"/>
      <c r="AE164" s="289"/>
      <c r="AF164" s="289"/>
      <c r="AG164" s="289"/>
      <c r="AH164" s="289"/>
      <c r="AI164" s="290">
        <v>1818304</v>
      </c>
      <c r="AJ164" s="289">
        <v>1818304</v>
      </c>
      <c r="AK164" s="289">
        <v>1818304</v>
      </c>
      <c r="AL164" s="289"/>
      <c r="AM164" s="289"/>
      <c r="AN164" s="289"/>
      <c r="AO164" s="289"/>
      <c r="AP164" s="289"/>
      <c r="AQ164" s="289"/>
      <c r="AR164" s="322"/>
      <c r="AS164" s="322"/>
      <c r="AT164" s="322"/>
      <c r="AU164" s="322"/>
      <c r="AV164" s="322"/>
      <c r="AW164" s="322"/>
      <c r="AX164" s="289"/>
      <c r="AY164" s="289"/>
      <c r="AZ164" s="289"/>
      <c r="BA164" s="289"/>
      <c r="BB164" s="289"/>
      <c r="BC164" s="289"/>
      <c r="BD164" s="366">
        <v>437239948</v>
      </c>
      <c r="BE164" s="294">
        <v>430762458</v>
      </c>
      <c r="BF164" s="294">
        <v>430762458</v>
      </c>
      <c r="BG164" s="289"/>
      <c r="BH164" s="289"/>
      <c r="BI164" s="289"/>
      <c r="BJ164" s="289"/>
      <c r="BK164" s="289"/>
      <c r="BL164" s="289"/>
      <c r="BM164" s="289"/>
      <c r="BN164" s="289"/>
      <c r="BO164" s="289"/>
      <c r="BP164" s="273">
        <f t="shared" ref="BP164:BR165" si="43">+Z164+AC164+AF164+AI164+AL164+AO164+AR164+AU164+AX164+BA164+BD164+BG164+BJ164</f>
        <v>439058252</v>
      </c>
      <c r="BQ164" s="273">
        <f t="shared" si="43"/>
        <v>432580762</v>
      </c>
      <c r="BR164" s="273">
        <f t="shared" si="43"/>
        <v>432580762</v>
      </c>
      <c r="BS164" s="246" t="s">
        <v>1653</v>
      </c>
      <c r="BT164" s="233"/>
    </row>
    <row r="165" spans="1:72" s="57" customFormat="1" ht="147.75" customHeight="1" x14ac:dyDescent="0.25">
      <c r="A165" s="217">
        <v>314</v>
      </c>
      <c r="B165" s="216" t="s">
        <v>1626</v>
      </c>
      <c r="C165" s="213">
        <v>2</v>
      </c>
      <c r="D165" s="216" t="s">
        <v>1621</v>
      </c>
      <c r="E165" s="213">
        <v>39</v>
      </c>
      <c r="F165" s="216" t="s">
        <v>1483</v>
      </c>
      <c r="G165" s="213">
        <v>3904</v>
      </c>
      <c r="H165" s="216" t="s">
        <v>1602</v>
      </c>
      <c r="I165" s="213">
        <v>3904</v>
      </c>
      <c r="J165" s="216" t="s">
        <v>1602</v>
      </c>
      <c r="K165" s="216" t="s">
        <v>760</v>
      </c>
      <c r="L165" s="213">
        <v>3904006</v>
      </c>
      <c r="M165" s="216" t="s">
        <v>761</v>
      </c>
      <c r="N165" s="213">
        <v>3904006</v>
      </c>
      <c r="O165" s="216" t="s">
        <v>761</v>
      </c>
      <c r="P165" s="292">
        <v>390400604</v>
      </c>
      <c r="Q165" s="311" t="s">
        <v>762</v>
      </c>
      <c r="R165" s="292">
        <v>390400604</v>
      </c>
      <c r="S165" s="311" t="s">
        <v>763</v>
      </c>
      <c r="T165" s="236" t="s">
        <v>1673</v>
      </c>
      <c r="U165" s="76">
        <v>18</v>
      </c>
      <c r="V165" s="76">
        <v>24</v>
      </c>
      <c r="W165" s="346" t="s">
        <v>764</v>
      </c>
      <c r="X165" s="214" t="s">
        <v>765</v>
      </c>
      <c r="Y165" s="216" t="s">
        <v>766</v>
      </c>
      <c r="Z165" s="289"/>
      <c r="AA165" s="289"/>
      <c r="AB165" s="289"/>
      <c r="AC165" s="289"/>
      <c r="AD165" s="289"/>
      <c r="AE165" s="289"/>
      <c r="AF165" s="289"/>
      <c r="AG165" s="289"/>
      <c r="AH165" s="289"/>
      <c r="AI165" s="271"/>
      <c r="AJ165" s="289"/>
      <c r="AK165" s="289"/>
      <c r="AL165" s="289"/>
      <c r="AM165" s="289"/>
      <c r="AN165" s="289"/>
      <c r="AO165" s="289"/>
      <c r="AP165" s="289"/>
      <c r="AQ165" s="289"/>
      <c r="AR165" s="322"/>
      <c r="AS165" s="322"/>
      <c r="AT165" s="322"/>
      <c r="AU165" s="322"/>
      <c r="AV165" s="322"/>
      <c r="AW165" s="322"/>
      <c r="AX165" s="289"/>
      <c r="AY165" s="289"/>
      <c r="AZ165" s="289"/>
      <c r="BA165" s="289"/>
      <c r="BB165" s="289"/>
      <c r="BC165" s="289"/>
      <c r="BD165" s="294">
        <v>7500000</v>
      </c>
      <c r="BE165" s="294">
        <v>7500000</v>
      </c>
      <c r="BF165" s="294">
        <v>7500000</v>
      </c>
      <c r="BG165" s="289"/>
      <c r="BH165" s="289"/>
      <c r="BI165" s="289"/>
      <c r="BJ165" s="289"/>
      <c r="BK165" s="289"/>
      <c r="BL165" s="289"/>
      <c r="BM165" s="289"/>
      <c r="BN165" s="289"/>
      <c r="BO165" s="289"/>
      <c r="BP165" s="273">
        <f t="shared" si="43"/>
        <v>7500000</v>
      </c>
      <c r="BQ165" s="273">
        <f t="shared" si="43"/>
        <v>7500000</v>
      </c>
      <c r="BR165" s="273">
        <f t="shared" si="43"/>
        <v>7500000</v>
      </c>
      <c r="BS165" s="246" t="s">
        <v>1653</v>
      </c>
      <c r="BT165" s="233"/>
    </row>
    <row r="166" spans="1:72" s="27" customFormat="1" ht="222.75" customHeight="1" x14ac:dyDescent="0.2">
      <c r="A166" s="217">
        <v>316</v>
      </c>
      <c r="B166" s="216" t="s">
        <v>1627</v>
      </c>
      <c r="C166" s="213">
        <v>1</v>
      </c>
      <c r="D166" s="216" t="s">
        <v>1614</v>
      </c>
      <c r="E166" s="213">
        <v>19</v>
      </c>
      <c r="F166" s="216" t="s">
        <v>147</v>
      </c>
      <c r="G166" s="213">
        <v>1905</v>
      </c>
      <c r="H166" s="216" t="s">
        <v>768</v>
      </c>
      <c r="I166" s="213">
        <v>1905</v>
      </c>
      <c r="J166" s="216" t="s">
        <v>1586</v>
      </c>
      <c r="K166" s="216" t="s">
        <v>769</v>
      </c>
      <c r="L166" s="304">
        <v>1905021</v>
      </c>
      <c r="M166" s="216" t="s">
        <v>770</v>
      </c>
      <c r="N166" s="304">
        <v>1905021</v>
      </c>
      <c r="O166" s="216" t="s">
        <v>770</v>
      </c>
      <c r="P166" s="304">
        <v>190502100</v>
      </c>
      <c r="Q166" s="216" t="s">
        <v>771</v>
      </c>
      <c r="R166" s="213">
        <v>190502100</v>
      </c>
      <c r="S166" s="216" t="s">
        <v>771</v>
      </c>
      <c r="T166" s="236" t="s">
        <v>1671</v>
      </c>
      <c r="U166" s="76">
        <v>12</v>
      </c>
      <c r="V166" s="76">
        <v>12</v>
      </c>
      <c r="W166" s="236" t="s">
        <v>772</v>
      </c>
      <c r="X166" s="214" t="s">
        <v>773</v>
      </c>
      <c r="Y166" s="216" t="s">
        <v>774</v>
      </c>
      <c r="Z166" s="289">
        <v>0</v>
      </c>
      <c r="AA166" s="289"/>
      <c r="AB166" s="289"/>
      <c r="AC166" s="289">
        <v>0</v>
      </c>
      <c r="AD166" s="289"/>
      <c r="AE166" s="289"/>
      <c r="AF166" s="289">
        <v>0</v>
      </c>
      <c r="AG166" s="289"/>
      <c r="AH166" s="289"/>
      <c r="AI166" s="289">
        <v>0</v>
      </c>
      <c r="AJ166" s="289"/>
      <c r="AK166" s="289"/>
      <c r="AL166" s="289">
        <v>0</v>
      </c>
      <c r="AM166" s="289"/>
      <c r="AN166" s="289"/>
      <c r="AO166" s="289">
        <v>0</v>
      </c>
      <c r="AP166" s="289"/>
      <c r="AQ166" s="289"/>
      <c r="AR166" s="289">
        <v>0</v>
      </c>
      <c r="AS166" s="289"/>
      <c r="AT166" s="289"/>
      <c r="AU166" s="289">
        <v>0</v>
      </c>
      <c r="AV166" s="289"/>
      <c r="AW166" s="289"/>
      <c r="AX166" s="289">
        <v>0</v>
      </c>
      <c r="AY166" s="289"/>
      <c r="AZ166" s="289"/>
      <c r="BA166" s="289">
        <v>0</v>
      </c>
      <c r="BB166" s="289"/>
      <c r="BC166" s="289"/>
      <c r="BD166" s="294">
        <f>100000000+15386000</f>
        <v>115386000</v>
      </c>
      <c r="BE166" s="294">
        <v>114685334</v>
      </c>
      <c r="BF166" s="294">
        <v>114685334</v>
      </c>
      <c r="BG166" s="289">
        <v>0</v>
      </c>
      <c r="BH166" s="289"/>
      <c r="BI166" s="289"/>
      <c r="BJ166" s="289">
        <v>0</v>
      </c>
      <c r="BK166" s="289"/>
      <c r="BL166" s="289"/>
      <c r="BM166" s="289"/>
      <c r="BN166" s="289"/>
      <c r="BO166" s="289"/>
      <c r="BP166" s="273">
        <f>+Z166+AC166+AF166+AI166+AL166+AO166+AR166+AU166+AX166+BA166+BD166+BG166+BJ166</f>
        <v>115386000</v>
      </c>
      <c r="BQ166" s="273">
        <f t="shared" ref="BQ166:BR168" si="44">+AA166+AD166+AG166+AJ166+AM166+AP166+AS166+AV166+AY166+BB166+BE166+BH166+BK166</f>
        <v>114685334</v>
      </c>
      <c r="BR166" s="273">
        <f t="shared" si="44"/>
        <v>114685334</v>
      </c>
      <c r="BS166" s="246" t="s">
        <v>1654</v>
      </c>
      <c r="BT166" s="233"/>
    </row>
    <row r="167" spans="1:72" s="27" customFormat="1" ht="186" customHeight="1" x14ac:dyDescent="0.2">
      <c r="A167" s="217">
        <v>316</v>
      </c>
      <c r="B167" s="216" t="s">
        <v>1627</v>
      </c>
      <c r="C167" s="213">
        <v>1</v>
      </c>
      <c r="D167" s="216" t="s">
        <v>1614</v>
      </c>
      <c r="E167" s="213">
        <v>19</v>
      </c>
      <c r="F167" s="216" t="s">
        <v>147</v>
      </c>
      <c r="G167" s="213">
        <v>1905</v>
      </c>
      <c r="H167" s="216" t="s">
        <v>768</v>
      </c>
      <c r="I167" s="213">
        <v>1905</v>
      </c>
      <c r="J167" s="216" t="s">
        <v>1586</v>
      </c>
      <c r="K167" s="216" t="s">
        <v>775</v>
      </c>
      <c r="L167" s="299">
        <v>1905022</v>
      </c>
      <c r="M167" s="298" t="s">
        <v>776</v>
      </c>
      <c r="N167" s="299">
        <v>1905022</v>
      </c>
      <c r="O167" s="298" t="s">
        <v>776</v>
      </c>
      <c r="P167" s="292">
        <v>190502200</v>
      </c>
      <c r="Q167" s="216" t="s">
        <v>777</v>
      </c>
      <c r="R167" s="292">
        <v>190502200</v>
      </c>
      <c r="S167" s="216" t="s">
        <v>777</v>
      </c>
      <c r="T167" s="236" t="s">
        <v>1671</v>
      </c>
      <c r="U167" s="76">
        <v>12</v>
      </c>
      <c r="V167" s="76">
        <v>12</v>
      </c>
      <c r="W167" s="236" t="s">
        <v>772</v>
      </c>
      <c r="X167" s="214" t="s">
        <v>773</v>
      </c>
      <c r="Y167" s="216" t="s">
        <v>774</v>
      </c>
      <c r="Z167" s="289">
        <v>0</v>
      </c>
      <c r="AA167" s="289"/>
      <c r="AB167" s="289"/>
      <c r="AC167" s="289"/>
      <c r="AD167" s="289"/>
      <c r="AE167" s="289"/>
      <c r="AF167" s="289"/>
      <c r="AG167" s="289"/>
      <c r="AH167" s="289"/>
      <c r="AI167" s="289"/>
      <c r="AJ167" s="289"/>
      <c r="AK167" s="289"/>
      <c r="AL167" s="289"/>
      <c r="AM167" s="289"/>
      <c r="AN167" s="289"/>
      <c r="AO167" s="289"/>
      <c r="AP167" s="289"/>
      <c r="AQ167" s="289"/>
      <c r="AR167" s="289"/>
      <c r="AS167" s="289"/>
      <c r="AT167" s="289"/>
      <c r="AU167" s="289"/>
      <c r="AV167" s="289"/>
      <c r="AW167" s="289"/>
      <c r="AX167" s="289"/>
      <c r="AY167" s="289"/>
      <c r="AZ167" s="289"/>
      <c r="BA167" s="289"/>
      <c r="BB167" s="289"/>
      <c r="BC167" s="289"/>
      <c r="BD167" s="294">
        <f>75000000-15386000-5000000</f>
        <v>54614000</v>
      </c>
      <c r="BE167" s="294">
        <v>51160550</v>
      </c>
      <c r="BF167" s="294">
        <v>51160550</v>
      </c>
      <c r="BG167" s="289"/>
      <c r="BH167" s="289"/>
      <c r="BI167" s="289"/>
      <c r="BJ167" s="289"/>
      <c r="BK167" s="289"/>
      <c r="BL167" s="289"/>
      <c r="BM167" s="289"/>
      <c r="BN167" s="289"/>
      <c r="BO167" s="289"/>
      <c r="BP167" s="273">
        <f>+Z167+AC167+AF167+AI167+AL167+AO167+AR167+AU167+AX167+BA167+BD167+BG167+BJ167</f>
        <v>54614000</v>
      </c>
      <c r="BQ167" s="273">
        <f t="shared" si="44"/>
        <v>51160550</v>
      </c>
      <c r="BR167" s="273">
        <f t="shared" si="44"/>
        <v>51160550</v>
      </c>
      <c r="BS167" s="246" t="s">
        <v>1654</v>
      </c>
      <c r="BT167" s="233"/>
    </row>
    <row r="168" spans="1:72" s="27" customFormat="1" ht="183" customHeight="1" x14ac:dyDescent="0.2">
      <c r="A168" s="217">
        <v>316</v>
      </c>
      <c r="B168" s="216" t="s">
        <v>1627</v>
      </c>
      <c r="C168" s="213">
        <v>1</v>
      </c>
      <c r="D168" s="216" t="s">
        <v>1614</v>
      </c>
      <c r="E168" s="213">
        <v>33</v>
      </c>
      <c r="F168" s="287" t="s">
        <v>166</v>
      </c>
      <c r="G168" s="213">
        <v>3301</v>
      </c>
      <c r="H168" s="216" t="s">
        <v>167</v>
      </c>
      <c r="I168" s="213">
        <v>3301</v>
      </c>
      <c r="J168" s="216" t="s">
        <v>1598</v>
      </c>
      <c r="K168" s="216" t="s">
        <v>778</v>
      </c>
      <c r="L168" s="304">
        <v>3301051</v>
      </c>
      <c r="M168" s="216" t="s">
        <v>779</v>
      </c>
      <c r="N168" s="304">
        <v>3301051</v>
      </c>
      <c r="O168" s="216" t="s">
        <v>779</v>
      </c>
      <c r="P168" s="304">
        <v>330105110</v>
      </c>
      <c r="Q168" s="216" t="s">
        <v>780</v>
      </c>
      <c r="R168" s="304">
        <v>330105110</v>
      </c>
      <c r="S168" s="216" t="s">
        <v>780</v>
      </c>
      <c r="T168" s="236" t="s">
        <v>1673</v>
      </c>
      <c r="U168" s="76">
        <v>250</v>
      </c>
      <c r="V168" s="76">
        <v>250</v>
      </c>
      <c r="W168" s="236" t="s">
        <v>781</v>
      </c>
      <c r="X168" s="214" t="s">
        <v>782</v>
      </c>
      <c r="Y168" s="216" t="s">
        <v>783</v>
      </c>
      <c r="Z168" s="289"/>
      <c r="AA168" s="289"/>
      <c r="AB168" s="289"/>
      <c r="AC168" s="289"/>
      <c r="AD168" s="289"/>
      <c r="AE168" s="289"/>
      <c r="AF168" s="289"/>
      <c r="AG168" s="289"/>
      <c r="AH168" s="289"/>
      <c r="AI168" s="289"/>
      <c r="AJ168" s="289"/>
      <c r="AK168" s="289"/>
      <c r="AL168" s="289"/>
      <c r="AM168" s="289"/>
      <c r="AN168" s="289"/>
      <c r="AO168" s="289"/>
      <c r="AP168" s="289"/>
      <c r="AQ168" s="289"/>
      <c r="AR168" s="289"/>
      <c r="AS168" s="289"/>
      <c r="AT168" s="289"/>
      <c r="AU168" s="289"/>
      <c r="AV168" s="289"/>
      <c r="AW168" s="289"/>
      <c r="AX168" s="289"/>
      <c r="AY168" s="289"/>
      <c r="AZ168" s="289"/>
      <c r="BA168" s="289"/>
      <c r="BB168" s="289"/>
      <c r="BC168" s="289"/>
      <c r="BD168" s="294">
        <v>14250000</v>
      </c>
      <c r="BE168" s="294">
        <v>14250000</v>
      </c>
      <c r="BF168" s="294">
        <v>14250000</v>
      </c>
      <c r="BG168" s="289"/>
      <c r="BH168" s="289"/>
      <c r="BI168" s="289"/>
      <c r="BJ168" s="289"/>
      <c r="BK168" s="289"/>
      <c r="BL168" s="289"/>
      <c r="BM168" s="289"/>
      <c r="BN168" s="289"/>
      <c r="BO168" s="289"/>
      <c r="BP168" s="273">
        <f>+Z168+AC168+AF168+AI168+AL168+AO168+AR168+AU168+AX168+BA168+BD168+BG168+BJ168</f>
        <v>14250000</v>
      </c>
      <c r="BQ168" s="273">
        <f t="shared" si="44"/>
        <v>14250000</v>
      </c>
      <c r="BR168" s="273">
        <f t="shared" si="44"/>
        <v>14250000</v>
      </c>
      <c r="BS168" s="246" t="s">
        <v>1654</v>
      </c>
      <c r="BT168" s="233"/>
    </row>
    <row r="169" spans="1:72" s="27" customFormat="1" ht="127.5" customHeight="1" x14ac:dyDescent="0.2">
      <c r="A169" s="217">
        <v>316</v>
      </c>
      <c r="B169" s="216" t="s">
        <v>1627</v>
      </c>
      <c r="C169" s="213">
        <v>1</v>
      </c>
      <c r="D169" s="216" t="s">
        <v>1614</v>
      </c>
      <c r="E169" s="213">
        <v>41</v>
      </c>
      <c r="F169" s="216" t="s">
        <v>784</v>
      </c>
      <c r="G169" s="213">
        <v>4102</v>
      </c>
      <c r="H169" s="216" t="s">
        <v>785</v>
      </c>
      <c r="I169" s="213">
        <v>4102</v>
      </c>
      <c r="J169" s="216" t="s">
        <v>1563</v>
      </c>
      <c r="K169" s="216" t="s">
        <v>786</v>
      </c>
      <c r="L169" s="213" t="s">
        <v>41</v>
      </c>
      <c r="M169" s="216" t="s">
        <v>787</v>
      </c>
      <c r="N169" s="304">
        <v>4102035</v>
      </c>
      <c r="O169" s="216" t="s">
        <v>84</v>
      </c>
      <c r="P169" s="213" t="s">
        <v>41</v>
      </c>
      <c r="Q169" s="216" t="s">
        <v>788</v>
      </c>
      <c r="R169" s="74">
        <v>410203500</v>
      </c>
      <c r="S169" s="216" t="s">
        <v>86</v>
      </c>
      <c r="T169" s="236" t="s">
        <v>1671</v>
      </c>
      <c r="U169" s="313">
        <v>1</v>
      </c>
      <c r="V169" s="313">
        <v>1</v>
      </c>
      <c r="W169" s="236" t="s">
        <v>789</v>
      </c>
      <c r="X169" s="214" t="s">
        <v>1484</v>
      </c>
      <c r="Y169" s="216" t="s">
        <v>790</v>
      </c>
      <c r="Z169" s="289"/>
      <c r="AA169" s="289"/>
      <c r="AB169" s="289"/>
      <c r="AC169" s="289"/>
      <c r="AD169" s="289"/>
      <c r="AE169" s="289"/>
      <c r="AF169" s="289"/>
      <c r="AG169" s="289"/>
      <c r="AH169" s="289"/>
      <c r="AI169" s="289"/>
      <c r="AJ169" s="289"/>
      <c r="AK169" s="289"/>
      <c r="AL169" s="289"/>
      <c r="AM169" s="289"/>
      <c r="AN169" s="289"/>
      <c r="AO169" s="289"/>
      <c r="AP169" s="289"/>
      <c r="AQ169" s="289"/>
      <c r="AR169" s="289"/>
      <c r="AS169" s="289"/>
      <c r="AT169" s="289"/>
      <c r="AU169" s="289"/>
      <c r="AV169" s="289"/>
      <c r="AW169" s="289"/>
      <c r="AX169" s="289"/>
      <c r="AY169" s="289"/>
      <c r="AZ169" s="289"/>
      <c r="BA169" s="289"/>
      <c r="BB169" s="289"/>
      <c r="BC169" s="289"/>
      <c r="BD169" s="294">
        <f>20000000+30000000</f>
        <v>50000000</v>
      </c>
      <c r="BE169" s="294">
        <v>48661500</v>
      </c>
      <c r="BF169" s="294">
        <v>48661500</v>
      </c>
      <c r="BG169" s="289"/>
      <c r="BH169" s="289"/>
      <c r="BI169" s="289"/>
      <c r="BJ169" s="289"/>
      <c r="BK169" s="289"/>
      <c r="BL169" s="289"/>
      <c r="BM169" s="289"/>
      <c r="BN169" s="289"/>
      <c r="BO169" s="289"/>
      <c r="BP169" s="273">
        <f t="shared" ref="BP169:BP178" si="45">+Z169+AC169+AF169+AI169+AL169+AO169+AR169+AU169+AX169+BA169+BD169+BG169+BJ169</f>
        <v>50000000</v>
      </c>
      <c r="BQ169" s="273">
        <f t="shared" ref="BQ169:BQ178" si="46">+AA169+AD169+AG169+AJ169+AM169+AP169+AS169+AV169+AY169+BB169+BE169+BH169+BK169</f>
        <v>48661500</v>
      </c>
      <c r="BR169" s="273">
        <f t="shared" ref="BR169:BR178" si="47">+AB169+AE169+AH169+AK169+AN169+AQ169+AT169+AW169+AZ169+BC169+BF169+BI169+BL169</f>
        <v>48661500</v>
      </c>
      <c r="BS169" s="246" t="s">
        <v>1654</v>
      </c>
      <c r="BT169" s="233"/>
    </row>
    <row r="170" spans="1:72" s="27" customFormat="1" ht="92.25" customHeight="1" x14ac:dyDescent="0.2">
      <c r="A170" s="217">
        <v>316</v>
      </c>
      <c r="B170" s="216" t="s">
        <v>1627</v>
      </c>
      <c r="C170" s="213">
        <v>1</v>
      </c>
      <c r="D170" s="216" t="s">
        <v>1614</v>
      </c>
      <c r="E170" s="213">
        <v>41</v>
      </c>
      <c r="F170" s="216" t="s">
        <v>784</v>
      </c>
      <c r="G170" s="213">
        <v>4102</v>
      </c>
      <c r="H170" s="216" t="s">
        <v>785</v>
      </c>
      <c r="I170" s="213">
        <v>4102</v>
      </c>
      <c r="J170" s="216" t="s">
        <v>1563</v>
      </c>
      <c r="K170" s="216" t="s">
        <v>791</v>
      </c>
      <c r="L170" s="213" t="s">
        <v>41</v>
      </c>
      <c r="M170" s="216" t="s">
        <v>792</v>
      </c>
      <c r="N170" s="304">
        <v>4102001</v>
      </c>
      <c r="O170" s="216" t="s">
        <v>793</v>
      </c>
      <c r="P170" s="213" t="s">
        <v>41</v>
      </c>
      <c r="Q170" s="311" t="s">
        <v>794</v>
      </c>
      <c r="R170" s="304">
        <v>410200100</v>
      </c>
      <c r="S170" s="311" t="s">
        <v>795</v>
      </c>
      <c r="T170" s="236" t="s">
        <v>1671</v>
      </c>
      <c r="U170" s="313">
        <v>12</v>
      </c>
      <c r="V170" s="313">
        <v>12</v>
      </c>
      <c r="W170" s="236" t="s">
        <v>789</v>
      </c>
      <c r="X170" s="214" t="s">
        <v>1484</v>
      </c>
      <c r="Y170" s="216" t="s">
        <v>790</v>
      </c>
      <c r="Z170" s="289"/>
      <c r="AA170" s="289"/>
      <c r="AB170" s="289"/>
      <c r="AC170" s="289"/>
      <c r="AD170" s="289"/>
      <c r="AE170" s="289"/>
      <c r="AF170" s="289"/>
      <c r="AG170" s="289"/>
      <c r="AH170" s="289"/>
      <c r="AI170" s="289"/>
      <c r="AJ170" s="289"/>
      <c r="AK170" s="289"/>
      <c r="AL170" s="289"/>
      <c r="AM170" s="289"/>
      <c r="AN170" s="289"/>
      <c r="AO170" s="289"/>
      <c r="AP170" s="289"/>
      <c r="AQ170" s="289"/>
      <c r="AR170" s="289"/>
      <c r="AS170" s="289"/>
      <c r="AT170" s="289"/>
      <c r="AU170" s="289"/>
      <c r="AV170" s="289"/>
      <c r="AW170" s="289"/>
      <c r="AX170" s="289"/>
      <c r="AY170" s="289"/>
      <c r="AZ170" s="289"/>
      <c r="BA170" s="289"/>
      <c r="BB170" s="289"/>
      <c r="BC170" s="289"/>
      <c r="BD170" s="294">
        <f>50000000+1930000</f>
        <v>51930000</v>
      </c>
      <c r="BE170" s="294">
        <v>46063834</v>
      </c>
      <c r="BF170" s="294">
        <v>46063834</v>
      </c>
      <c r="BG170" s="289"/>
      <c r="BH170" s="289"/>
      <c r="BI170" s="289"/>
      <c r="BJ170" s="289"/>
      <c r="BK170" s="289"/>
      <c r="BL170" s="289"/>
      <c r="BM170" s="289"/>
      <c r="BN170" s="289"/>
      <c r="BO170" s="289"/>
      <c r="BP170" s="273">
        <f t="shared" si="45"/>
        <v>51930000</v>
      </c>
      <c r="BQ170" s="273">
        <f t="shared" si="46"/>
        <v>46063834</v>
      </c>
      <c r="BR170" s="273">
        <f t="shared" si="47"/>
        <v>46063834</v>
      </c>
      <c r="BS170" s="246" t="s">
        <v>1654</v>
      </c>
      <c r="BT170" s="233"/>
    </row>
    <row r="171" spans="1:72" s="27" customFormat="1" ht="270.75" customHeight="1" x14ac:dyDescent="0.2">
      <c r="A171" s="217">
        <v>316</v>
      </c>
      <c r="B171" s="216" t="s">
        <v>1627</v>
      </c>
      <c r="C171" s="213">
        <v>1</v>
      </c>
      <c r="D171" s="216" t="s">
        <v>1614</v>
      </c>
      <c r="E171" s="213">
        <v>41</v>
      </c>
      <c r="F171" s="216" t="s">
        <v>784</v>
      </c>
      <c r="G171" s="213">
        <v>4102</v>
      </c>
      <c r="H171" s="216" t="s">
        <v>785</v>
      </c>
      <c r="I171" s="213">
        <v>4102</v>
      </c>
      <c r="J171" s="216" t="s">
        <v>1563</v>
      </c>
      <c r="K171" s="216" t="s">
        <v>796</v>
      </c>
      <c r="L171" s="213" t="s">
        <v>41</v>
      </c>
      <c r="M171" s="216" t="s">
        <v>797</v>
      </c>
      <c r="N171" s="272" t="s">
        <v>798</v>
      </c>
      <c r="O171" s="216" t="s">
        <v>799</v>
      </c>
      <c r="P171" s="213" t="s">
        <v>41</v>
      </c>
      <c r="Q171" s="216" t="s">
        <v>800</v>
      </c>
      <c r="R171" s="272" t="s">
        <v>801</v>
      </c>
      <c r="S171" s="311" t="s">
        <v>802</v>
      </c>
      <c r="T171" s="236" t="s">
        <v>1671</v>
      </c>
      <c r="U171" s="313">
        <v>1</v>
      </c>
      <c r="V171" s="313">
        <v>1</v>
      </c>
      <c r="W171" s="236" t="s">
        <v>803</v>
      </c>
      <c r="X171" s="214" t="s">
        <v>804</v>
      </c>
      <c r="Y171" s="216" t="s">
        <v>805</v>
      </c>
      <c r="Z171" s="289"/>
      <c r="AA171" s="289"/>
      <c r="AB171" s="289"/>
      <c r="AC171" s="289"/>
      <c r="AD171" s="289"/>
      <c r="AE171" s="289"/>
      <c r="AF171" s="289"/>
      <c r="AG171" s="289"/>
      <c r="AH171" s="289"/>
      <c r="AI171" s="289"/>
      <c r="AJ171" s="289"/>
      <c r="AK171" s="289"/>
      <c r="AL171" s="289"/>
      <c r="AM171" s="289"/>
      <c r="AN171" s="289"/>
      <c r="AO171" s="289"/>
      <c r="AP171" s="289"/>
      <c r="AQ171" s="289"/>
      <c r="AR171" s="289"/>
      <c r="AS171" s="289"/>
      <c r="AT171" s="289"/>
      <c r="AU171" s="289"/>
      <c r="AV171" s="289"/>
      <c r="AW171" s="289"/>
      <c r="AX171" s="289"/>
      <c r="AY171" s="289"/>
      <c r="AZ171" s="289"/>
      <c r="BA171" s="289"/>
      <c r="BB171" s="289"/>
      <c r="BC171" s="289"/>
      <c r="BD171" s="294">
        <f>135000000-3000000</f>
        <v>132000000</v>
      </c>
      <c r="BE171" s="294">
        <v>105491560</v>
      </c>
      <c r="BF171" s="294">
        <v>105491560</v>
      </c>
      <c r="BG171" s="289"/>
      <c r="BH171" s="289"/>
      <c r="BI171" s="289"/>
      <c r="BJ171" s="289"/>
      <c r="BK171" s="289"/>
      <c r="BL171" s="289"/>
      <c r="BM171" s="289"/>
      <c r="BN171" s="289"/>
      <c r="BO171" s="289"/>
      <c r="BP171" s="273">
        <f t="shared" si="45"/>
        <v>132000000</v>
      </c>
      <c r="BQ171" s="273">
        <f t="shared" si="46"/>
        <v>105491560</v>
      </c>
      <c r="BR171" s="273">
        <f t="shared" si="47"/>
        <v>105491560</v>
      </c>
      <c r="BS171" s="246" t="s">
        <v>1654</v>
      </c>
      <c r="BT171" s="233"/>
    </row>
    <row r="172" spans="1:72" s="27" customFormat="1" ht="237" customHeight="1" x14ac:dyDescent="0.2">
      <c r="A172" s="217">
        <v>316</v>
      </c>
      <c r="B172" s="216" t="s">
        <v>1627</v>
      </c>
      <c r="C172" s="213">
        <v>1</v>
      </c>
      <c r="D172" s="216" t="s">
        <v>1614</v>
      </c>
      <c r="E172" s="213">
        <v>41</v>
      </c>
      <c r="F172" s="216" t="s">
        <v>784</v>
      </c>
      <c r="G172" s="213">
        <v>4102</v>
      </c>
      <c r="H172" s="216" t="s">
        <v>785</v>
      </c>
      <c r="I172" s="213">
        <v>4102</v>
      </c>
      <c r="J172" s="216" t="s">
        <v>1563</v>
      </c>
      <c r="K172" s="216" t="s">
        <v>806</v>
      </c>
      <c r="L172" s="213" t="s">
        <v>41</v>
      </c>
      <c r="M172" s="216" t="s">
        <v>807</v>
      </c>
      <c r="N172" s="272" t="s">
        <v>808</v>
      </c>
      <c r="O172" s="216" t="s">
        <v>84</v>
      </c>
      <c r="P172" s="213" t="s">
        <v>41</v>
      </c>
      <c r="Q172" s="216" t="s">
        <v>809</v>
      </c>
      <c r="R172" s="304" t="s">
        <v>810</v>
      </c>
      <c r="S172" s="216" t="s">
        <v>811</v>
      </c>
      <c r="T172" s="236" t="s">
        <v>1673</v>
      </c>
      <c r="U172" s="313">
        <v>1</v>
      </c>
      <c r="V172" s="313">
        <v>1</v>
      </c>
      <c r="W172" s="236" t="s">
        <v>812</v>
      </c>
      <c r="X172" s="214" t="s">
        <v>813</v>
      </c>
      <c r="Y172" s="216" t="s">
        <v>814</v>
      </c>
      <c r="Z172" s="289"/>
      <c r="AA172" s="289"/>
      <c r="AB172" s="289"/>
      <c r="AC172" s="289"/>
      <c r="AD172" s="289"/>
      <c r="AE172" s="289"/>
      <c r="AF172" s="289"/>
      <c r="AG172" s="289"/>
      <c r="AH172" s="289"/>
      <c r="AI172" s="289"/>
      <c r="AJ172" s="289"/>
      <c r="AK172" s="289"/>
      <c r="AL172" s="289"/>
      <c r="AM172" s="289"/>
      <c r="AN172" s="289"/>
      <c r="AO172" s="289"/>
      <c r="AP172" s="289"/>
      <c r="AQ172" s="289"/>
      <c r="AR172" s="289"/>
      <c r="AS172" s="289"/>
      <c r="AT172" s="289"/>
      <c r="AU172" s="289"/>
      <c r="AV172" s="289"/>
      <c r="AW172" s="289"/>
      <c r="AX172" s="289"/>
      <c r="AY172" s="289"/>
      <c r="AZ172" s="289"/>
      <c r="BA172" s="289"/>
      <c r="BB172" s="289"/>
      <c r="BC172" s="289"/>
      <c r="BD172" s="294">
        <f>36000000-12460000</f>
        <v>23540000</v>
      </c>
      <c r="BE172" s="294">
        <v>23540000</v>
      </c>
      <c r="BF172" s="294">
        <v>23540000</v>
      </c>
      <c r="BG172" s="289"/>
      <c r="BH172" s="289"/>
      <c r="BI172" s="289"/>
      <c r="BJ172" s="289"/>
      <c r="BK172" s="289"/>
      <c r="BL172" s="289"/>
      <c r="BM172" s="289"/>
      <c r="BN172" s="289"/>
      <c r="BO172" s="289"/>
      <c r="BP172" s="273">
        <f>+Z172+AC172+AF172+AI172+AL172+AO172+AR172+AU172+AX172+BA172+BD172+BG172+BJ172</f>
        <v>23540000</v>
      </c>
      <c r="BQ172" s="273">
        <f t="shared" si="46"/>
        <v>23540000</v>
      </c>
      <c r="BR172" s="273">
        <f t="shared" si="47"/>
        <v>23540000</v>
      </c>
      <c r="BS172" s="246" t="s">
        <v>1654</v>
      </c>
      <c r="BT172" s="233"/>
    </row>
    <row r="173" spans="1:72" s="27" customFormat="1" ht="234" customHeight="1" x14ac:dyDescent="0.2">
      <c r="A173" s="217">
        <v>316</v>
      </c>
      <c r="B173" s="216" t="s">
        <v>1627</v>
      </c>
      <c r="C173" s="213">
        <v>1</v>
      </c>
      <c r="D173" s="216" t="s">
        <v>1614</v>
      </c>
      <c r="E173" s="213">
        <v>41</v>
      </c>
      <c r="F173" s="216" t="s">
        <v>784</v>
      </c>
      <c r="G173" s="213">
        <v>4102</v>
      </c>
      <c r="H173" s="216" t="s">
        <v>785</v>
      </c>
      <c r="I173" s="213">
        <v>4102</v>
      </c>
      <c r="J173" s="216" t="s">
        <v>1563</v>
      </c>
      <c r="K173" s="216" t="s">
        <v>806</v>
      </c>
      <c r="L173" s="213" t="s">
        <v>41</v>
      </c>
      <c r="M173" s="216" t="s">
        <v>815</v>
      </c>
      <c r="N173" s="272" t="s">
        <v>798</v>
      </c>
      <c r="O173" s="216" t="s">
        <v>816</v>
      </c>
      <c r="P173" s="213" t="s">
        <v>41</v>
      </c>
      <c r="Q173" s="216" t="s">
        <v>817</v>
      </c>
      <c r="R173" s="304">
        <v>410204301</v>
      </c>
      <c r="S173" s="216" t="s">
        <v>818</v>
      </c>
      <c r="T173" s="236" t="s">
        <v>1671</v>
      </c>
      <c r="U173" s="313">
        <v>1</v>
      </c>
      <c r="V173" s="313">
        <v>1</v>
      </c>
      <c r="W173" s="236" t="s">
        <v>812</v>
      </c>
      <c r="X173" s="214" t="s">
        <v>813</v>
      </c>
      <c r="Y173" s="216" t="s">
        <v>814</v>
      </c>
      <c r="Z173" s="289"/>
      <c r="AA173" s="289"/>
      <c r="AB173" s="289"/>
      <c r="AC173" s="289"/>
      <c r="AD173" s="289"/>
      <c r="AE173" s="289"/>
      <c r="AF173" s="289"/>
      <c r="AG173" s="289"/>
      <c r="AH173" s="289"/>
      <c r="AI173" s="289"/>
      <c r="AJ173" s="289"/>
      <c r="AK173" s="289"/>
      <c r="AL173" s="289"/>
      <c r="AM173" s="289"/>
      <c r="AN173" s="289"/>
      <c r="AO173" s="289"/>
      <c r="AP173" s="289"/>
      <c r="AQ173" s="289"/>
      <c r="AR173" s="289"/>
      <c r="AS173" s="289"/>
      <c r="AT173" s="289"/>
      <c r="AU173" s="289"/>
      <c r="AV173" s="289"/>
      <c r="AW173" s="289"/>
      <c r="AX173" s="289"/>
      <c r="AY173" s="289"/>
      <c r="AZ173" s="289"/>
      <c r="BA173" s="289"/>
      <c r="BB173" s="289"/>
      <c r="BC173" s="289"/>
      <c r="BD173" s="294">
        <v>601107889</v>
      </c>
      <c r="BE173" s="294">
        <v>580536511</v>
      </c>
      <c r="BF173" s="294">
        <v>580536511</v>
      </c>
      <c r="BG173" s="289"/>
      <c r="BH173" s="289"/>
      <c r="BI173" s="289"/>
      <c r="BJ173" s="289"/>
      <c r="BK173" s="289"/>
      <c r="BL173" s="289"/>
      <c r="BM173" s="289"/>
      <c r="BN173" s="289"/>
      <c r="BO173" s="289"/>
      <c r="BP173" s="273">
        <f>+Z173+AC173+AF173+AI173+AL173+AO173+AR173+AU173+AX173+BA173+BD173+BG173+BJ173</f>
        <v>601107889</v>
      </c>
      <c r="BQ173" s="273">
        <f t="shared" si="46"/>
        <v>580536511</v>
      </c>
      <c r="BR173" s="273">
        <f t="shared" si="47"/>
        <v>580536511</v>
      </c>
      <c r="BS173" s="246" t="s">
        <v>1654</v>
      </c>
      <c r="BT173" s="233"/>
    </row>
    <row r="174" spans="1:72" s="27" customFormat="1" ht="246.75" customHeight="1" x14ac:dyDescent="0.2">
      <c r="A174" s="217">
        <v>316</v>
      </c>
      <c r="B174" s="216" t="s">
        <v>1627</v>
      </c>
      <c r="C174" s="213">
        <v>1</v>
      </c>
      <c r="D174" s="216" t="s">
        <v>1614</v>
      </c>
      <c r="E174" s="213">
        <v>41</v>
      </c>
      <c r="F174" s="216" t="s">
        <v>784</v>
      </c>
      <c r="G174" s="213">
        <v>4102</v>
      </c>
      <c r="H174" s="216" t="s">
        <v>785</v>
      </c>
      <c r="I174" s="213">
        <v>4102</v>
      </c>
      <c r="J174" s="216" t="s">
        <v>1563</v>
      </c>
      <c r="K174" s="216" t="s">
        <v>819</v>
      </c>
      <c r="L174" s="213" t="s">
        <v>41</v>
      </c>
      <c r="M174" s="216" t="s">
        <v>820</v>
      </c>
      <c r="N174" s="304">
        <v>4102038</v>
      </c>
      <c r="O174" s="216" t="s">
        <v>821</v>
      </c>
      <c r="P174" s="213" t="s">
        <v>41</v>
      </c>
      <c r="Q174" s="216" t="s">
        <v>822</v>
      </c>
      <c r="R174" s="304">
        <v>410203800</v>
      </c>
      <c r="S174" s="216" t="s">
        <v>850</v>
      </c>
      <c r="T174" s="236" t="s">
        <v>1671</v>
      </c>
      <c r="U174" s="313">
        <v>1</v>
      </c>
      <c r="V174" s="313">
        <v>1</v>
      </c>
      <c r="W174" s="236" t="s">
        <v>823</v>
      </c>
      <c r="X174" s="214" t="s">
        <v>824</v>
      </c>
      <c r="Y174" s="216" t="s">
        <v>825</v>
      </c>
      <c r="Z174" s="289"/>
      <c r="AA174" s="289"/>
      <c r="AB174" s="289"/>
      <c r="AC174" s="289"/>
      <c r="AD174" s="289"/>
      <c r="AE174" s="289"/>
      <c r="AF174" s="289"/>
      <c r="AG174" s="289"/>
      <c r="AH174" s="289"/>
      <c r="AI174" s="289"/>
      <c r="AJ174" s="289"/>
      <c r="AK174" s="289"/>
      <c r="AL174" s="289"/>
      <c r="AM174" s="289"/>
      <c r="AN174" s="289"/>
      <c r="AO174" s="289"/>
      <c r="AP174" s="289"/>
      <c r="AQ174" s="289"/>
      <c r="AR174" s="289"/>
      <c r="AS174" s="289"/>
      <c r="AT174" s="289"/>
      <c r="AU174" s="289"/>
      <c r="AV174" s="289"/>
      <c r="AW174" s="289"/>
      <c r="AX174" s="289"/>
      <c r="AY174" s="289"/>
      <c r="AZ174" s="289"/>
      <c r="BA174" s="289"/>
      <c r="BB174" s="289"/>
      <c r="BC174" s="289"/>
      <c r="BD174" s="294">
        <f>210000000-10000000</f>
        <v>200000000</v>
      </c>
      <c r="BE174" s="294">
        <v>151606702</v>
      </c>
      <c r="BF174" s="294">
        <v>151606702</v>
      </c>
      <c r="BG174" s="289"/>
      <c r="BH174" s="289"/>
      <c r="BI174" s="289"/>
      <c r="BJ174" s="289"/>
      <c r="BK174" s="289"/>
      <c r="BL174" s="289"/>
      <c r="BM174" s="289"/>
      <c r="BN174" s="289"/>
      <c r="BO174" s="289"/>
      <c r="BP174" s="273">
        <f t="shared" si="45"/>
        <v>200000000</v>
      </c>
      <c r="BQ174" s="273">
        <f t="shared" si="46"/>
        <v>151606702</v>
      </c>
      <c r="BR174" s="273">
        <f t="shared" si="47"/>
        <v>151606702</v>
      </c>
      <c r="BS174" s="246" t="s">
        <v>1654</v>
      </c>
      <c r="BT174" s="233"/>
    </row>
    <row r="175" spans="1:72" s="27" customFormat="1" ht="189.75" customHeight="1" x14ac:dyDescent="0.2">
      <c r="A175" s="217">
        <v>316</v>
      </c>
      <c r="B175" s="216" t="s">
        <v>1627</v>
      </c>
      <c r="C175" s="213">
        <v>1</v>
      </c>
      <c r="D175" s="216" t="s">
        <v>1614</v>
      </c>
      <c r="E175" s="213">
        <v>41</v>
      </c>
      <c r="F175" s="216" t="s">
        <v>784</v>
      </c>
      <c r="G175" s="213">
        <v>4102</v>
      </c>
      <c r="H175" s="216" t="s">
        <v>785</v>
      </c>
      <c r="I175" s="213">
        <v>4102</v>
      </c>
      <c r="J175" s="216" t="s">
        <v>1563</v>
      </c>
      <c r="K175" s="216" t="s">
        <v>826</v>
      </c>
      <c r="L175" s="213" t="s">
        <v>41</v>
      </c>
      <c r="M175" s="216" t="s">
        <v>827</v>
      </c>
      <c r="N175" s="304">
        <v>4102042</v>
      </c>
      <c r="O175" s="216" t="s">
        <v>828</v>
      </c>
      <c r="P175" s="213" t="s">
        <v>41</v>
      </c>
      <c r="Q175" s="216" t="s">
        <v>829</v>
      </c>
      <c r="R175" s="304">
        <v>410204200</v>
      </c>
      <c r="S175" s="214" t="s">
        <v>830</v>
      </c>
      <c r="T175" s="236" t="s">
        <v>1671</v>
      </c>
      <c r="U175" s="313">
        <v>12</v>
      </c>
      <c r="V175" s="313">
        <v>12</v>
      </c>
      <c r="W175" s="236" t="s">
        <v>831</v>
      </c>
      <c r="X175" s="347" t="s">
        <v>832</v>
      </c>
      <c r="Y175" s="298" t="s">
        <v>833</v>
      </c>
      <c r="Z175" s="289"/>
      <c r="AA175" s="289"/>
      <c r="AB175" s="289"/>
      <c r="AC175" s="289"/>
      <c r="AD175" s="289"/>
      <c r="AE175" s="289"/>
      <c r="AF175" s="289"/>
      <c r="AG175" s="289"/>
      <c r="AH175" s="289"/>
      <c r="AI175" s="289"/>
      <c r="AJ175" s="289"/>
      <c r="AK175" s="289"/>
      <c r="AL175" s="289"/>
      <c r="AM175" s="289"/>
      <c r="AN175" s="289"/>
      <c r="AO175" s="289"/>
      <c r="AP175" s="289"/>
      <c r="AQ175" s="289"/>
      <c r="AR175" s="289"/>
      <c r="AS175" s="289"/>
      <c r="AT175" s="289"/>
      <c r="AU175" s="289"/>
      <c r="AV175" s="289"/>
      <c r="AW175" s="289"/>
      <c r="AX175" s="289"/>
      <c r="AY175" s="289"/>
      <c r="AZ175" s="289"/>
      <c r="BA175" s="289"/>
      <c r="BB175" s="289"/>
      <c r="BC175" s="289"/>
      <c r="BD175" s="294">
        <f>18000000+10000000</f>
        <v>28000000</v>
      </c>
      <c r="BE175" s="294">
        <v>23850296</v>
      </c>
      <c r="BF175" s="294">
        <v>23850296</v>
      </c>
      <c r="BG175" s="289"/>
      <c r="BH175" s="289"/>
      <c r="BI175" s="289"/>
      <c r="BJ175" s="289"/>
      <c r="BK175" s="289"/>
      <c r="BL175" s="289"/>
      <c r="BM175" s="289"/>
      <c r="BN175" s="289"/>
      <c r="BO175" s="289"/>
      <c r="BP175" s="273">
        <f t="shared" si="45"/>
        <v>28000000</v>
      </c>
      <c r="BQ175" s="273">
        <f t="shared" si="46"/>
        <v>23850296</v>
      </c>
      <c r="BR175" s="273">
        <f t="shared" si="47"/>
        <v>23850296</v>
      </c>
      <c r="BS175" s="246" t="s">
        <v>1654</v>
      </c>
      <c r="BT175" s="233"/>
    </row>
    <row r="176" spans="1:72" s="27" customFormat="1" ht="136.5" customHeight="1" x14ac:dyDescent="0.2">
      <c r="A176" s="217">
        <v>316</v>
      </c>
      <c r="B176" s="216" t="s">
        <v>1627</v>
      </c>
      <c r="C176" s="213">
        <v>1</v>
      </c>
      <c r="D176" s="216" t="s">
        <v>1614</v>
      </c>
      <c r="E176" s="213">
        <v>41</v>
      </c>
      <c r="F176" s="216" t="s">
        <v>784</v>
      </c>
      <c r="G176" s="213">
        <v>4102</v>
      </c>
      <c r="H176" s="216" t="s">
        <v>785</v>
      </c>
      <c r="I176" s="213">
        <v>4102</v>
      </c>
      <c r="J176" s="216" t="s">
        <v>1563</v>
      </c>
      <c r="K176" s="216" t="s">
        <v>834</v>
      </c>
      <c r="L176" s="213" t="s">
        <v>41</v>
      </c>
      <c r="M176" s="303" t="s">
        <v>835</v>
      </c>
      <c r="N176" s="304">
        <v>4102001</v>
      </c>
      <c r="O176" s="303" t="s">
        <v>836</v>
      </c>
      <c r="P176" s="213" t="s">
        <v>41</v>
      </c>
      <c r="Q176" s="216" t="s">
        <v>837</v>
      </c>
      <c r="R176" s="304">
        <v>410200100</v>
      </c>
      <c r="S176" s="216" t="s">
        <v>838</v>
      </c>
      <c r="T176" s="236" t="s">
        <v>1671</v>
      </c>
      <c r="U176" s="313">
        <v>1</v>
      </c>
      <c r="V176" s="313">
        <v>1</v>
      </c>
      <c r="W176" s="236" t="s">
        <v>839</v>
      </c>
      <c r="X176" s="347" t="s">
        <v>840</v>
      </c>
      <c r="Y176" s="298" t="s">
        <v>841</v>
      </c>
      <c r="Z176" s="289"/>
      <c r="AA176" s="289"/>
      <c r="AB176" s="289"/>
      <c r="AC176" s="289"/>
      <c r="AD176" s="289"/>
      <c r="AE176" s="289"/>
      <c r="AF176" s="289"/>
      <c r="AG176" s="289"/>
      <c r="AH176" s="289"/>
      <c r="AI176" s="289"/>
      <c r="AJ176" s="289"/>
      <c r="AK176" s="289"/>
      <c r="AL176" s="289"/>
      <c r="AM176" s="289"/>
      <c r="AN176" s="289"/>
      <c r="AO176" s="289"/>
      <c r="AP176" s="289"/>
      <c r="AQ176" s="289"/>
      <c r="AR176" s="289"/>
      <c r="AS176" s="289"/>
      <c r="AT176" s="289"/>
      <c r="AU176" s="289"/>
      <c r="AV176" s="289"/>
      <c r="AW176" s="289"/>
      <c r="AX176" s="289"/>
      <c r="AY176" s="289"/>
      <c r="AZ176" s="289"/>
      <c r="BA176" s="289"/>
      <c r="BB176" s="289"/>
      <c r="BC176" s="289"/>
      <c r="BD176" s="294">
        <f>20000000+12985000</f>
        <v>32985000</v>
      </c>
      <c r="BE176" s="294">
        <v>32943833</v>
      </c>
      <c r="BF176" s="294">
        <v>32943833</v>
      </c>
      <c r="BG176" s="289"/>
      <c r="BH176" s="289"/>
      <c r="BI176" s="289"/>
      <c r="BJ176" s="289"/>
      <c r="BK176" s="289"/>
      <c r="BL176" s="289"/>
      <c r="BM176" s="289"/>
      <c r="BN176" s="289"/>
      <c r="BO176" s="289"/>
      <c r="BP176" s="273">
        <f t="shared" si="45"/>
        <v>32985000</v>
      </c>
      <c r="BQ176" s="273">
        <f t="shared" si="46"/>
        <v>32943833</v>
      </c>
      <c r="BR176" s="273">
        <f t="shared" si="47"/>
        <v>32943833</v>
      </c>
      <c r="BS176" s="246" t="s">
        <v>1654</v>
      </c>
      <c r="BT176" s="233"/>
    </row>
    <row r="177" spans="1:72" s="27" customFormat="1" ht="248.25" customHeight="1" x14ac:dyDescent="0.2">
      <c r="A177" s="217">
        <v>316</v>
      </c>
      <c r="B177" s="216" t="s">
        <v>1627</v>
      </c>
      <c r="C177" s="213">
        <v>1</v>
      </c>
      <c r="D177" s="216" t="s">
        <v>1614</v>
      </c>
      <c r="E177" s="213">
        <v>41</v>
      </c>
      <c r="F177" s="216" t="s">
        <v>784</v>
      </c>
      <c r="G177" s="213">
        <v>4102</v>
      </c>
      <c r="H177" s="216" t="s">
        <v>785</v>
      </c>
      <c r="I177" s="213">
        <v>4102</v>
      </c>
      <c r="J177" s="216" t="s">
        <v>1563</v>
      </c>
      <c r="K177" s="216" t="s">
        <v>842</v>
      </c>
      <c r="L177" s="213">
        <v>4102022</v>
      </c>
      <c r="M177" s="298" t="s">
        <v>843</v>
      </c>
      <c r="N177" s="299">
        <v>4102046</v>
      </c>
      <c r="O177" s="298" t="s">
        <v>844</v>
      </c>
      <c r="P177" s="299" t="s">
        <v>845</v>
      </c>
      <c r="Q177" s="216" t="s">
        <v>846</v>
      </c>
      <c r="R177" s="299">
        <v>410204600</v>
      </c>
      <c r="S177" s="216" t="s">
        <v>847</v>
      </c>
      <c r="T177" s="236" t="s">
        <v>1673</v>
      </c>
      <c r="U177" s="313">
        <v>16</v>
      </c>
      <c r="V177" s="313">
        <v>16</v>
      </c>
      <c r="W177" s="236" t="s">
        <v>839</v>
      </c>
      <c r="X177" s="347" t="s">
        <v>840</v>
      </c>
      <c r="Y177" s="298" t="s">
        <v>841</v>
      </c>
      <c r="Z177" s="289"/>
      <c r="AA177" s="289"/>
      <c r="AB177" s="289"/>
      <c r="AC177" s="289"/>
      <c r="AD177" s="289"/>
      <c r="AE177" s="289"/>
      <c r="AF177" s="289"/>
      <c r="AG177" s="289"/>
      <c r="AH177" s="289"/>
      <c r="AI177" s="289"/>
      <c r="AJ177" s="289"/>
      <c r="AK177" s="289"/>
      <c r="AL177" s="289"/>
      <c r="AM177" s="289"/>
      <c r="AN177" s="289"/>
      <c r="AO177" s="289"/>
      <c r="AP177" s="289"/>
      <c r="AQ177" s="289"/>
      <c r="AR177" s="289"/>
      <c r="AS177" s="289"/>
      <c r="AT177" s="289"/>
      <c r="AU177" s="289"/>
      <c r="AV177" s="289"/>
      <c r="AW177" s="289"/>
      <c r="AX177" s="289"/>
      <c r="AY177" s="289"/>
      <c r="AZ177" s="289"/>
      <c r="BA177" s="289"/>
      <c r="BB177" s="289"/>
      <c r="BC177" s="289"/>
      <c r="BD177" s="294">
        <v>18000000</v>
      </c>
      <c r="BE177" s="294">
        <v>18000000</v>
      </c>
      <c r="BF177" s="294">
        <v>18000000</v>
      </c>
      <c r="BG177" s="289"/>
      <c r="BH177" s="289"/>
      <c r="BI177" s="289"/>
      <c r="BJ177" s="289"/>
      <c r="BK177" s="289"/>
      <c r="BL177" s="289"/>
      <c r="BM177" s="289"/>
      <c r="BN177" s="289"/>
      <c r="BO177" s="289"/>
      <c r="BP177" s="273">
        <f t="shared" si="45"/>
        <v>18000000</v>
      </c>
      <c r="BQ177" s="273">
        <f t="shared" si="46"/>
        <v>18000000</v>
      </c>
      <c r="BR177" s="273">
        <f t="shared" si="47"/>
        <v>18000000</v>
      </c>
      <c r="BS177" s="246" t="s">
        <v>1654</v>
      </c>
      <c r="BT177" s="233"/>
    </row>
    <row r="178" spans="1:72" s="27" customFormat="1" ht="174" customHeight="1" x14ac:dyDescent="0.2">
      <c r="A178" s="217">
        <v>316</v>
      </c>
      <c r="B178" s="216" t="s">
        <v>1627</v>
      </c>
      <c r="C178" s="213">
        <v>1</v>
      </c>
      <c r="D178" s="216" t="s">
        <v>1614</v>
      </c>
      <c r="E178" s="213">
        <v>41</v>
      </c>
      <c r="F178" s="216" t="s">
        <v>784</v>
      </c>
      <c r="G178" s="213">
        <v>4102</v>
      </c>
      <c r="H178" s="216" t="s">
        <v>785</v>
      </c>
      <c r="I178" s="213">
        <v>4102</v>
      </c>
      <c r="J178" s="216" t="s">
        <v>1563</v>
      </c>
      <c r="K178" s="216" t="s">
        <v>848</v>
      </c>
      <c r="L178" s="213">
        <v>4102038</v>
      </c>
      <c r="M178" s="216" t="s">
        <v>849</v>
      </c>
      <c r="N178" s="213">
        <v>4102038</v>
      </c>
      <c r="O178" s="216" t="s">
        <v>849</v>
      </c>
      <c r="P178" s="292">
        <v>410203800</v>
      </c>
      <c r="Q178" s="311" t="s">
        <v>850</v>
      </c>
      <c r="R178" s="292">
        <v>410203800</v>
      </c>
      <c r="S178" s="311" t="s">
        <v>850</v>
      </c>
      <c r="T178" s="236" t="s">
        <v>1673</v>
      </c>
      <c r="U178" s="313">
        <v>10</v>
      </c>
      <c r="V178" s="313">
        <v>10</v>
      </c>
      <c r="W178" s="236" t="s">
        <v>851</v>
      </c>
      <c r="X178" s="347" t="s">
        <v>852</v>
      </c>
      <c r="Y178" s="298" t="s">
        <v>853</v>
      </c>
      <c r="Z178" s="289"/>
      <c r="AA178" s="289"/>
      <c r="AB178" s="289"/>
      <c r="AC178" s="289"/>
      <c r="AD178" s="289"/>
      <c r="AE178" s="289"/>
      <c r="AF178" s="289"/>
      <c r="AG178" s="289"/>
      <c r="AH178" s="289"/>
      <c r="AI178" s="289"/>
      <c r="AJ178" s="289"/>
      <c r="AK178" s="289"/>
      <c r="AL178" s="289"/>
      <c r="AM178" s="289"/>
      <c r="AN178" s="289"/>
      <c r="AO178" s="289"/>
      <c r="AP178" s="289"/>
      <c r="AQ178" s="289"/>
      <c r="AR178" s="289"/>
      <c r="AS178" s="289"/>
      <c r="AT178" s="289"/>
      <c r="AU178" s="289"/>
      <c r="AV178" s="289"/>
      <c r="AW178" s="289"/>
      <c r="AX178" s="289"/>
      <c r="AY178" s="289"/>
      <c r="AZ178" s="289"/>
      <c r="BA178" s="289"/>
      <c r="BB178" s="289"/>
      <c r="BC178" s="289"/>
      <c r="BD178" s="294">
        <v>37000000</v>
      </c>
      <c r="BE178" s="294">
        <v>36718334</v>
      </c>
      <c r="BF178" s="294">
        <v>36718334</v>
      </c>
      <c r="BG178" s="289"/>
      <c r="BH178" s="289"/>
      <c r="BI178" s="289"/>
      <c r="BJ178" s="289"/>
      <c r="BK178" s="289"/>
      <c r="BL178" s="289"/>
      <c r="BM178" s="289"/>
      <c r="BN178" s="289"/>
      <c r="BO178" s="289"/>
      <c r="BP178" s="273">
        <f t="shared" si="45"/>
        <v>37000000</v>
      </c>
      <c r="BQ178" s="273">
        <f t="shared" si="46"/>
        <v>36718334</v>
      </c>
      <c r="BR178" s="273">
        <f t="shared" si="47"/>
        <v>36718334</v>
      </c>
      <c r="BS178" s="246" t="s">
        <v>1654</v>
      </c>
      <c r="BT178" s="233"/>
    </row>
    <row r="179" spans="1:72" s="27" customFormat="1" ht="141" customHeight="1" x14ac:dyDescent="0.2">
      <c r="A179" s="217">
        <v>316</v>
      </c>
      <c r="B179" s="216" t="s">
        <v>1627</v>
      </c>
      <c r="C179" s="213">
        <v>1</v>
      </c>
      <c r="D179" s="216" t="s">
        <v>1614</v>
      </c>
      <c r="E179" s="213">
        <v>41</v>
      </c>
      <c r="F179" s="216" t="s">
        <v>784</v>
      </c>
      <c r="G179" s="213">
        <v>4103</v>
      </c>
      <c r="H179" s="216" t="s">
        <v>302</v>
      </c>
      <c r="I179" s="213">
        <v>4103</v>
      </c>
      <c r="J179" s="216" t="s">
        <v>1606</v>
      </c>
      <c r="K179" s="216" t="s">
        <v>854</v>
      </c>
      <c r="L179" s="304">
        <v>4103059</v>
      </c>
      <c r="M179" s="216" t="s">
        <v>855</v>
      </c>
      <c r="N179" s="304">
        <v>4103059</v>
      </c>
      <c r="O179" s="216" t="s">
        <v>855</v>
      </c>
      <c r="P179" s="74">
        <v>410305900</v>
      </c>
      <c r="Q179" s="311" t="s">
        <v>856</v>
      </c>
      <c r="R179" s="74">
        <v>410305900</v>
      </c>
      <c r="S179" s="311" t="s">
        <v>856</v>
      </c>
      <c r="T179" s="236" t="s">
        <v>1673</v>
      </c>
      <c r="U179" s="76">
        <v>10</v>
      </c>
      <c r="V179" s="76">
        <v>10</v>
      </c>
      <c r="W179" s="236" t="s">
        <v>857</v>
      </c>
      <c r="X179" s="216" t="s">
        <v>858</v>
      </c>
      <c r="Y179" s="216" t="s">
        <v>859</v>
      </c>
      <c r="Z179" s="289"/>
      <c r="AA179" s="289"/>
      <c r="AB179" s="289"/>
      <c r="AC179" s="289"/>
      <c r="AD179" s="289"/>
      <c r="AE179" s="289"/>
      <c r="AF179" s="289"/>
      <c r="AG179" s="289"/>
      <c r="AH179" s="289"/>
      <c r="AI179" s="289"/>
      <c r="AJ179" s="289"/>
      <c r="AK179" s="289"/>
      <c r="AL179" s="289"/>
      <c r="AM179" s="289"/>
      <c r="AN179" s="289"/>
      <c r="AO179" s="289"/>
      <c r="AP179" s="289"/>
      <c r="AQ179" s="289"/>
      <c r="AR179" s="289"/>
      <c r="AS179" s="289"/>
      <c r="AT179" s="289"/>
      <c r="AU179" s="289"/>
      <c r="AV179" s="289"/>
      <c r="AW179" s="289"/>
      <c r="AX179" s="289"/>
      <c r="AY179" s="289"/>
      <c r="AZ179" s="289"/>
      <c r="BA179" s="289"/>
      <c r="BB179" s="289"/>
      <c r="BC179" s="289"/>
      <c r="BD179" s="294">
        <v>15000000</v>
      </c>
      <c r="BE179" s="294">
        <v>15000000</v>
      </c>
      <c r="BF179" s="294">
        <v>15000000</v>
      </c>
      <c r="BG179" s="289"/>
      <c r="BH179" s="289"/>
      <c r="BI179" s="289"/>
      <c r="BJ179" s="289"/>
      <c r="BK179" s="289"/>
      <c r="BL179" s="289"/>
      <c r="BM179" s="289"/>
      <c r="BN179" s="289"/>
      <c r="BO179" s="289"/>
      <c r="BP179" s="273">
        <f t="shared" ref="BP179:BP189" si="48">+Z179+AC179+AF179+AI179+AL179+AO179+AR179+AU179+AX179+BA179+BD179+BG179+BJ179</f>
        <v>15000000</v>
      </c>
      <c r="BQ179" s="273">
        <f t="shared" ref="BQ179:BR182" si="49">+AA179+AD179+AG179+AJ179+AM179+AP179+AS179+AV179+AY179+BB179+BE179+BH179+BK179</f>
        <v>15000000</v>
      </c>
      <c r="BR179" s="273">
        <f t="shared" si="49"/>
        <v>15000000</v>
      </c>
      <c r="BS179" s="246" t="s">
        <v>1654</v>
      </c>
      <c r="BT179" s="233"/>
    </row>
    <row r="180" spans="1:72" s="27" customFormat="1" ht="150.75" customHeight="1" x14ac:dyDescent="0.2">
      <c r="A180" s="217">
        <v>316</v>
      </c>
      <c r="B180" s="216" t="s">
        <v>1627</v>
      </c>
      <c r="C180" s="213">
        <v>1</v>
      </c>
      <c r="D180" s="216" t="s">
        <v>1614</v>
      </c>
      <c r="E180" s="213">
        <v>41</v>
      </c>
      <c r="F180" s="216" t="s">
        <v>784</v>
      </c>
      <c r="G180" s="213">
        <v>4103</v>
      </c>
      <c r="H180" s="216" t="s">
        <v>302</v>
      </c>
      <c r="I180" s="213">
        <v>4103</v>
      </c>
      <c r="J180" s="216" t="s">
        <v>1606</v>
      </c>
      <c r="K180" s="216" t="s">
        <v>860</v>
      </c>
      <c r="L180" s="213">
        <v>4103052</v>
      </c>
      <c r="M180" s="216" t="s">
        <v>305</v>
      </c>
      <c r="N180" s="213">
        <v>4103052</v>
      </c>
      <c r="O180" s="216" t="s">
        <v>305</v>
      </c>
      <c r="P180" s="292">
        <v>410305202</v>
      </c>
      <c r="Q180" s="311" t="s">
        <v>861</v>
      </c>
      <c r="R180" s="292">
        <v>410305202</v>
      </c>
      <c r="S180" s="311" t="s">
        <v>861</v>
      </c>
      <c r="T180" s="236" t="s">
        <v>1671</v>
      </c>
      <c r="U180" s="76">
        <v>1</v>
      </c>
      <c r="V180" s="76">
        <v>1</v>
      </c>
      <c r="W180" s="236" t="s">
        <v>862</v>
      </c>
      <c r="X180" s="216" t="s">
        <v>863</v>
      </c>
      <c r="Y180" s="216" t="s">
        <v>864</v>
      </c>
      <c r="Z180" s="289"/>
      <c r="AA180" s="289"/>
      <c r="AB180" s="289"/>
      <c r="AC180" s="289"/>
      <c r="AD180" s="289"/>
      <c r="AE180" s="289"/>
      <c r="AF180" s="289"/>
      <c r="AG180" s="289"/>
      <c r="AH180" s="289"/>
      <c r="AI180" s="289"/>
      <c r="AJ180" s="289"/>
      <c r="AK180" s="289"/>
      <c r="AL180" s="289"/>
      <c r="AM180" s="289"/>
      <c r="AN180" s="289"/>
      <c r="AO180" s="289"/>
      <c r="AP180" s="289"/>
      <c r="AQ180" s="289"/>
      <c r="AR180" s="289"/>
      <c r="AS180" s="289"/>
      <c r="AT180" s="289"/>
      <c r="AU180" s="289"/>
      <c r="AV180" s="289"/>
      <c r="AW180" s="289"/>
      <c r="AX180" s="289"/>
      <c r="AY180" s="289"/>
      <c r="AZ180" s="289"/>
      <c r="BA180" s="289"/>
      <c r="BB180" s="289"/>
      <c r="BC180" s="289"/>
      <c r="BD180" s="294">
        <v>20000000</v>
      </c>
      <c r="BE180" s="294">
        <v>20000000</v>
      </c>
      <c r="BF180" s="294">
        <v>20000000</v>
      </c>
      <c r="BG180" s="289"/>
      <c r="BH180" s="289"/>
      <c r="BI180" s="289"/>
      <c r="BJ180" s="289"/>
      <c r="BK180" s="289"/>
      <c r="BL180" s="289"/>
      <c r="BM180" s="289"/>
      <c r="BN180" s="289"/>
      <c r="BO180" s="289"/>
      <c r="BP180" s="273">
        <f t="shared" si="48"/>
        <v>20000000</v>
      </c>
      <c r="BQ180" s="273">
        <f t="shared" si="49"/>
        <v>20000000</v>
      </c>
      <c r="BR180" s="273">
        <f t="shared" si="49"/>
        <v>20000000</v>
      </c>
      <c r="BS180" s="246" t="s">
        <v>1654</v>
      </c>
      <c r="BT180" s="233"/>
    </row>
    <row r="181" spans="1:72" s="27" customFormat="1" ht="271.5" customHeight="1" x14ac:dyDescent="0.2">
      <c r="A181" s="217">
        <v>316</v>
      </c>
      <c r="B181" s="216" t="s">
        <v>1627</v>
      </c>
      <c r="C181" s="213">
        <v>1</v>
      </c>
      <c r="D181" s="216" t="s">
        <v>1614</v>
      </c>
      <c r="E181" s="213">
        <v>41</v>
      </c>
      <c r="F181" s="216" t="s">
        <v>784</v>
      </c>
      <c r="G181" s="213">
        <v>4103</v>
      </c>
      <c r="H181" s="216" t="s">
        <v>302</v>
      </c>
      <c r="I181" s="213">
        <v>4103</v>
      </c>
      <c r="J181" s="216" t="s">
        <v>1606</v>
      </c>
      <c r="K181" s="216" t="s">
        <v>842</v>
      </c>
      <c r="L181" s="213">
        <v>4103050</v>
      </c>
      <c r="M181" s="216" t="s">
        <v>865</v>
      </c>
      <c r="N181" s="213">
        <v>4103050</v>
      </c>
      <c r="O181" s="216" t="s">
        <v>865</v>
      </c>
      <c r="P181" s="292">
        <v>410305001</v>
      </c>
      <c r="Q181" s="311" t="s">
        <v>866</v>
      </c>
      <c r="R181" s="292">
        <v>410305001</v>
      </c>
      <c r="S181" s="311" t="s">
        <v>866</v>
      </c>
      <c r="T181" s="236" t="s">
        <v>1671</v>
      </c>
      <c r="U181" s="76">
        <v>12</v>
      </c>
      <c r="V181" s="76">
        <v>12</v>
      </c>
      <c r="W181" s="236" t="s">
        <v>867</v>
      </c>
      <c r="X181" s="216" t="s">
        <v>868</v>
      </c>
      <c r="Y181" s="216" t="s">
        <v>869</v>
      </c>
      <c r="Z181" s="289"/>
      <c r="AA181" s="289"/>
      <c r="AB181" s="289"/>
      <c r="AC181" s="289"/>
      <c r="AD181" s="289"/>
      <c r="AE181" s="289"/>
      <c r="AF181" s="289"/>
      <c r="AG181" s="289"/>
      <c r="AH181" s="289"/>
      <c r="AI181" s="289"/>
      <c r="AJ181" s="289"/>
      <c r="AK181" s="289"/>
      <c r="AL181" s="289"/>
      <c r="AM181" s="289"/>
      <c r="AN181" s="289"/>
      <c r="AO181" s="289"/>
      <c r="AP181" s="289"/>
      <c r="AQ181" s="289"/>
      <c r="AR181" s="289"/>
      <c r="AS181" s="289"/>
      <c r="AT181" s="289"/>
      <c r="AU181" s="289"/>
      <c r="AV181" s="289"/>
      <c r="AW181" s="289"/>
      <c r="AX181" s="289"/>
      <c r="AY181" s="289"/>
      <c r="AZ181" s="289"/>
      <c r="BA181" s="289"/>
      <c r="BB181" s="289"/>
      <c r="BC181" s="289"/>
      <c r="BD181" s="294">
        <v>25000000</v>
      </c>
      <c r="BE181" s="294">
        <v>24000000</v>
      </c>
      <c r="BF181" s="294">
        <v>24000000</v>
      </c>
      <c r="BG181" s="289"/>
      <c r="BH181" s="289"/>
      <c r="BI181" s="289"/>
      <c r="BJ181" s="289"/>
      <c r="BK181" s="289"/>
      <c r="BL181" s="289"/>
      <c r="BM181" s="289"/>
      <c r="BN181" s="289"/>
      <c r="BO181" s="289"/>
      <c r="BP181" s="273">
        <f t="shared" si="48"/>
        <v>25000000</v>
      </c>
      <c r="BQ181" s="273">
        <f t="shared" si="49"/>
        <v>24000000</v>
      </c>
      <c r="BR181" s="273">
        <f t="shared" si="49"/>
        <v>24000000</v>
      </c>
      <c r="BS181" s="246" t="s">
        <v>1654</v>
      </c>
      <c r="BT181" s="233"/>
    </row>
    <row r="182" spans="1:72" s="27" customFormat="1" ht="149.25" customHeight="1" x14ac:dyDescent="0.2">
      <c r="A182" s="217">
        <v>316</v>
      </c>
      <c r="B182" s="216" t="s">
        <v>1627</v>
      </c>
      <c r="C182" s="213">
        <v>1</v>
      </c>
      <c r="D182" s="216" t="s">
        <v>1614</v>
      </c>
      <c r="E182" s="213">
        <v>41</v>
      </c>
      <c r="F182" s="216" t="s">
        <v>784</v>
      </c>
      <c r="G182" s="213">
        <v>4103</v>
      </c>
      <c r="H182" s="216" t="s">
        <v>302</v>
      </c>
      <c r="I182" s="213">
        <v>4103</v>
      </c>
      <c r="J182" s="216" t="s">
        <v>1606</v>
      </c>
      <c r="K182" s="216" t="s">
        <v>870</v>
      </c>
      <c r="L182" s="304">
        <v>4103058</v>
      </c>
      <c r="M182" s="216" t="s">
        <v>871</v>
      </c>
      <c r="N182" s="304">
        <v>4103058</v>
      </c>
      <c r="O182" s="216" t="s">
        <v>871</v>
      </c>
      <c r="P182" s="74">
        <v>410305800</v>
      </c>
      <c r="Q182" s="311" t="s">
        <v>872</v>
      </c>
      <c r="R182" s="74">
        <v>410305800</v>
      </c>
      <c r="S182" s="311" t="s">
        <v>872</v>
      </c>
      <c r="T182" s="236" t="s">
        <v>1673</v>
      </c>
      <c r="U182" s="76">
        <v>2</v>
      </c>
      <c r="V182" s="76">
        <v>2</v>
      </c>
      <c r="W182" s="236" t="s">
        <v>873</v>
      </c>
      <c r="X182" s="216" t="s">
        <v>874</v>
      </c>
      <c r="Y182" s="216" t="s">
        <v>875</v>
      </c>
      <c r="Z182" s="289"/>
      <c r="AA182" s="289"/>
      <c r="AB182" s="289"/>
      <c r="AC182" s="289"/>
      <c r="AD182" s="289"/>
      <c r="AE182" s="289"/>
      <c r="AF182" s="289"/>
      <c r="AG182" s="289"/>
      <c r="AH182" s="289"/>
      <c r="AI182" s="289"/>
      <c r="AJ182" s="289"/>
      <c r="AK182" s="289"/>
      <c r="AL182" s="289"/>
      <c r="AM182" s="289"/>
      <c r="AN182" s="289"/>
      <c r="AO182" s="289"/>
      <c r="AP182" s="289"/>
      <c r="AQ182" s="289"/>
      <c r="AR182" s="289"/>
      <c r="AS182" s="289"/>
      <c r="AT182" s="289"/>
      <c r="AU182" s="289"/>
      <c r="AV182" s="289"/>
      <c r="AW182" s="289"/>
      <c r="AX182" s="289"/>
      <c r="AY182" s="289"/>
      <c r="AZ182" s="289"/>
      <c r="BA182" s="289"/>
      <c r="BB182" s="289"/>
      <c r="BC182" s="289"/>
      <c r="BD182" s="294">
        <f>28000000+47112368</f>
        <v>75112368</v>
      </c>
      <c r="BE182" s="294">
        <v>71374050.390000001</v>
      </c>
      <c r="BF182" s="294">
        <v>71374050.390000001</v>
      </c>
      <c r="BG182" s="289"/>
      <c r="BH182" s="289"/>
      <c r="BI182" s="289"/>
      <c r="BJ182" s="289"/>
      <c r="BK182" s="289"/>
      <c r="BL182" s="289"/>
      <c r="BM182" s="289"/>
      <c r="BN182" s="289"/>
      <c r="BO182" s="289"/>
      <c r="BP182" s="273">
        <f t="shared" si="48"/>
        <v>75112368</v>
      </c>
      <c r="BQ182" s="273">
        <f t="shared" si="49"/>
        <v>71374050.390000001</v>
      </c>
      <c r="BR182" s="273">
        <f t="shared" si="49"/>
        <v>71374050.390000001</v>
      </c>
      <c r="BS182" s="246" t="s">
        <v>1654</v>
      </c>
      <c r="BT182" s="233"/>
    </row>
    <row r="183" spans="1:72" s="27" customFormat="1" ht="96" customHeight="1" x14ac:dyDescent="0.2">
      <c r="A183" s="217">
        <v>316</v>
      </c>
      <c r="B183" s="216" t="s">
        <v>1627</v>
      </c>
      <c r="C183" s="213">
        <v>1</v>
      </c>
      <c r="D183" s="216" t="s">
        <v>1614</v>
      </c>
      <c r="E183" s="213">
        <v>41</v>
      </c>
      <c r="F183" s="216" t="s">
        <v>784</v>
      </c>
      <c r="G183" s="213">
        <v>4103</v>
      </c>
      <c r="H183" s="216" t="s">
        <v>302</v>
      </c>
      <c r="I183" s="213">
        <v>4103</v>
      </c>
      <c r="J183" s="216" t="s">
        <v>1606</v>
      </c>
      <c r="K183" s="303" t="s">
        <v>876</v>
      </c>
      <c r="L183" s="213" t="s">
        <v>41</v>
      </c>
      <c r="M183" s="216" t="s">
        <v>877</v>
      </c>
      <c r="N183" s="304">
        <v>4103060</v>
      </c>
      <c r="O183" s="216" t="s">
        <v>878</v>
      </c>
      <c r="P183" s="213" t="s">
        <v>41</v>
      </c>
      <c r="Q183" s="311" t="s">
        <v>879</v>
      </c>
      <c r="R183" s="304">
        <v>410306000</v>
      </c>
      <c r="S183" s="311" t="s">
        <v>880</v>
      </c>
      <c r="T183" s="236" t="s">
        <v>1673</v>
      </c>
      <c r="U183" s="76">
        <v>5</v>
      </c>
      <c r="V183" s="76">
        <v>5</v>
      </c>
      <c r="W183" s="236" t="s">
        <v>881</v>
      </c>
      <c r="X183" s="216" t="s">
        <v>882</v>
      </c>
      <c r="Y183" s="216" t="s">
        <v>883</v>
      </c>
      <c r="Z183" s="289"/>
      <c r="AA183" s="289"/>
      <c r="AB183" s="289"/>
      <c r="AC183" s="289"/>
      <c r="AD183" s="289"/>
      <c r="AE183" s="289"/>
      <c r="AF183" s="289"/>
      <c r="AG183" s="289"/>
      <c r="AH183" s="289"/>
      <c r="AI183" s="289"/>
      <c r="AJ183" s="289"/>
      <c r="AK183" s="289"/>
      <c r="AL183" s="289"/>
      <c r="AM183" s="289"/>
      <c r="AN183" s="289"/>
      <c r="AO183" s="289"/>
      <c r="AP183" s="289"/>
      <c r="AQ183" s="289"/>
      <c r="AR183" s="289"/>
      <c r="AS183" s="289"/>
      <c r="AT183" s="289"/>
      <c r="AU183" s="289"/>
      <c r="AV183" s="289"/>
      <c r="AW183" s="289"/>
      <c r="AX183" s="289"/>
      <c r="AY183" s="289"/>
      <c r="AZ183" s="289"/>
      <c r="BA183" s="289"/>
      <c r="BB183" s="289"/>
      <c r="BC183" s="289"/>
      <c r="BD183" s="294">
        <v>27000000</v>
      </c>
      <c r="BE183" s="294">
        <v>27000000</v>
      </c>
      <c r="BF183" s="294">
        <v>27000000</v>
      </c>
      <c r="BG183" s="289"/>
      <c r="BH183" s="289"/>
      <c r="BI183" s="289"/>
      <c r="BJ183" s="289"/>
      <c r="BK183" s="289"/>
      <c r="BL183" s="289"/>
      <c r="BM183" s="289"/>
      <c r="BN183" s="289"/>
      <c r="BO183" s="289"/>
      <c r="BP183" s="273">
        <f t="shared" si="48"/>
        <v>27000000</v>
      </c>
      <c r="BQ183" s="273">
        <f t="shared" ref="BQ183:BR186" si="50">+AA183+AD183+AG183+AJ183+AM183+AP183+AS183+AV183+AY183+BB183+BE183+BH183+BK183</f>
        <v>27000000</v>
      </c>
      <c r="BR183" s="273">
        <f t="shared" si="50"/>
        <v>27000000</v>
      </c>
      <c r="BS183" s="246" t="s">
        <v>1654</v>
      </c>
      <c r="BT183" s="233"/>
    </row>
    <row r="184" spans="1:72" s="27" customFormat="1" ht="98.25" customHeight="1" x14ac:dyDescent="0.2">
      <c r="A184" s="217">
        <v>316</v>
      </c>
      <c r="B184" s="216" t="s">
        <v>1627</v>
      </c>
      <c r="C184" s="213">
        <v>1</v>
      </c>
      <c r="D184" s="216" t="s">
        <v>1614</v>
      </c>
      <c r="E184" s="213">
        <v>41</v>
      </c>
      <c r="F184" s="216" t="s">
        <v>784</v>
      </c>
      <c r="G184" s="213">
        <v>4103</v>
      </c>
      <c r="H184" s="216" t="s">
        <v>302</v>
      </c>
      <c r="I184" s="213">
        <v>4103</v>
      </c>
      <c r="J184" s="216" t="s">
        <v>1606</v>
      </c>
      <c r="K184" s="303" t="s">
        <v>884</v>
      </c>
      <c r="L184" s="213" t="s">
        <v>41</v>
      </c>
      <c r="M184" s="216" t="s">
        <v>885</v>
      </c>
      <c r="N184" s="304">
        <v>4103060</v>
      </c>
      <c r="O184" s="216" t="s">
        <v>878</v>
      </c>
      <c r="P184" s="213" t="s">
        <v>41</v>
      </c>
      <c r="Q184" s="216" t="s">
        <v>886</v>
      </c>
      <c r="R184" s="304">
        <v>410306000</v>
      </c>
      <c r="S184" s="216" t="s">
        <v>880</v>
      </c>
      <c r="T184" s="236" t="s">
        <v>1671</v>
      </c>
      <c r="U184" s="76">
        <v>2</v>
      </c>
      <c r="V184" s="76">
        <v>2</v>
      </c>
      <c r="W184" s="236" t="s">
        <v>881</v>
      </c>
      <c r="X184" s="216" t="s">
        <v>882</v>
      </c>
      <c r="Y184" s="216" t="s">
        <v>883</v>
      </c>
      <c r="Z184" s="289"/>
      <c r="AA184" s="289"/>
      <c r="AB184" s="289"/>
      <c r="AC184" s="289"/>
      <c r="AD184" s="289"/>
      <c r="AE184" s="289"/>
      <c r="AF184" s="289"/>
      <c r="AG184" s="289"/>
      <c r="AH184" s="289"/>
      <c r="AI184" s="289"/>
      <c r="AJ184" s="289"/>
      <c r="AK184" s="289"/>
      <c r="AL184" s="289"/>
      <c r="AM184" s="289"/>
      <c r="AN184" s="289"/>
      <c r="AO184" s="289"/>
      <c r="AP184" s="289"/>
      <c r="AQ184" s="289"/>
      <c r="AR184" s="289"/>
      <c r="AS184" s="289"/>
      <c r="AT184" s="289"/>
      <c r="AU184" s="289"/>
      <c r="AV184" s="289"/>
      <c r="AW184" s="289"/>
      <c r="AX184" s="289"/>
      <c r="AY184" s="289"/>
      <c r="AZ184" s="289"/>
      <c r="BA184" s="289"/>
      <c r="BB184" s="289"/>
      <c r="BC184" s="289"/>
      <c r="BD184" s="294">
        <v>20000000</v>
      </c>
      <c r="BE184" s="294">
        <v>18333347</v>
      </c>
      <c r="BF184" s="294">
        <v>18333347</v>
      </c>
      <c r="BG184" s="289"/>
      <c r="BH184" s="289"/>
      <c r="BI184" s="289"/>
      <c r="BJ184" s="289"/>
      <c r="BK184" s="289"/>
      <c r="BL184" s="289"/>
      <c r="BM184" s="289"/>
      <c r="BN184" s="289"/>
      <c r="BO184" s="289"/>
      <c r="BP184" s="273">
        <f t="shared" si="48"/>
        <v>20000000</v>
      </c>
      <c r="BQ184" s="273">
        <f t="shared" si="50"/>
        <v>18333347</v>
      </c>
      <c r="BR184" s="273">
        <f t="shared" si="50"/>
        <v>18333347</v>
      </c>
      <c r="BS184" s="246" t="s">
        <v>1654</v>
      </c>
      <c r="BT184" s="233"/>
    </row>
    <row r="185" spans="1:72" s="27" customFormat="1" ht="152.25" customHeight="1" x14ac:dyDescent="0.2">
      <c r="A185" s="217">
        <v>316</v>
      </c>
      <c r="B185" s="216" t="s">
        <v>1627</v>
      </c>
      <c r="C185" s="213">
        <v>1</v>
      </c>
      <c r="D185" s="216" t="s">
        <v>1614</v>
      </c>
      <c r="E185" s="213">
        <v>41</v>
      </c>
      <c r="F185" s="216" t="s">
        <v>784</v>
      </c>
      <c r="G185" s="213">
        <v>4103</v>
      </c>
      <c r="H185" s="216" t="s">
        <v>302</v>
      </c>
      <c r="I185" s="213">
        <v>4103</v>
      </c>
      <c r="J185" s="216" t="s">
        <v>1606</v>
      </c>
      <c r="K185" s="216" t="s">
        <v>887</v>
      </c>
      <c r="L185" s="213" t="s">
        <v>41</v>
      </c>
      <c r="M185" s="216" t="s">
        <v>888</v>
      </c>
      <c r="N185" s="304">
        <v>4103052</v>
      </c>
      <c r="O185" s="216" t="s">
        <v>305</v>
      </c>
      <c r="P185" s="213" t="s">
        <v>41</v>
      </c>
      <c r="Q185" s="311" t="s">
        <v>889</v>
      </c>
      <c r="R185" s="304">
        <v>410305202</v>
      </c>
      <c r="S185" s="311" t="s">
        <v>861</v>
      </c>
      <c r="T185" s="236" t="s">
        <v>1671</v>
      </c>
      <c r="U185" s="76">
        <v>1</v>
      </c>
      <c r="V185" s="76">
        <v>1</v>
      </c>
      <c r="W185" s="236" t="s">
        <v>890</v>
      </c>
      <c r="X185" s="216" t="s">
        <v>891</v>
      </c>
      <c r="Y185" s="216" t="s">
        <v>892</v>
      </c>
      <c r="Z185" s="289"/>
      <c r="AA185" s="289"/>
      <c r="AB185" s="289"/>
      <c r="AC185" s="289"/>
      <c r="AD185" s="289"/>
      <c r="AE185" s="289"/>
      <c r="AF185" s="289"/>
      <c r="AG185" s="289"/>
      <c r="AH185" s="289"/>
      <c r="AI185" s="289"/>
      <c r="AJ185" s="289"/>
      <c r="AK185" s="289"/>
      <c r="AL185" s="289"/>
      <c r="AM185" s="289"/>
      <c r="AN185" s="289"/>
      <c r="AO185" s="289"/>
      <c r="AP185" s="289"/>
      <c r="AQ185" s="289"/>
      <c r="AR185" s="289"/>
      <c r="AS185" s="289"/>
      <c r="AT185" s="289"/>
      <c r="AU185" s="289"/>
      <c r="AV185" s="289"/>
      <c r="AW185" s="289"/>
      <c r="AX185" s="289"/>
      <c r="AY185" s="289"/>
      <c r="AZ185" s="289"/>
      <c r="BA185" s="289"/>
      <c r="BB185" s="289"/>
      <c r="BC185" s="289"/>
      <c r="BD185" s="294">
        <f>40000000+11681346</f>
        <v>51681346</v>
      </c>
      <c r="BE185" s="294">
        <v>51001400</v>
      </c>
      <c r="BF185" s="294">
        <v>51001400</v>
      </c>
      <c r="BG185" s="289"/>
      <c r="BH185" s="289"/>
      <c r="BI185" s="289"/>
      <c r="BJ185" s="289"/>
      <c r="BK185" s="289"/>
      <c r="BL185" s="289"/>
      <c r="BM185" s="289"/>
      <c r="BN185" s="289"/>
      <c r="BO185" s="289"/>
      <c r="BP185" s="273">
        <f t="shared" si="48"/>
        <v>51681346</v>
      </c>
      <c r="BQ185" s="273">
        <f t="shared" si="50"/>
        <v>51001400</v>
      </c>
      <c r="BR185" s="273">
        <f t="shared" si="50"/>
        <v>51001400</v>
      </c>
      <c r="BS185" s="246" t="s">
        <v>1654</v>
      </c>
      <c r="BT185" s="233"/>
    </row>
    <row r="186" spans="1:72" s="27" customFormat="1" ht="152.25" customHeight="1" x14ac:dyDescent="0.2">
      <c r="A186" s="217">
        <v>316</v>
      </c>
      <c r="B186" s="216" t="s">
        <v>1627</v>
      </c>
      <c r="C186" s="213">
        <v>1</v>
      </c>
      <c r="D186" s="216" t="s">
        <v>1614</v>
      </c>
      <c r="E186" s="213">
        <v>41</v>
      </c>
      <c r="F186" s="216" t="s">
        <v>784</v>
      </c>
      <c r="G186" s="213">
        <v>4104</v>
      </c>
      <c r="H186" s="216" t="s">
        <v>893</v>
      </c>
      <c r="I186" s="213">
        <v>4104</v>
      </c>
      <c r="J186" s="216" t="s">
        <v>1607</v>
      </c>
      <c r="K186" s="216" t="s">
        <v>894</v>
      </c>
      <c r="L186" s="213">
        <v>4104035</v>
      </c>
      <c r="M186" s="216" t="s">
        <v>895</v>
      </c>
      <c r="N186" s="304">
        <v>4104020</v>
      </c>
      <c r="O186" s="216" t="s">
        <v>896</v>
      </c>
      <c r="P186" s="74">
        <v>410403500</v>
      </c>
      <c r="Q186" s="216" t="s">
        <v>897</v>
      </c>
      <c r="R186" s="304">
        <v>410402000</v>
      </c>
      <c r="S186" s="216" t="s">
        <v>898</v>
      </c>
      <c r="T186" s="236" t="s">
        <v>1673</v>
      </c>
      <c r="U186" s="76">
        <f>50+20</f>
        <v>70</v>
      </c>
      <c r="V186" s="76">
        <v>60</v>
      </c>
      <c r="W186" s="236" t="s">
        <v>899</v>
      </c>
      <c r="X186" s="216" t="s">
        <v>900</v>
      </c>
      <c r="Y186" s="216" t="s">
        <v>901</v>
      </c>
      <c r="Z186" s="289"/>
      <c r="AA186" s="289"/>
      <c r="AB186" s="289"/>
      <c r="AC186" s="289"/>
      <c r="AD186" s="289"/>
      <c r="AE186" s="289"/>
      <c r="AF186" s="289"/>
      <c r="AG186" s="289"/>
      <c r="AH186" s="289"/>
      <c r="AI186" s="289"/>
      <c r="AJ186" s="289"/>
      <c r="AK186" s="289"/>
      <c r="AL186" s="289"/>
      <c r="AM186" s="289"/>
      <c r="AN186" s="289"/>
      <c r="AO186" s="289"/>
      <c r="AP186" s="289"/>
      <c r="AQ186" s="289"/>
      <c r="AR186" s="289"/>
      <c r="AS186" s="289"/>
      <c r="AT186" s="289"/>
      <c r="AU186" s="289"/>
      <c r="AV186" s="289"/>
      <c r="AW186" s="289"/>
      <c r="AX186" s="289"/>
      <c r="AY186" s="289"/>
      <c r="AZ186" s="289"/>
      <c r="BA186" s="289"/>
      <c r="BB186" s="289"/>
      <c r="BC186" s="289"/>
      <c r="BD186" s="294">
        <f>25000000+54000000-11540000</f>
        <v>67460000</v>
      </c>
      <c r="BE186" s="294">
        <v>67429000</v>
      </c>
      <c r="BF186" s="557">
        <v>67429000</v>
      </c>
      <c r="BG186" s="289"/>
      <c r="BH186" s="289"/>
      <c r="BI186" s="289"/>
      <c r="BJ186" s="289"/>
      <c r="BK186" s="289"/>
      <c r="BL186" s="289"/>
      <c r="BM186" s="289"/>
      <c r="BN186" s="289"/>
      <c r="BO186" s="289"/>
      <c r="BP186" s="273">
        <f t="shared" si="48"/>
        <v>67460000</v>
      </c>
      <c r="BQ186" s="273">
        <f t="shared" si="50"/>
        <v>67429000</v>
      </c>
      <c r="BR186" s="273">
        <f t="shared" si="50"/>
        <v>67429000</v>
      </c>
      <c r="BS186" s="246" t="s">
        <v>1654</v>
      </c>
      <c r="BT186" s="233"/>
    </row>
    <row r="187" spans="1:72" s="27" customFormat="1" ht="134.25" customHeight="1" x14ac:dyDescent="0.2">
      <c r="A187" s="217">
        <v>316</v>
      </c>
      <c r="B187" s="216" t="s">
        <v>1627</v>
      </c>
      <c r="C187" s="213">
        <v>1</v>
      </c>
      <c r="D187" s="216" t="s">
        <v>1614</v>
      </c>
      <c r="E187" s="213">
        <v>41</v>
      </c>
      <c r="F187" s="216" t="s">
        <v>784</v>
      </c>
      <c r="G187" s="213">
        <v>4104</v>
      </c>
      <c r="H187" s="216" t="s">
        <v>893</v>
      </c>
      <c r="I187" s="213">
        <v>4104</v>
      </c>
      <c r="J187" s="216" t="s">
        <v>1607</v>
      </c>
      <c r="K187" s="216" t="s">
        <v>902</v>
      </c>
      <c r="L187" s="213">
        <v>4104035</v>
      </c>
      <c r="M187" s="216" t="s">
        <v>895</v>
      </c>
      <c r="N187" s="304">
        <v>4104020</v>
      </c>
      <c r="O187" s="216" t="s">
        <v>896</v>
      </c>
      <c r="P187" s="213" t="s">
        <v>41</v>
      </c>
      <c r="Q187" s="216" t="s">
        <v>903</v>
      </c>
      <c r="R187" s="304">
        <v>410402000</v>
      </c>
      <c r="S187" s="216" t="s">
        <v>898</v>
      </c>
      <c r="T187" s="236" t="s">
        <v>1671</v>
      </c>
      <c r="U187" s="76">
        <v>12</v>
      </c>
      <c r="V187" s="76">
        <v>12</v>
      </c>
      <c r="W187" s="236" t="s">
        <v>899</v>
      </c>
      <c r="X187" s="216" t="s">
        <v>900</v>
      </c>
      <c r="Y187" s="216" t="s">
        <v>901</v>
      </c>
      <c r="Z187" s="289"/>
      <c r="AA187" s="289"/>
      <c r="AB187" s="289"/>
      <c r="AC187" s="289"/>
      <c r="AD187" s="289"/>
      <c r="AE187" s="289"/>
      <c r="AF187" s="289"/>
      <c r="AG187" s="289"/>
      <c r="AH187" s="289"/>
      <c r="AI187" s="289"/>
      <c r="AJ187" s="289"/>
      <c r="AK187" s="289"/>
      <c r="AL187" s="289"/>
      <c r="AM187" s="289"/>
      <c r="AN187" s="289"/>
      <c r="AO187" s="289"/>
      <c r="AP187" s="289"/>
      <c r="AQ187" s="289"/>
      <c r="AR187" s="289"/>
      <c r="AS187" s="289"/>
      <c r="AT187" s="289"/>
      <c r="AU187" s="289"/>
      <c r="AV187" s="289"/>
      <c r="AW187" s="289"/>
      <c r="AX187" s="289"/>
      <c r="AY187" s="289"/>
      <c r="AZ187" s="289"/>
      <c r="BA187" s="289"/>
      <c r="BB187" s="289"/>
      <c r="BC187" s="289"/>
      <c r="BD187" s="294">
        <f>19000000+4080000+11540000</f>
        <v>34620000</v>
      </c>
      <c r="BE187" s="294">
        <v>26522500</v>
      </c>
      <c r="BF187" s="294">
        <v>26522500</v>
      </c>
      <c r="BG187" s="289"/>
      <c r="BH187" s="289"/>
      <c r="BI187" s="289"/>
      <c r="BJ187" s="289"/>
      <c r="BK187" s="289"/>
      <c r="BL187" s="289"/>
      <c r="BM187" s="289"/>
      <c r="BN187" s="289"/>
      <c r="BO187" s="289"/>
      <c r="BP187" s="273">
        <f t="shared" si="48"/>
        <v>34620000</v>
      </c>
      <c r="BQ187" s="273">
        <f t="shared" ref="BQ187:BR190" si="51">+AA187+AD187+AG187+AJ187+AM187+AP187+AS187+AV187+AY187+BB187+BE187+BH187+BK187</f>
        <v>26522500</v>
      </c>
      <c r="BR187" s="273">
        <f t="shared" si="51"/>
        <v>26522500</v>
      </c>
      <c r="BS187" s="246" t="s">
        <v>1654</v>
      </c>
      <c r="BT187" s="233"/>
    </row>
    <row r="188" spans="1:72" s="27" customFormat="1" ht="108.75" customHeight="1" x14ac:dyDescent="0.2">
      <c r="A188" s="217">
        <v>316</v>
      </c>
      <c r="B188" s="216" t="s">
        <v>1627</v>
      </c>
      <c r="C188" s="213">
        <v>1</v>
      </c>
      <c r="D188" s="216" t="s">
        <v>1614</v>
      </c>
      <c r="E188" s="213">
        <v>41</v>
      </c>
      <c r="F188" s="216" t="s">
        <v>784</v>
      </c>
      <c r="G188" s="213">
        <v>4104</v>
      </c>
      <c r="H188" s="216" t="s">
        <v>893</v>
      </c>
      <c r="I188" s="213">
        <v>4104</v>
      </c>
      <c r="J188" s="216" t="s">
        <v>1607</v>
      </c>
      <c r="K188" s="216" t="s">
        <v>904</v>
      </c>
      <c r="L188" s="74">
        <v>4104026</v>
      </c>
      <c r="M188" s="216" t="s">
        <v>905</v>
      </c>
      <c r="N188" s="304">
        <v>4104027</v>
      </c>
      <c r="O188" s="216" t="s">
        <v>906</v>
      </c>
      <c r="P188" s="213" t="s">
        <v>41</v>
      </c>
      <c r="Q188" s="216" t="s">
        <v>907</v>
      </c>
      <c r="R188" s="304">
        <v>410402700</v>
      </c>
      <c r="S188" s="216" t="s">
        <v>908</v>
      </c>
      <c r="T188" s="236" t="s">
        <v>1671</v>
      </c>
      <c r="U188" s="76">
        <v>12</v>
      </c>
      <c r="V188" s="76">
        <v>12</v>
      </c>
      <c r="W188" s="236" t="s">
        <v>909</v>
      </c>
      <c r="X188" s="216" t="s">
        <v>910</v>
      </c>
      <c r="Y188" s="216" t="s">
        <v>911</v>
      </c>
      <c r="Z188" s="289"/>
      <c r="AA188" s="289"/>
      <c r="AB188" s="289"/>
      <c r="AC188" s="289"/>
      <c r="AD188" s="289"/>
      <c r="AE188" s="289"/>
      <c r="AF188" s="289"/>
      <c r="AG188" s="289"/>
      <c r="AH188" s="289"/>
      <c r="AI188" s="289"/>
      <c r="AJ188" s="289"/>
      <c r="AK188" s="289"/>
      <c r="AL188" s="289"/>
      <c r="AM188" s="289"/>
      <c r="AN188" s="289"/>
      <c r="AO188" s="289"/>
      <c r="AP188" s="289"/>
      <c r="AQ188" s="289"/>
      <c r="AR188" s="289"/>
      <c r="AS188" s="289"/>
      <c r="AT188" s="289"/>
      <c r="AU188" s="289"/>
      <c r="AV188" s="289"/>
      <c r="AW188" s="289"/>
      <c r="AX188" s="289"/>
      <c r="AY188" s="289"/>
      <c r="AZ188" s="289"/>
      <c r="BA188" s="289"/>
      <c r="BB188" s="289"/>
      <c r="BC188" s="289"/>
      <c r="BD188" s="294">
        <v>35000000</v>
      </c>
      <c r="BE188" s="294">
        <v>34994000</v>
      </c>
      <c r="BF188" s="294">
        <v>34994000</v>
      </c>
      <c r="BG188" s="289"/>
      <c r="BH188" s="289"/>
      <c r="BI188" s="289"/>
      <c r="BJ188" s="289"/>
      <c r="BK188" s="289"/>
      <c r="BL188" s="289"/>
      <c r="BM188" s="289"/>
      <c r="BN188" s="289"/>
      <c r="BO188" s="289"/>
      <c r="BP188" s="273">
        <f t="shared" si="48"/>
        <v>35000000</v>
      </c>
      <c r="BQ188" s="273">
        <f t="shared" si="51"/>
        <v>34994000</v>
      </c>
      <c r="BR188" s="273">
        <f t="shared" si="51"/>
        <v>34994000</v>
      </c>
      <c r="BS188" s="246" t="s">
        <v>1654</v>
      </c>
      <c r="BT188" s="233"/>
    </row>
    <row r="189" spans="1:72" s="27" customFormat="1" ht="131.25" customHeight="1" x14ac:dyDescent="0.2">
      <c r="A189" s="217">
        <v>316</v>
      </c>
      <c r="B189" s="216" t="s">
        <v>1627</v>
      </c>
      <c r="C189" s="213">
        <v>1</v>
      </c>
      <c r="D189" s="216" t="s">
        <v>1614</v>
      </c>
      <c r="E189" s="213">
        <v>41</v>
      </c>
      <c r="F189" s="216" t="s">
        <v>784</v>
      </c>
      <c r="G189" s="213">
        <v>4104</v>
      </c>
      <c r="H189" s="216" t="s">
        <v>893</v>
      </c>
      <c r="I189" s="213">
        <v>4104</v>
      </c>
      <c r="J189" s="216" t="s">
        <v>1607</v>
      </c>
      <c r="K189" s="216" t="s">
        <v>912</v>
      </c>
      <c r="L189" s="304">
        <v>4104015</v>
      </c>
      <c r="M189" s="298" t="s">
        <v>913</v>
      </c>
      <c r="N189" s="304">
        <v>4104015</v>
      </c>
      <c r="O189" s="298" t="s">
        <v>914</v>
      </c>
      <c r="P189" s="74">
        <v>410401500</v>
      </c>
      <c r="Q189" s="311" t="s">
        <v>915</v>
      </c>
      <c r="R189" s="74">
        <v>410401500</v>
      </c>
      <c r="S189" s="311" t="s">
        <v>916</v>
      </c>
      <c r="T189" s="236" t="s">
        <v>1671</v>
      </c>
      <c r="U189" s="292">
        <v>7500</v>
      </c>
      <c r="V189" s="292">
        <v>8123</v>
      </c>
      <c r="W189" s="236" t="s">
        <v>917</v>
      </c>
      <c r="X189" s="216" t="s">
        <v>918</v>
      </c>
      <c r="Y189" s="216" t="s">
        <v>919</v>
      </c>
      <c r="Z189" s="289"/>
      <c r="AA189" s="289"/>
      <c r="AB189" s="289"/>
      <c r="AC189" s="289"/>
      <c r="AD189" s="289"/>
      <c r="AE189" s="289"/>
      <c r="AF189" s="289"/>
      <c r="AG189" s="289"/>
      <c r="AH189" s="289"/>
      <c r="AI189" s="289"/>
      <c r="AJ189" s="289"/>
      <c r="AK189" s="289"/>
      <c r="AL189" s="289"/>
      <c r="AM189" s="289"/>
      <c r="AN189" s="289"/>
      <c r="AO189" s="289"/>
      <c r="AP189" s="289"/>
      <c r="AQ189" s="289"/>
      <c r="AR189" s="289"/>
      <c r="AS189" s="289"/>
      <c r="AT189" s="289"/>
      <c r="AU189" s="289"/>
      <c r="AV189" s="289"/>
      <c r="AW189" s="289"/>
      <c r="AX189" s="289"/>
      <c r="AY189" s="289"/>
      <c r="AZ189" s="289"/>
      <c r="BA189" s="289"/>
      <c r="BB189" s="289"/>
      <c r="BC189" s="289"/>
      <c r="BD189" s="294">
        <f>20000000-1000000+11800000</f>
        <v>30800000</v>
      </c>
      <c r="BE189" s="294">
        <v>26960000</v>
      </c>
      <c r="BF189" s="294">
        <v>26960000</v>
      </c>
      <c r="BG189" s="289"/>
      <c r="BH189" s="289"/>
      <c r="BI189" s="289"/>
      <c r="BJ189" s="289"/>
      <c r="BK189" s="289"/>
      <c r="BL189" s="289"/>
      <c r="BM189" s="289"/>
      <c r="BN189" s="289"/>
      <c r="BO189" s="289"/>
      <c r="BP189" s="273">
        <f t="shared" si="48"/>
        <v>30800000</v>
      </c>
      <c r="BQ189" s="273">
        <f t="shared" si="51"/>
        <v>26960000</v>
      </c>
      <c r="BR189" s="273">
        <f t="shared" si="51"/>
        <v>26960000</v>
      </c>
      <c r="BS189" s="246" t="s">
        <v>1654</v>
      </c>
      <c r="BT189" s="233"/>
    </row>
    <row r="190" spans="1:72" s="27" customFormat="1" ht="203.25" customHeight="1" x14ac:dyDescent="0.2">
      <c r="A190" s="217">
        <v>316</v>
      </c>
      <c r="B190" s="216" t="s">
        <v>1627</v>
      </c>
      <c r="C190" s="213">
        <v>1</v>
      </c>
      <c r="D190" s="216" t="s">
        <v>1614</v>
      </c>
      <c r="E190" s="213">
        <v>41</v>
      </c>
      <c r="F190" s="216" t="s">
        <v>784</v>
      </c>
      <c r="G190" s="213">
        <v>4104</v>
      </c>
      <c r="H190" s="216" t="s">
        <v>893</v>
      </c>
      <c r="I190" s="213">
        <v>4104</v>
      </c>
      <c r="J190" s="216" t="s">
        <v>1607</v>
      </c>
      <c r="K190" s="216" t="s">
        <v>920</v>
      </c>
      <c r="L190" s="213" t="s">
        <v>41</v>
      </c>
      <c r="M190" s="298" t="s">
        <v>921</v>
      </c>
      <c r="N190" s="213">
        <v>4104008</v>
      </c>
      <c r="O190" s="298" t="s">
        <v>922</v>
      </c>
      <c r="P190" s="213" t="s">
        <v>41</v>
      </c>
      <c r="Q190" s="348" t="s">
        <v>923</v>
      </c>
      <c r="R190" s="213">
        <v>410400800</v>
      </c>
      <c r="S190" s="348" t="s">
        <v>924</v>
      </c>
      <c r="T190" s="236" t="s">
        <v>1671</v>
      </c>
      <c r="U190" s="76">
        <v>12</v>
      </c>
      <c r="V190" s="76">
        <v>12</v>
      </c>
      <c r="W190" s="236" t="s">
        <v>917</v>
      </c>
      <c r="X190" s="216" t="s">
        <v>918</v>
      </c>
      <c r="Y190" s="216" t="s">
        <v>919</v>
      </c>
      <c r="Z190" s="372">
        <v>4621490244.0100002</v>
      </c>
      <c r="AA190" s="322">
        <v>3361086793.25</v>
      </c>
      <c r="AB190" s="322">
        <v>3361086793.25</v>
      </c>
      <c r="AC190" s="349"/>
      <c r="AD190" s="349"/>
      <c r="AE190" s="349"/>
      <c r="AF190" s="289"/>
      <c r="AG190" s="289"/>
      <c r="AH190" s="289"/>
      <c r="AI190" s="289"/>
      <c r="AJ190" s="289"/>
      <c r="AK190" s="289"/>
      <c r="AL190" s="289"/>
      <c r="AM190" s="289"/>
      <c r="AN190" s="289"/>
      <c r="AO190" s="289"/>
      <c r="AP190" s="289"/>
      <c r="AQ190" s="289"/>
      <c r="AR190" s="289"/>
      <c r="AS190" s="289"/>
      <c r="AT190" s="289"/>
      <c r="AU190" s="289"/>
      <c r="AV190" s="289"/>
      <c r="AW190" s="289"/>
      <c r="AX190" s="289"/>
      <c r="AY190" s="289"/>
      <c r="AZ190" s="289"/>
      <c r="BA190" s="289"/>
      <c r="BB190" s="289"/>
      <c r="BC190" s="289"/>
      <c r="BD190" s="294">
        <v>0</v>
      </c>
      <c r="BE190" s="294"/>
      <c r="BF190" s="294"/>
      <c r="BG190" s="289"/>
      <c r="BH190" s="289"/>
      <c r="BI190" s="289"/>
      <c r="BJ190" s="289"/>
      <c r="BK190" s="289"/>
      <c r="BL190" s="289"/>
      <c r="BM190" s="289"/>
      <c r="BN190" s="289"/>
      <c r="BO190" s="289"/>
      <c r="BP190" s="273">
        <f t="shared" ref="BP190:BP195" si="52">+Z190+AC190+AF190+AI190+AL190+AO190+AR190+AU190+AX190+BA190+BD190+BG190+BJ190</f>
        <v>4621490244.0100002</v>
      </c>
      <c r="BQ190" s="273">
        <f t="shared" si="51"/>
        <v>3361086793.25</v>
      </c>
      <c r="BR190" s="273">
        <f t="shared" si="51"/>
        <v>3361086793.25</v>
      </c>
      <c r="BS190" s="246" t="s">
        <v>1654</v>
      </c>
      <c r="BT190" s="233"/>
    </row>
    <row r="191" spans="1:72" s="27" customFormat="1" ht="135" customHeight="1" x14ac:dyDescent="0.2">
      <c r="A191" s="217">
        <v>316</v>
      </c>
      <c r="B191" s="216" t="s">
        <v>1627</v>
      </c>
      <c r="C191" s="213">
        <v>2</v>
      </c>
      <c r="D191" s="216" t="s">
        <v>1621</v>
      </c>
      <c r="E191" s="213">
        <v>17</v>
      </c>
      <c r="F191" s="216" t="s">
        <v>451</v>
      </c>
      <c r="G191" s="213">
        <v>1702</v>
      </c>
      <c r="H191" s="216" t="s">
        <v>452</v>
      </c>
      <c r="I191" s="213">
        <v>1702</v>
      </c>
      <c r="J191" s="216" t="s">
        <v>1575</v>
      </c>
      <c r="K191" s="216" t="s">
        <v>925</v>
      </c>
      <c r="L191" s="304">
        <v>1702011</v>
      </c>
      <c r="M191" s="216" t="s">
        <v>926</v>
      </c>
      <c r="N191" s="304">
        <v>1702011</v>
      </c>
      <c r="O191" s="216" t="s">
        <v>926</v>
      </c>
      <c r="P191" s="74" t="s">
        <v>927</v>
      </c>
      <c r="Q191" s="311" t="s">
        <v>928</v>
      </c>
      <c r="R191" s="74" t="s">
        <v>927</v>
      </c>
      <c r="S191" s="311" t="s">
        <v>928</v>
      </c>
      <c r="T191" s="236" t="s">
        <v>1673</v>
      </c>
      <c r="U191" s="76">
        <v>4</v>
      </c>
      <c r="V191" s="76">
        <v>4</v>
      </c>
      <c r="W191" s="236" t="s">
        <v>929</v>
      </c>
      <c r="X191" s="216" t="s">
        <v>930</v>
      </c>
      <c r="Y191" s="216" t="s">
        <v>931</v>
      </c>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89"/>
      <c r="AY191" s="289"/>
      <c r="AZ191" s="289"/>
      <c r="BA191" s="289"/>
      <c r="BB191" s="289"/>
      <c r="BC191" s="289"/>
      <c r="BD191" s="294">
        <v>18000000</v>
      </c>
      <c r="BE191" s="294">
        <v>17310000</v>
      </c>
      <c r="BF191" s="294">
        <v>17310000</v>
      </c>
      <c r="BG191" s="289"/>
      <c r="BH191" s="289"/>
      <c r="BI191" s="289"/>
      <c r="BJ191" s="289"/>
      <c r="BK191" s="289"/>
      <c r="BL191" s="289"/>
      <c r="BM191" s="289"/>
      <c r="BN191" s="289"/>
      <c r="BO191" s="289"/>
      <c r="BP191" s="273">
        <f t="shared" si="52"/>
        <v>18000000</v>
      </c>
      <c r="BQ191" s="273">
        <f t="shared" ref="BQ191:BR193" si="53">+AA191+AD191+AG191+AJ191+AM191+AP191+AS191+AV191+AY191+BB191+BE191+BH191+BK191</f>
        <v>17310000</v>
      </c>
      <c r="BR191" s="273">
        <f t="shared" si="53"/>
        <v>17310000</v>
      </c>
      <c r="BS191" s="246" t="s">
        <v>1654</v>
      </c>
      <c r="BT191" s="233"/>
    </row>
    <row r="192" spans="1:72" s="27" customFormat="1" ht="131.25" customHeight="1" x14ac:dyDescent="0.2">
      <c r="A192" s="217">
        <v>316</v>
      </c>
      <c r="B192" s="216" t="s">
        <v>1627</v>
      </c>
      <c r="C192" s="213">
        <v>2</v>
      </c>
      <c r="D192" s="216" t="s">
        <v>1621</v>
      </c>
      <c r="E192" s="213">
        <v>36</v>
      </c>
      <c r="F192" s="310" t="s">
        <v>433</v>
      </c>
      <c r="G192" s="213">
        <v>3604</v>
      </c>
      <c r="H192" s="216" t="s">
        <v>932</v>
      </c>
      <c r="I192" s="213">
        <v>3604</v>
      </c>
      <c r="J192" s="216" t="s">
        <v>1601</v>
      </c>
      <c r="K192" s="216" t="s">
        <v>933</v>
      </c>
      <c r="L192" s="213">
        <v>3604006</v>
      </c>
      <c r="M192" s="216" t="s">
        <v>934</v>
      </c>
      <c r="N192" s="213">
        <v>3604006</v>
      </c>
      <c r="O192" s="216" t="s">
        <v>934</v>
      </c>
      <c r="P192" s="74">
        <v>360400600</v>
      </c>
      <c r="Q192" s="291" t="s">
        <v>330</v>
      </c>
      <c r="R192" s="74">
        <v>360400600</v>
      </c>
      <c r="S192" s="291" t="s">
        <v>330</v>
      </c>
      <c r="T192" s="236" t="s">
        <v>1673</v>
      </c>
      <c r="U192" s="339">
        <v>200</v>
      </c>
      <c r="V192" s="339">
        <v>200</v>
      </c>
      <c r="W192" s="236" t="s">
        <v>935</v>
      </c>
      <c r="X192" s="298" t="s">
        <v>936</v>
      </c>
      <c r="Y192" s="298" t="s">
        <v>937</v>
      </c>
      <c r="Z192" s="289"/>
      <c r="AA192" s="289"/>
      <c r="AB192" s="289"/>
      <c r="AC192" s="289"/>
      <c r="AD192" s="289"/>
      <c r="AE192" s="289"/>
      <c r="AF192" s="289"/>
      <c r="AG192" s="289"/>
      <c r="AH192" s="289"/>
      <c r="AI192" s="289"/>
      <c r="AJ192" s="289"/>
      <c r="AK192" s="289"/>
      <c r="AL192" s="289"/>
      <c r="AM192" s="289"/>
      <c r="AN192" s="289"/>
      <c r="AO192" s="289"/>
      <c r="AP192" s="289"/>
      <c r="AQ192" s="289"/>
      <c r="AR192" s="289"/>
      <c r="AS192" s="289"/>
      <c r="AT192" s="289"/>
      <c r="AU192" s="289"/>
      <c r="AV192" s="289"/>
      <c r="AW192" s="289"/>
      <c r="AX192" s="289"/>
      <c r="AY192" s="289"/>
      <c r="AZ192" s="289"/>
      <c r="BA192" s="289"/>
      <c r="BB192" s="289"/>
      <c r="BC192" s="289"/>
      <c r="BD192" s="294">
        <f>18000000+20195000</f>
        <v>38195000</v>
      </c>
      <c r="BE192" s="294">
        <v>37695000</v>
      </c>
      <c r="BF192" s="294">
        <v>37695000</v>
      </c>
      <c r="BG192" s="289"/>
      <c r="BH192" s="289"/>
      <c r="BI192" s="289"/>
      <c r="BJ192" s="289"/>
      <c r="BK192" s="289"/>
      <c r="BL192" s="289"/>
      <c r="BM192" s="289"/>
      <c r="BN192" s="289"/>
      <c r="BO192" s="289"/>
      <c r="BP192" s="273">
        <f t="shared" si="52"/>
        <v>38195000</v>
      </c>
      <c r="BQ192" s="273">
        <f t="shared" si="53"/>
        <v>37695000</v>
      </c>
      <c r="BR192" s="273">
        <f t="shared" si="53"/>
        <v>37695000</v>
      </c>
      <c r="BS192" s="246" t="s">
        <v>1654</v>
      </c>
      <c r="BT192" s="233"/>
    </row>
    <row r="193" spans="1:73" s="27" customFormat="1" ht="122.25" customHeight="1" x14ac:dyDescent="0.2">
      <c r="A193" s="217">
        <v>316</v>
      </c>
      <c r="B193" s="216" t="s">
        <v>1627</v>
      </c>
      <c r="C193" s="213">
        <v>4</v>
      </c>
      <c r="D193" s="216" t="s">
        <v>1612</v>
      </c>
      <c r="E193" s="213">
        <v>45</v>
      </c>
      <c r="F193" s="216" t="s">
        <v>938</v>
      </c>
      <c r="G193" s="213">
        <v>4502</v>
      </c>
      <c r="H193" s="216" t="s">
        <v>1566</v>
      </c>
      <c r="I193" s="213">
        <v>4502</v>
      </c>
      <c r="J193" s="216" t="s">
        <v>1567</v>
      </c>
      <c r="K193" s="216" t="s">
        <v>939</v>
      </c>
      <c r="L193" s="304">
        <v>4502001</v>
      </c>
      <c r="M193" s="216" t="s">
        <v>72</v>
      </c>
      <c r="N193" s="304">
        <v>4502001</v>
      </c>
      <c r="O193" s="216" t="s">
        <v>72</v>
      </c>
      <c r="P193" s="213" t="s">
        <v>41</v>
      </c>
      <c r="Q193" s="311" t="s">
        <v>940</v>
      </c>
      <c r="R193" s="304">
        <v>450200108</v>
      </c>
      <c r="S193" s="311" t="s">
        <v>941</v>
      </c>
      <c r="T193" s="236" t="s">
        <v>1673</v>
      </c>
      <c r="U193" s="76">
        <v>1</v>
      </c>
      <c r="V193" s="76">
        <v>1</v>
      </c>
      <c r="W193" s="236" t="s">
        <v>942</v>
      </c>
      <c r="X193" s="216" t="s">
        <v>943</v>
      </c>
      <c r="Y193" s="216" t="s">
        <v>944</v>
      </c>
      <c r="Z193" s="289"/>
      <c r="AA193" s="289"/>
      <c r="AB193" s="289"/>
      <c r="AC193" s="289"/>
      <c r="AD193" s="289"/>
      <c r="AE193" s="289"/>
      <c r="AF193" s="289"/>
      <c r="AG193" s="289"/>
      <c r="AH193" s="289"/>
      <c r="AI193" s="289"/>
      <c r="AJ193" s="289"/>
      <c r="AK193" s="289"/>
      <c r="AL193" s="289"/>
      <c r="AM193" s="289"/>
      <c r="AN193" s="289"/>
      <c r="AO193" s="289"/>
      <c r="AP193" s="289"/>
      <c r="AQ193" s="289"/>
      <c r="AR193" s="289"/>
      <c r="AS193" s="289"/>
      <c r="AT193" s="289"/>
      <c r="AU193" s="289"/>
      <c r="AV193" s="289"/>
      <c r="AW193" s="289"/>
      <c r="AX193" s="289"/>
      <c r="AY193" s="289"/>
      <c r="AZ193" s="289"/>
      <c r="BA193" s="289"/>
      <c r="BB193" s="289"/>
      <c r="BC193" s="289"/>
      <c r="BD193" s="294">
        <v>18000000</v>
      </c>
      <c r="BE193" s="294">
        <v>16863999</v>
      </c>
      <c r="BF193" s="294">
        <v>16863999</v>
      </c>
      <c r="BG193" s="289"/>
      <c r="BH193" s="289"/>
      <c r="BI193" s="289"/>
      <c r="BJ193" s="289"/>
      <c r="BK193" s="289"/>
      <c r="BL193" s="289"/>
      <c r="BM193" s="289"/>
      <c r="BN193" s="289"/>
      <c r="BO193" s="289"/>
      <c r="BP193" s="273">
        <f t="shared" si="52"/>
        <v>18000000</v>
      </c>
      <c r="BQ193" s="273">
        <f t="shared" si="53"/>
        <v>16863999</v>
      </c>
      <c r="BR193" s="273">
        <f t="shared" si="53"/>
        <v>16863999</v>
      </c>
      <c r="BS193" s="246" t="s">
        <v>1654</v>
      </c>
      <c r="BT193" s="233"/>
    </row>
    <row r="194" spans="1:73" s="27" customFormat="1" ht="224.25" customHeight="1" x14ac:dyDescent="0.2">
      <c r="A194" s="217">
        <v>316</v>
      </c>
      <c r="B194" s="216" t="s">
        <v>1627</v>
      </c>
      <c r="C194" s="213">
        <v>4</v>
      </c>
      <c r="D194" s="216" t="s">
        <v>1612</v>
      </c>
      <c r="E194" s="213">
        <v>45</v>
      </c>
      <c r="F194" s="216" t="s">
        <v>938</v>
      </c>
      <c r="G194" s="213">
        <v>4502</v>
      </c>
      <c r="H194" s="216" t="s">
        <v>1566</v>
      </c>
      <c r="I194" s="213">
        <v>4502</v>
      </c>
      <c r="J194" s="216" t="s">
        <v>1567</v>
      </c>
      <c r="K194" s="216" t="s">
        <v>945</v>
      </c>
      <c r="L194" s="213" t="s">
        <v>41</v>
      </c>
      <c r="M194" s="216" t="s">
        <v>946</v>
      </c>
      <c r="N194" s="299">
        <v>4502038</v>
      </c>
      <c r="O194" s="216" t="s">
        <v>947</v>
      </c>
      <c r="P194" s="213" t="s">
        <v>41</v>
      </c>
      <c r="Q194" s="311" t="s">
        <v>948</v>
      </c>
      <c r="R194" s="292">
        <v>450203800</v>
      </c>
      <c r="S194" s="311" t="s">
        <v>949</v>
      </c>
      <c r="T194" s="236" t="s">
        <v>1671</v>
      </c>
      <c r="U194" s="76">
        <v>1</v>
      </c>
      <c r="V194" s="76">
        <v>1</v>
      </c>
      <c r="W194" s="236" t="s">
        <v>950</v>
      </c>
      <c r="X194" s="216" t="s">
        <v>951</v>
      </c>
      <c r="Y194" s="216" t="s">
        <v>952</v>
      </c>
      <c r="Z194" s="289"/>
      <c r="AA194" s="289"/>
      <c r="AB194" s="289"/>
      <c r="AC194" s="289"/>
      <c r="AD194" s="289"/>
      <c r="AE194" s="289"/>
      <c r="AF194" s="289"/>
      <c r="AG194" s="289"/>
      <c r="AH194" s="289"/>
      <c r="AI194" s="289"/>
      <c r="AJ194" s="289"/>
      <c r="AK194" s="289"/>
      <c r="AL194" s="289"/>
      <c r="AM194" s="289"/>
      <c r="AN194" s="289"/>
      <c r="AO194" s="289"/>
      <c r="AP194" s="289"/>
      <c r="AQ194" s="289"/>
      <c r="AR194" s="289"/>
      <c r="AS194" s="289"/>
      <c r="AT194" s="289"/>
      <c r="AU194" s="289"/>
      <c r="AV194" s="289"/>
      <c r="AW194" s="289"/>
      <c r="AX194" s="289"/>
      <c r="AY194" s="289"/>
      <c r="AZ194" s="289"/>
      <c r="BA194" s="289"/>
      <c r="BB194" s="289"/>
      <c r="BC194" s="289"/>
      <c r="BD194" s="294">
        <f>95000000-18000000</f>
        <v>77000000</v>
      </c>
      <c r="BE194" s="294">
        <v>73301546</v>
      </c>
      <c r="BF194" s="294">
        <v>73301546</v>
      </c>
      <c r="BG194" s="289"/>
      <c r="BH194" s="289"/>
      <c r="BI194" s="289"/>
      <c r="BJ194" s="289"/>
      <c r="BK194" s="289"/>
      <c r="BL194" s="289"/>
      <c r="BM194" s="289"/>
      <c r="BN194" s="289"/>
      <c r="BO194" s="289"/>
      <c r="BP194" s="273">
        <f t="shared" si="52"/>
        <v>77000000</v>
      </c>
      <c r="BQ194" s="273">
        <f t="shared" ref="BQ194:BR197" si="54">+AA194+AD194+AG194+AJ194+AM194+AP194+AS194+AV194+AY194+BB194+BE194+BH194+BK194</f>
        <v>73301546</v>
      </c>
      <c r="BR194" s="273">
        <f t="shared" si="54"/>
        <v>73301546</v>
      </c>
      <c r="BS194" s="246" t="s">
        <v>1654</v>
      </c>
      <c r="BT194" s="233"/>
    </row>
    <row r="195" spans="1:73" s="27" customFormat="1" ht="216" customHeight="1" x14ac:dyDescent="0.2">
      <c r="A195" s="217">
        <v>316</v>
      </c>
      <c r="B195" s="216" t="s">
        <v>1627</v>
      </c>
      <c r="C195" s="213">
        <v>4</v>
      </c>
      <c r="D195" s="216" t="s">
        <v>1612</v>
      </c>
      <c r="E195" s="213">
        <v>45</v>
      </c>
      <c r="F195" s="216" t="s">
        <v>938</v>
      </c>
      <c r="G195" s="213">
        <v>4502</v>
      </c>
      <c r="H195" s="216" t="s">
        <v>1566</v>
      </c>
      <c r="I195" s="213">
        <v>4502</v>
      </c>
      <c r="J195" s="216" t="s">
        <v>1567</v>
      </c>
      <c r="K195" s="216" t="s">
        <v>953</v>
      </c>
      <c r="L195" s="213" t="s">
        <v>41</v>
      </c>
      <c r="M195" s="216" t="s">
        <v>954</v>
      </c>
      <c r="N195" s="299">
        <v>4502038</v>
      </c>
      <c r="O195" s="216" t="s">
        <v>947</v>
      </c>
      <c r="P195" s="213" t="s">
        <v>41</v>
      </c>
      <c r="Q195" s="311" t="s">
        <v>955</v>
      </c>
      <c r="R195" s="292">
        <v>450203800</v>
      </c>
      <c r="S195" s="311" t="s">
        <v>949</v>
      </c>
      <c r="T195" s="236" t="s">
        <v>1671</v>
      </c>
      <c r="U195" s="76">
        <v>1</v>
      </c>
      <c r="V195" s="76">
        <v>1</v>
      </c>
      <c r="W195" s="236" t="s">
        <v>956</v>
      </c>
      <c r="X195" s="216" t="s">
        <v>957</v>
      </c>
      <c r="Y195" s="216" t="s">
        <v>958</v>
      </c>
      <c r="Z195" s="289"/>
      <c r="AA195" s="289"/>
      <c r="AB195" s="289"/>
      <c r="AC195" s="289"/>
      <c r="AD195" s="289"/>
      <c r="AE195" s="289"/>
      <c r="AF195" s="289"/>
      <c r="AG195" s="289"/>
      <c r="AH195" s="289"/>
      <c r="AI195" s="289"/>
      <c r="AJ195" s="289"/>
      <c r="AK195" s="289"/>
      <c r="AL195" s="289"/>
      <c r="AM195" s="289"/>
      <c r="AN195" s="289"/>
      <c r="AO195" s="289"/>
      <c r="AP195" s="289"/>
      <c r="AQ195" s="289"/>
      <c r="AR195" s="289"/>
      <c r="AS195" s="289"/>
      <c r="AT195" s="289"/>
      <c r="AU195" s="289"/>
      <c r="AV195" s="289"/>
      <c r="AW195" s="289"/>
      <c r="AX195" s="289"/>
      <c r="AY195" s="289"/>
      <c r="AZ195" s="289"/>
      <c r="BA195" s="289"/>
      <c r="BB195" s="289"/>
      <c r="BC195" s="289"/>
      <c r="BD195" s="294">
        <v>90000000</v>
      </c>
      <c r="BE195" s="294">
        <v>87541000</v>
      </c>
      <c r="BF195" s="294">
        <v>87541000</v>
      </c>
      <c r="BG195" s="289"/>
      <c r="BH195" s="289"/>
      <c r="BI195" s="289"/>
      <c r="BJ195" s="289"/>
      <c r="BK195" s="289"/>
      <c r="BL195" s="289"/>
      <c r="BM195" s="289"/>
      <c r="BN195" s="289"/>
      <c r="BO195" s="289"/>
      <c r="BP195" s="273">
        <f t="shared" si="52"/>
        <v>90000000</v>
      </c>
      <c r="BQ195" s="273">
        <f t="shared" si="54"/>
        <v>87541000</v>
      </c>
      <c r="BR195" s="273">
        <f t="shared" si="54"/>
        <v>87541000</v>
      </c>
      <c r="BS195" s="246" t="s">
        <v>1654</v>
      </c>
      <c r="BT195" s="233"/>
    </row>
    <row r="196" spans="1:73" s="27" customFormat="1" ht="180" customHeight="1" x14ac:dyDescent="0.2">
      <c r="A196" s="217">
        <v>316</v>
      </c>
      <c r="B196" s="216" t="s">
        <v>1627</v>
      </c>
      <c r="C196" s="213">
        <v>4</v>
      </c>
      <c r="D196" s="216" t="s">
        <v>1612</v>
      </c>
      <c r="E196" s="213">
        <v>45</v>
      </c>
      <c r="F196" s="216" t="s">
        <v>938</v>
      </c>
      <c r="G196" s="213">
        <v>4502</v>
      </c>
      <c r="H196" s="216" t="s">
        <v>1566</v>
      </c>
      <c r="I196" s="213">
        <v>4502</v>
      </c>
      <c r="J196" s="216" t="s">
        <v>1567</v>
      </c>
      <c r="K196" s="216" t="s">
        <v>959</v>
      </c>
      <c r="L196" s="304">
        <v>4501024</v>
      </c>
      <c r="M196" s="216" t="s">
        <v>341</v>
      </c>
      <c r="N196" s="304">
        <v>4502024</v>
      </c>
      <c r="O196" s="216" t="s">
        <v>341</v>
      </c>
      <c r="P196" s="213" t="s">
        <v>41</v>
      </c>
      <c r="Q196" s="216" t="s">
        <v>960</v>
      </c>
      <c r="R196" s="304">
        <v>450202401</v>
      </c>
      <c r="S196" s="216" t="s">
        <v>961</v>
      </c>
      <c r="T196" s="236" t="s">
        <v>1671</v>
      </c>
      <c r="U196" s="76">
        <v>1</v>
      </c>
      <c r="V196" s="76">
        <v>1</v>
      </c>
      <c r="W196" s="236" t="s">
        <v>962</v>
      </c>
      <c r="X196" s="216" t="s">
        <v>963</v>
      </c>
      <c r="Y196" s="216" t="s">
        <v>964</v>
      </c>
      <c r="Z196" s="289">
        <v>0</v>
      </c>
      <c r="AA196" s="289"/>
      <c r="AB196" s="289"/>
      <c r="AC196" s="289">
        <v>0</v>
      </c>
      <c r="AD196" s="289"/>
      <c r="AE196" s="289"/>
      <c r="AF196" s="289">
        <v>0</v>
      </c>
      <c r="AG196" s="289"/>
      <c r="AH196" s="289"/>
      <c r="AI196" s="289">
        <v>0</v>
      </c>
      <c r="AJ196" s="289"/>
      <c r="AK196" s="289"/>
      <c r="AL196" s="289">
        <v>0</v>
      </c>
      <c r="AM196" s="289"/>
      <c r="AN196" s="289"/>
      <c r="AO196" s="289">
        <v>0</v>
      </c>
      <c r="AP196" s="289"/>
      <c r="AQ196" s="289"/>
      <c r="AR196" s="289">
        <v>0</v>
      </c>
      <c r="AS196" s="289"/>
      <c r="AT196" s="289"/>
      <c r="AU196" s="289">
        <v>0</v>
      </c>
      <c r="AV196" s="289"/>
      <c r="AW196" s="289"/>
      <c r="AX196" s="289">
        <v>0</v>
      </c>
      <c r="AY196" s="289"/>
      <c r="AZ196" s="289"/>
      <c r="BA196" s="289">
        <v>0</v>
      </c>
      <c r="BB196" s="289"/>
      <c r="BC196" s="289"/>
      <c r="BD196" s="294">
        <v>33000000</v>
      </c>
      <c r="BE196" s="294">
        <v>26280000</v>
      </c>
      <c r="BF196" s="294">
        <v>26280000</v>
      </c>
      <c r="BG196" s="289"/>
      <c r="BH196" s="289"/>
      <c r="BI196" s="289"/>
      <c r="BJ196" s="289"/>
      <c r="BK196" s="289"/>
      <c r="BL196" s="289"/>
      <c r="BM196" s="289"/>
      <c r="BN196" s="289"/>
      <c r="BO196" s="289"/>
      <c r="BP196" s="273">
        <f t="shared" ref="BP196:BP202" si="55">+Z196+AC196+AF196+AI196+AL196+AO196+AR196+AU196+AX196+BA196+BD196+BG196+BJ196</f>
        <v>33000000</v>
      </c>
      <c r="BQ196" s="273">
        <f t="shared" si="54"/>
        <v>26280000</v>
      </c>
      <c r="BR196" s="273">
        <f t="shared" si="54"/>
        <v>26280000</v>
      </c>
      <c r="BS196" s="246" t="s">
        <v>1654</v>
      </c>
      <c r="BT196" s="233"/>
    </row>
    <row r="197" spans="1:73" s="27" customFormat="1" ht="178.5" customHeight="1" x14ac:dyDescent="0.2">
      <c r="A197" s="217">
        <v>316</v>
      </c>
      <c r="B197" s="216" t="s">
        <v>1627</v>
      </c>
      <c r="C197" s="213">
        <v>4</v>
      </c>
      <c r="D197" s="216" t="s">
        <v>1612</v>
      </c>
      <c r="E197" s="213">
        <v>45</v>
      </c>
      <c r="F197" s="216" t="s">
        <v>938</v>
      </c>
      <c r="G197" s="213">
        <v>4502</v>
      </c>
      <c r="H197" s="216" t="s">
        <v>1566</v>
      </c>
      <c r="I197" s="213">
        <v>4502</v>
      </c>
      <c r="J197" s="216" t="s">
        <v>1567</v>
      </c>
      <c r="K197" s="216" t="s">
        <v>959</v>
      </c>
      <c r="L197" s="304">
        <v>4501024</v>
      </c>
      <c r="M197" s="216" t="s">
        <v>341</v>
      </c>
      <c r="N197" s="304">
        <v>4502024</v>
      </c>
      <c r="O197" s="216" t="s">
        <v>341</v>
      </c>
      <c r="P197" s="213" t="s">
        <v>41</v>
      </c>
      <c r="Q197" s="216" t="s">
        <v>965</v>
      </c>
      <c r="R197" s="304">
        <v>450202401</v>
      </c>
      <c r="S197" s="216" t="s">
        <v>961</v>
      </c>
      <c r="T197" s="236" t="s">
        <v>1671</v>
      </c>
      <c r="U197" s="76">
        <v>1</v>
      </c>
      <c r="V197" s="76">
        <v>0.9</v>
      </c>
      <c r="W197" s="236" t="s">
        <v>966</v>
      </c>
      <c r="X197" s="216" t="s">
        <v>967</v>
      </c>
      <c r="Y197" s="216" t="s">
        <v>968</v>
      </c>
      <c r="Z197" s="289"/>
      <c r="AA197" s="289"/>
      <c r="AB197" s="289"/>
      <c r="AC197" s="289"/>
      <c r="AD197" s="289"/>
      <c r="AE197" s="289"/>
      <c r="AF197" s="289"/>
      <c r="AG197" s="289"/>
      <c r="AH197" s="289"/>
      <c r="AI197" s="289"/>
      <c r="AJ197" s="289"/>
      <c r="AK197" s="289"/>
      <c r="AL197" s="289"/>
      <c r="AM197" s="289"/>
      <c r="AN197" s="289"/>
      <c r="AO197" s="289"/>
      <c r="AP197" s="289"/>
      <c r="AQ197" s="289"/>
      <c r="AR197" s="289"/>
      <c r="AS197" s="289"/>
      <c r="AT197" s="289"/>
      <c r="AU197" s="289"/>
      <c r="AV197" s="289"/>
      <c r="AW197" s="289"/>
      <c r="AX197" s="289"/>
      <c r="AY197" s="289"/>
      <c r="AZ197" s="289"/>
      <c r="BA197" s="289"/>
      <c r="BB197" s="289"/>
      <c r="BC197" s="289"/>
      <c r="BD197" s="371">
        <f>33000000+15000000</f>
        <v>48000000</v>
      </c>
      <c r="BE197" s="294">
        <v>34148219</v>
      </c>
      <c r="BF197" s="294">
        <v>34148219</v>
      </c>
      <c r="BG197" s="289"/>
      <c r="BH197" s="289"/>
      <c r="BI197" s="289"/>
      <c r="BJ197" s="289"/>
      <c r="BK197" s="289"/>
      <c r="BL197" s="289"/>
      <c r="BM197" s="289"/>
      <c r="BN197" s="289"/>
      <c r="BO197" s="289"/>
      <c r="BP197" s="273">
        <f t="shared" si="55"/>
        <v>48000000</v>
      </c>
      <c r="BQ197" s="273">
        <f t="shared" si="54"/>
        <v>34148219</v>
      </c>
      <c r="BR197" s="273">
        <f t="shared" si="54"/>
        <v>34148219</v>
      </c>
      <c r="BS197" s="246" t="s">
        <v>1654</v>
      </c>
      <c r="BT197" s="233"/>
    </row>
    <row r="198" spans="1:73" s="27" customFormat="1" ht="207" customHeight="1" x14ac:dyDescent="0.2">
      <c r="A198" s="217">
        <v>316</v>
      </c>
      <c r="B198" s="216" t="s">
        <v>1627</v>
      </c>
      <c r="C198" s="213">
        <v>4</v>
      </c>
      <c r="D198" s="216" t="s">
        <v>1612</v>
      </c>
      <c r="E198" s="213">
        <v>45</v>
      </c>
      <c r="F198" s="216" t="s">
        <v>938</v>
      </c>
      <c r="G198" s="213" t="s">
        <v>41</v>
      </c>
      <c r="H198" s="216" t="s">
        <v>1570</v>
      </c>
      <c r="I198" s="213">
        <v>4599</v>
      </c>
      <c r="J198" s="216" t="s">
        <v>1571</v>
      </c>
      <c r="K198" s="216" t="s">
        <v>969</v>
      </c>
      <c r="L198" s="213" t="s">
        <v>41</v>
      </c>
      <c r="M198" s="298" t="s">
        <v>970</v>
      </c>
      <c r="N198" s="350" t="s">
        <v>971</v>
      </c>
      <c r="O198" s="298" t="s">
        <v>356</v>
      </c>
      <c r="P198" s="213" t="s">
        <v>41</v>
      </c>
      <c r="Q198" s="348" t="s">
        <v>972</v>
      </c>
      <c r="R198" s="350" t="s">
        <v>973</v>
      </c>
      <c r="S198" s="348" t="s">
        <v>974</v>
      </c>
      <c r="T198" s="236" t="s">
        <v>1671</v>
      </c>
      <c r="U198" s="76">
        <v>1</v>
      </c>
      <c r="V198" s="76">
        <v>0.7</v>
      </c>
      <c r="W198" s="236" t="s">
        <v>975</v>
      </c>
      <c r="X198" s="298" t="s">
        <v>1485</v>
      </c>
      <c r="Y198" s="216" t="s">
        <v>1486</v>
      </c>
      <c r="Z198" s="289"/>
      <c r="AA198" s="289"/>
      <c r="AB198" s="289"/>
      <c r="AC198" s="289"/>
      <c r="AD198" s="289"/>
      <c r="AE198" s="289"/>
      <c r="AF198" s="289"/>
      <c r="AG198" s="289"/>
      <c r="AH198" s="289"/>
      <c r="AI198" s="289"/>
      <c r="AJ198" s="289"/>
      <c r="AK198" s="289"/>
      <c r="AL198" s="289"/>
      <c r="AM198" s="289"/>
      <c r="AN198" s="289"/>
      <c r="AO198" s="289"/>
      <c r="AP198" s="289"/>
      <c r="AQ198" s="289"/>
      <c r="AR198" s="289"/>
      <c r="AS198" s="289"/>
      <c r="AT198" s="289"/>
      <c r="AU198" s="289"/>
      <c r="AV198" s="289"/>
      <c r="AW198" s="289"/>
      <c r="AX198" s="289"/>
      <c r="AY198" s="289"/>
      <c r="AZ198" s="289"/>
      <c r="BA198" s="289"/>
      <c r="BB198" s="289"/>
      <c r="BC198" s="289"/>
      <c r="BD198" s="294">
        <v>50000000</v>
      </c>
      <c r="BE198" s="294">
        <v>32713510</v>
      </c>
      <c r="BF198" s="294">
        <v>32713510</v>
      </c>
      <c r="BG198" s="289"/>
      <c r="BH198" s="289"/>
      <c r="BI198" s="289"/>
      <c r="BJ198" s="289"/>
      <c r="BK198" s="289"/>
      <c r="BL198" s="289"/>
      <c r="BM198" s="289"/>
      <c r="BN198" s="289"/>
      <c r="BO198" s="289"/>
      <c r="BP198" s="273">
        <f t="shared" si="55"/>
        <v>50000000</v>
      </c>
      <c r="BQ198" s="273">
        <f t="shared" ref="BQ198:BR200" si="56">+AA198+AD198+AG198+AJ198+AM198+AP198+AS198+AV198+AY198+BB198+BE198+BH198+BK198</f>
        <v>32713510</v>
      </c>
      <c r="BR198" s="273">
        <f t="shared" si="56"/>
        <v>32713510</v>
      </c>
      <c r="BS198" s="246" t="s">
        <v>1654</v>
      </c>
      <c r="BT198" s="233"/>
    </row>
    <row r="199" spans="1:73" s="27" customFormat="1" ht="237" customHeight="1" x14ac:dyDescent="0.2">
      <c r="A199" s="217">
        <v>316</v>
      </c>
      <c r="B199" s="216" t="s">
        <v>1627</v>
      </c>
      <c r="C199" s="213">
        <v>4</v>
      </c>
      <c r="D199" s="216" t="s">
        <v>1612</v>
      </c>
      <c r="E199" s="213">
        <v>45</v>
      </c>
      <c r="F199" s="216" t="s">
        <v>938</v>
      </c>
      <c r="G199" s="213" t="s">
        <v>41</v>
      </c>
      <c r="H199" s="216" t="s">
        <v>1570</v>
      </c>
      <c r="I199" s="213">
        <v>4599</v>
      </c>
      <c r="J199" s="216" t="s">
        <v>1571</v>
      </c>
      <c r="K199" s="216" t="s">
        <v>945</v>
      </c>
      <c r="L199" s="213" t="s">
        <v>41</v>
      </c>
      <c r="M199" s="216" t="s">
        <v>976</v>
      </c>
      <c r="N199" s="350" t="s">
        <v>971</v>
      </c>
      <c r="O199" s="298" t="s">
        <v>356</v>
      </c>
      <c r="P199" s="213" t="s">
        <v>41</v>
      </c>
      <c r="Q199" s="311" t="s">
        <v>977</v>
      </c>
      <c r="R199" s="350" t="s">
        <v>973</v>
      </c>
      <c r="S199" s="348" t="s">
        <v>974</v>
      </c>
      <c r="T199" s="236" t="s">
        <v>1671</v>
      </c>
      <c r="U199" s="76">
        <v>1</v>
      </c>
      <c r="V199" s="76">
        <v>1</v>
      </c>
      <c r="W199" s="236" t="s">
        <v>978</v>
      </c>
      <c r="X199" s="216" t="s">
        <v>979</v>
      </c>
      <c r="Y199" s="216" t="s">
        <v>952</v>
      </c>
      <c r="Z199" s="289"/>
      <c r="AA199" s="289"/>
      <c r="AB199" s="289"/>
      <c r="AC199" s="289"/>
      <c r="AD199" s="289"/>
      <c r="AE199" s="289"/>
      <c r="AF199" s="289"/>
      <c r="AG199" s="289"/>
      <c r="AH199" s="289"/>
      <c r="AI199" s="289"/>
      <c r="AJ199" s="289"/>
      <c r="AK199" s="289"/>
      <c r="AL199" s="289"/>
      <c r="AM199" s="289"/>
      <c r="AN199" s="289"/>
      <c r="AO199" s="289"/>
      <c r="AP199" s="289"/>
      <c r="AQ199" s="289"/>
      <c r="AR199" s="289"/>
      <c r="AS199" s="289"/>
      <c r="AT199" s="289"/>
      <c r="AU199" s="289"/>
      <c r="AV199" s="289"/>
      <c r="AW199" s="289"/>
      <c r="AX199" s="289"/>
      <c r="AY199" s="289"/>
      <c r="AZ199" s="289"/>
      <c r="BA199" s="289"/>
      <c r="BB199" s="289"/>
      <c r="BC199" s="289"/>
      <c r="BD199" s="294">
        <f>95000000-36000000-41000000</f>
        <v>18000000</v>
      </c>
      <c r="BE199" s="294">
        <v>18000000</v>
      </c>
      <c r="BF199" s="294">
        <v>18000000</v>
      </c>
      <c r="BG199" s="289"/>
      <c r="BH199" s="289"/>
      <c r="BI199" s="289"/>
      <c r="BJ199" s="289"/>
      <c r="BK199" s="289"/>
      <c r="BL199" s="289"/>
      <c r="BM199" s="289"/>
      <c r="BN199" s="289"/>
      <c r="BO199" s="289"/>
      <c r="BP199" s="273">
        <f t="shared" si="55"/>
        <v>18000000</v>
      </c>
      <c r="BQ199" s="273">
        <f t="shared" si="56"/>
        <v>18000000</v>
      </c>
      <c r="BR199" s="273">
        <f t="shared" si="56"/>
        <v>18000000</v>
      </c>
      <c r="BS199" s="246" t="s">
        <v>1654</v>
      </c>
      <c r="BT199" s="233"/>
    </row>
    <row r="200" spans="1:73" s="27" customFormat="1" ht="189" customHeight="1" x14ac:dyDescent="0.2">
      <c r="A200" s="217">
        <v>316</v>
      </c>
      <c r="B200" s="216" t="s">
        <v>1627</v>
      </c>
      <c r="C200" s="213">
        <v>4</v>
      </c>
      <c r="D200" s="216" t="s">
        <v>1612</v>
      </c>
      <c r="E200" s="213">
        <v>45</v>
      </c>
      <c r="F200" s="216" t="s">
        <v>938</v>
      </c>
      <c r="G200" s="213" t="s">
        <v>41</v>
      </c>
      <c r="H200" s="216" t="s">
        <v>1570</v>
      </c>
      <c r="I200" s="213">
        <v>4599</v>
      </c>
      <c r="J200" s="216" t="s">
        <v>1571</v>
      </c>
      <c r="K200" s="216" t="s">
        <v>980</v>
      </c>
      <c r="L200" s="213" t="s">
        <v>41</v>
      </c>
      <c r="M200" s="298" t="s">
        <v>981</v>
      </c>
      <c r="N200" s="350" t="s">
        <v>971</v>
      </c>
      <c r="O200" s="298" t="s">
        <v>356</v>
      </c>
      <c r="P200" s="213" t="s">
        <v>41</v>
      </c>
      <c r="Q200" s="311" t="s">
        <v>982</v>
      </c>
      <c r="R200" s="350" t="s">
        <v>973</v>
      </c>
      <c r="S200" s="348" t="s">
        <v>974</v>
      </c>
      <c r="T200" s="236" t="s">
        <v>1671</v>
      </c>
      <c r="U200" s="76">
        <v>1</v>
      </c>
      <c r="V200" s="76">
        <v>1</v>
      </c>
      <c r="W200" s="236" t="s">
        <v>983</v>
      </c>
      <c r="X200" s="216" t="s">
        <v>984</v>
      </c>
      <c r="Y200" s="216" t="s">
        <v>985</v>
      </c>
      <c r="Z200" s="289"/>
      <c r="AA200" s="289"/>
      <c r="AB200" s="289"/>
      <c r="AC200" s="289"/>
      <c r="AD200" s="289"/>
      <c r="AE200" s="289"/>
      <c r="AF200" s="289"/>
      <c r="AG200" s="289"/>
      <c r="AH200" s="289"/>
      <c r="AI200" s="289"/>
      <c r="AJ200" s="289"/>
      <c r="AK200" s="289"/>
      <c r="AL200" s="289"/>
      <c r="AM200" s="289"/>
      <c r="AN200" s="289"/>
      <c r="AO200" s="289"/>
      <c r="AP200" s="289"/>
      <c r="AQ200" s="289"/>
      <c r="AR200" s="289"/>
      <c r="AS200" s="289"/>
      <c r="AT200" s="289"/>
      <c r="AU200" s="289"/>
      <c r="AV200" s="289"/>
      <c r="AW200" s="289"/>
      <c r="AX200" s="289"/>
      <c r="AY200" s="289"/>
      <c r="AZ200" s="289"/>
      <c r="BA200" s="289"/>
      <c r="BB200" s="289"/>
      <c r="BC200" s="289"/>
      <c r="BD200" s="294">
        <f>36000000+109894503-2800000</f>
        <v>143094503</v>
      </c>
      <c r="BE200" s="294">
        <v>121765134</v>
      </c>
      <c r="BF200" s="294">
        <v>121765134</v>
      </c>
      <c r="BG200" s="289"/>
      <c r="BH200" s="289"/>
      <c r="BI200" s="289"/>
      <c r="BJ200" s="289"/>
      <c r="BK200" s="289"/>
      <c r="BL200" s="289"/>
      <c r="BM200" s="289"/>
      <c r="BN200" s="289"/>
      <c r="BO200" s="289"/>
      <c r="BP200" s="273">
        <f t="shared" si="55"/>
        <v>143094503</v>
      </c>
      <c r="BQ200" s="273">
        <f t="shared" si="56"/>
        <v>121765134</v>
      </c>
      <c r="BR200" s="273">
        <f t="shared" si="56"/>
        <v>121765134</v>
      </c>
      <c r="BS200" s="246" t="s">
        <v>1654</v>
      </c>
      <c r="BT200" s="233"/>
    </row>
    <row r="201" spans="1:73" s="27" customFormat="1" ht="108" customHeight="1" x14ac:dyDescent="0.2">
      <c r="A201" s="217">
        <v>318</v>
      </c>
      <c r="B201" s="310" t="s">
        <v>1628</v>
      </c>
      <c r="C201" s="213">
        <v>1</v>
      </c>
      <c r="D201" s="287" t="s">
        <v>1614</v>
      </c>
      <c r="E201" s="213">
        <v>19</v>
      </c>
      <c r="F201" s="216" t="s">
        <v>147</v>
      </c>
      <c r="G201" s="213">
        <v>1903</v>
      </c>
      <c r="H201" s="216" t="s">
        <v>1584</v>
      </c>
      <c r="I201" s="213">
        <v>1903</v>
      </c>
      <c r="J201" s="216" t="s">
        <v>1585</v>
      </c>
      <c r="K201" s="216" t="s">
        <v>988</v>
      </c>
      <c r="L201" s="213">
        <v>1903009</v>
      </c>
      <c r="M201" s="216" t="s">
        <v>989</v>
      </c>
      <c r="N201" s="213">
        <v>1903009</v>
      </c>
      <c r="O201" s="216" t="s">
        <v>990</v>
      </c>
      <c r="P201" s="292">
        <v>190300900</v>
      </c>
      <c r="Q201" s="311" t="s">
        <v>991</v>
      </c>
      <c r="R201" s="292">
        <v>190300900</v>
      </c>
      <c r="S201" s="311" t="s">
        <v>1510</v>
      </c>
      <c r="T201" s="236" t="s">
        <v>1673</v>
      </c>
      <c r="U201" s="76">
        <f>600+28</f>
        <v>628</v>
      </c>
      <c r="V201" s="76">
        <v>838</v>
      </c>
      <c r="W201" s="236" t="s">
        <v>992</v>
      </c>
      <c r="X201" s="216" t="s">
        <v>993</v>
      </c>
      <c r="Y201" s="216" t="s">
        <v>994</v>
      </c>
      <c r="Z201" s="289"/>
      <c r="AA201" s="289"/>
      <c r="AB201" s="289"/>
      <c r="AC201" s="289"/>
      <c r="AD201" s="289"/>
      <c r="AE201" s="289"/>
      <c r="AF201" s="289"/>
      <c r="AG201" s="289"/>
      <c r="AH201" s="289"/>
      <c r="AI201" s="289"/>
      <c r="AJ201" s="289"/>
      <c r="AK201" s="289"/>
      <c r="AL201" s="289">
        <v>65489500</v>
      </c>
      <c r="AM201" s="125">
        <v>47104832</v>
      </c>
      <c r="AN201" s="125">
        <v>47104832</v>
      </c>
      <c r="AO201" s="289"/>
      <c r="AP201" s="289"/>
      <c r="AQ201" s="289"/>
      <c r="AR201" s="289"/>
      <c r="AS201" s="289"/>
      <c r="AT201" s="289"/>
      <c r="AU201" s="289"/>
      <c r="AV201" s="289"/>
      <c r="AW201" s="289"/>
      <c r="AX201" s="289"/>
      <c r="AY201" s="289"/>
      <c r="AZ201" s="289"/>
      <c r="BA201" s="289"/>
      <c r="BB201" s="289"/>
      <c r="BC201" s="289"/>
      <c r="BD201" s="294">
        <f>40000000-40000000</f>
        <v>0</v>
      </c>
      <c r="BE201" s="294"/>
      <c r="BF201" s="294"/>
      <c r="BG201" s="289"/>
      <c r="BH201" s="289"/>
      <c r="BI201" s="289"/>
      <c r="BJ201" s="289"/>
      <c r="BK201" s="289"/>
      <c r="BL201" s="289"/>
      <c r="BM201" s="289"/>
      <c r="BN201" s="289"/>
      <c r="BO201" s="289"/>
      <c r="BP201" s="273">
        <f>+Z201+AC201+AF201+AI201+AL201+AO201+AR201+AU201+AX201+BA201+BD201+BG201+BJ201</f>
        <v>65489500</v>
      </c>
      <c r="BQ201" s="273">
        <f t="shared" ref="BQ201:BQ222" si="57">+AA201+AD201+AG201+AJ201+AM201+AP201+AS201+AV201+AY201+BB201+BE201+BH201+BK201</f>
        <v>47104832</v>
      </c>
      <c r="BR201" s="273">
        <f>+AB201+AE201+AH201+AK201+AN201+AQ201+AT201+AW201+AZ201+BC201+BF201+BI201+BL201</f>
        <v>47104832</v>
      </c>
      <c r="BS201" s="246" t="s">
        <v>1655</v>
      </c>
      <c r="BT201" s="233"/>
      <c r="BU201" s="559"/>
    </row>
    <row r="202" spans="1:73" s="27" customFormat="1" ht="85.5" customHeight="1" x14ac:dyDescent="0.2">
      <c r="A202" s="217">
        <v>318</v>
      </c>
      <c r="B202" s="310" t="s">
        <v>1628</v>
      </c>
      <c r="C202" s="213">
        <v>1</v>
      </c>
      <c r="D202" s="287" t="s">
        <v>1614</v>
      </c>
      <c r="E202" s="213">
        <v>19</v>
      </c>
      <c r="F202" s="216" t="s">
        <v>147</v>
      </c>
      <c r="G202" s="213">
        <v>1903</v>
      </c>
      <c r="H202" s="216" t="s">
        <v>1584</v>
      </c>
      <c r="I202" s="213">
        <v>1903</v>
      </c>
      <c r="J202" s="216" t="s">
        <v>1585</v>
      </c>
      <c r="K202" s="216" t="s">
        <v>995</v>
      </c>
      <c r="L202" s="213">
        <v>1903031</v>
      </c>
      <c r="M202" s="216" t="s">
        <v>989</v>
      </c>
      <c r="N202" s="213">
        <v>1903031</v>
      </c>
      <c r="O202" s="216" t="s">
        <v>996</v>
      </c>
      <c r="P202" s="292">
        <v>190303100</v>
      </c>
      <c r="Q202" s="311" t="s">
        <v>997</v>
      </c>
      <c r="R202" s="292">
        <v>190303100</v>
      </c>
      <c r="S202" s="311" t="s">
        <v>997</v>
      </c>
      <c r="T202" s="236" t="s">
        <v>1671</v>
      </c>
      <c r="U202" s="76">
        <v>12</v>
      </c>
      <c r="V202" s="76">
        <v>12</v>
      </c>
      <c r="W202" s="236" t="s">
        <v>992</v>
      </c>
      <c r="X202" s="216" t="s">
        <v>993</v>
      </c>
      <c r="Y202" s="216" t="s">
        <v>994</v>
      </c>
      <c r="Z202" s="289"/>
      <c r="AA202" s="289"/>
      <c r="AB202" s="289"/>
      <c r="AC202" s="289"/>
      <c r="AD202" s="289"/>
      <c r="AE202" s="289"/>
      <c r="AF202" s="289"/>
      <c r="AG202" s="289"/>
      <c r="AH202" s="289"/>
      <c r="AI202" s="289"/>
      <c r="AJ202" s="289"/>
      <c r="AK202" s="289"/>
      <c r="AL202" s="322">
        <v>74000000</v>
      </c>
      <c r="AM202" s="322">
        <v>61782500</v>
      </c>
      <c r="AN202" s="322">
        <v>61782500</v>
      </c>
      <c r="AO202" s="289"/>
      <c r="AP202" s="289"/>
      <c r="AQ202" s="289"/>
      <c r="AR202" s="289"/>
      <c r="AS202" s="289"/>
      <c r="AT202" s="289"/>
      <c r="AU202" s="289"/>
      <c r="AV202" s="289"/>
      <c r="AW202" s="289"/>
      <c r="AX202" s="289"/>
      <c r="AY202" s="289"/>
      <c r="AZ202" s="289"/>
      <c r="BA202" s="289"/>
      <c r="BB202" s="289"/>
      <c r="BC202" s="289"/>
      <c r="BD202" s="294"/>
      <c r="BE202" s="294"/>
      <c r="BF202" s="294"/>
      <c r="BG202" s="289"/>
      <c r="BH202" s="289"/>
      <c r="BI202" s="289"/>
      <c r="BJ202" s="289"/>
      <c r="BK202" s="289"/>
      <c r="BL202" s="289"/>
      <c r="BM202" s="289"/>
      <c r="BN202" s="289"/>
      <c r="BO202" s="289"/>
      <c r="BP202" s="273">
        <f t="shared" si="55"/>
        <v>74000000</v>
      </c>
      <c r="BQ202" s="273">
        <f t="shared" si="57"/>
        <v>61782500</v>
      </c>
      <c r="BR202" s="273">
        <f t="shared" ref="BR202:BR222" si="58">+AB202+AE202+AH202+AK202+AN202+AQ202+AT202+AW202+AZ202+BC202+BF202+BI202+BL202</f>
        <v>61782500</v>
      </c>
      <c r="BS202" s="246" t="s">
        <v>1655</v>
      </c>
      <c r="BT202" s="233"/>
    </row>
    <row r="203" spans="1:73" s="27" customFormat="1" ht="83.25" customHeight="1" x14ac:dyDescent="0.2">
      <c r="A203" s="217">
        <v>318</v>
      </c>
      <c r="B203" s="310" t="s">
        <v>1628</v>
      </c>
      <c r="C203" s="213">
        <v>1</v>
      </c>
      <c r="D203" s="287" t="s">
        <v>1614</v>
      </c>
      <c r="E203" s="213">
        <v>19</v>
      </c>
      <c r="F203" s="216" t="s">
        <v>147</v>
      </c>
      <c r="G203" s="213">
        <v>1903</v>
      </c>
      <c r="H203" s="216" t="s">
        <v>1584</v>
      </c>
      <c r="I203" s="213">
        <v>1903</v>
      </c>
      <c r="J203" s="216" t="s">
        <v>1585</v>
      </c>
      <c r="K203" s="216" t="s">
        <v>998</v>
      </c>
      <c r="L203" s="213">
        <v>1903023</v>
      </c>
      <c r="M203" s="216" t="s">
        <v>989</v>
      </c>
      <c r="N203" s="213">
        <v>1903023</v>
      </c>
      <c r="O203" s="216" t="s">
        <v>999</v>
      </c>
      <c r="P203" s="292">
        <v>190302300</v>
      </c>
      <c r="Q203" s="216" t="s">
        <v>1000</v>
      </c>
      <c r="R203" s="292">
        <v>190302300</v>
      </c>
      <c r="S203" s="216" t="s">
        <v>1000</v>
      </c>
      <c r="T203" s="236" t="s">
        <v>1671</v>
      </c>
      <c r="U203" s="76">
        <v>12</v>
      </c>
      <c r="V203" s="76">
        <v>11</v>
      </c>
      <c r="W203" s="236" t="s">
        <v>992</v>
      </c>
      <c r="X203" s="216" t="s">
        <v>993</v>
      </c>
      <c r="Y203" s="216" t="s">
        <v>994</v>
      </c>
      <c r="Z203" s="289"/>
      <c r="AA203" s="289"/>
      <c r="AB203" s="289"/>
      <c r="AC203" s="289"/>
      <c r="AD203" s="289"/>
      <c r="AE203" s="289"/>
      <c r="AF203" s="289"/>
      <c r="AG203" s="289"/>
      <c r="AH203" s="289"/>
      <c r="AI203" s="289"/>
      <c r="AJ203" s="289"/>
      <c r="AK203" s="289"/>
      <c r="AL203" s="322">
        <v>25676500</v>
      </c>
      <c r="AM203" s="289">
        <v>25676500</v>
      </c>
      <c r="AN203" s="289">
        <v>25676500</v>
      </c>
      <c r="AO203" s="289"/>
      <c r="AP203" s="289"/>
      <c r="AQ203" s="289"/>
      <c r="AR203" s="289"/>
      <c r="AS203" s="289"/>
      <c r="AT203" s="289"/>
      <c r="AU203" s="289"/>
      <c r="AV203" s="289"/>
      <c r="AW203" s="289"/>
      <c r="AX203" s="289"/>
      <c r="AY203" s="289"/>
      <c r="AZ203" s="289"/>
      <c r="BA203" s="289"/>
      <c r="BB203" s="289"/>
      <c r="BC203" s="289"/>
      <c r="BD203" s="351"/>
      <c r="BE203" s="351"/>
      <c r="BF203" s="351"/>
      <c r="BG203" s="289"/>
      <c r="BH203" s="289"/>
      <c r="BI203" s="289"/>
      <c r="BJ203" s="289"/>
      <c r="BK203" s="289"/>
      <c r="BL203" s="289"/>
      <c r="BM203" s="289"/>
      <c r="BN203" s="289"/>
      <c r="BO203" s="289"/>
      <c r="BP203" s="273">
        <f t="shared" ref="BP203:BP256" si="59">+Z203+AC203+AF203+AI203+AL203+AO203+AR203+AU203+AX203+BA203+BD203+BG203+BJ203</f>
        <v>25676500</v>
      </c>
      <c r="BQ203" s="273">
        <f t="shared" si="57"/>
        <v>25676500</v>
      </c>
      <c r="BR203" s="273">
        <f t="shared" si="58"/>
        <v>25676500</v>
      </c>
      <c r="BS203" s="246" t="s">
        <v>1655</v>
      </c>
      <c r="BT203" s="233"/>
    </row>
    <row r="204" spans="1:73" s="27" customFormat="1" ht="175.5" customHeight="1" x14ac:dyDescent="0.2">
      <c r="A204" s="217">
        <v>318</v>
      </c>
      <c r="B204" s="310" t="s">
        <v>1628</v>
      </c>
      <c r="C204" s="213">
        <v>1</v>
      </c>
      <c r="D204" s="287" t="s">
        <v>1614</v>
      </c>
      <c r="E204" s="213">
        <v>19</v>
      </c>
      <c r="F204" s="216" t="s">
        <v>147</v>
      </c>
      <c r="G204" s="213">
        <v>1903</v>
      </c>
      <c r="H204" s="216" t="s">
        <v>1584</v>
      </c>
      <c r="I204" s="213">
        <v>1903</v>
      </c>
      <c r="J204" s="216" t="s">
        <v>1585</v>
      </c>
      <c r="K204" s="216" t="s">
        <v>1001</v>
      </c>
      <c r="L204" s="213" t="s">
        <v>41</v>
      </c>
      <c r="M204" s="216" t="s">
        <v>989</v>
      </c>
      <c r="N204" s="213">
        <v>1903050</v>
      </c>
      <c r="O204" s="216" t="s">
        <v>1002</v>
      </c>
      <c r="P204" s="213" t="s">
        <v>41</v>
      </c>
      <c r="Q204" s="311" t="s">
        <v>1003</v>
      </c>
      <c r="R204" s="292">
        <v>190305000</v>
      </c>
      <c r="S204" s="311" t="s">
        <v>1004</v>
      </c>
      <c r="T204" s="236" t="s">
        <v>1671</v>
      </c>
      <c r="U204" s="76">
        <v>12</v>
      </c>
      <c r="V204" s="76">
        <v>12</v>
      </c>
      <c r="W204" s="236" t="s">
        <v>992</v>
      </c>
      <c r="X204" s="216" t="s">
        <v>993</v>
      </c>
      <c r="Y204" s="216" t="s">
        <v>994</v>
      </c>
      <c r="Z204" s="289"/>
      <c r="AA204" s="289"/>
      <c r="AB204" s="289"/>
      <c r="AC204" s="289"/>
      <c r="AD204" s="289"/>
      <c r="AE204" s="289"/>
      <c r="AF204" s="289"/>
      <c r="AG204" s="289"/>
      <c r="AH204" s="289"/>
      <c r="AI204" s="289"/>
      <c r="AJ204" s="289"/>
      <c r="AK204" s="289"/>
      <c r="AL204" s="289">
        <v>27216500</v>
      </c>
      <c r="AM204" s="125">
        <v>24523833</v>
      </c>
      <c r="AN204" s="125">
        <v>24523833</v>
      </c>
      <c r="AO204" s="352"/>
      <c r="AP204" s="352"/>
      <c r="AQ204" s="352"/>
      <c r="AR204" s="289"/>
      <c r="AS204" s="289"/>
      <c r="AT204" s="289"/>
      <c r="AU204" s="289"/>
      <c r="AV204" s="289"/>
      <c r="AW204" s="289"/>
      <c r="AX204" s="289"/>
      <c r="AY204" s="289"/>
      <c r="AZ204" s="289"/>
      <c r="BA204" s="289"/>
      <c r="BB204" s="289"/>
      <c r="BC204" s="289"/>
      <c r="BD204" s="351"/>
      <c r="BE204" s="351"/>
      <c r="BF204" s="351"/>
      <c r="BG204" s="289"/>
      <c r="BH204" s="289"/>
      <c r="BI204" s="289"/>
      <c r="BJ204" s="289"/>
      <c r="BK204" s="289"/>
      <c r="BL204" s="289"/>
      <c r="BM204" s="289"/>
      <c r="BN204" s="289"/>
      <c r="BO204" s="289"/>
      <c r="BP204" s="273">
        <f>+Z204+AC204+AF204+AI204+AL204+AO204+AR204+AU204+AX204+BA204+BD204+BG204+BJ204</f>
        <v>27216500</v>
      </c>
      <c r="BQ204" s="273">
        <f t="shared" si="57"/>
        <v>24523833</v>
      </c>
      <c r="BR204" s="273">
        <f t="shared" si="58"/>
        <v>24523833</v>
      </c>
      <c r="BS204" s="246" t="s">
        <v>1655</v>
      </c>
      <c r="BT204" s="233"/>
    </row>
    <row r="205" spans="1:73" s="27" customFormat="1" ht="144" customHeight="1" x14ac:dyDescent="0.2">
      <c r="A205" s="217">
        <v>318</v>
      </c>
      <c r="B205" s="310" t="s">
        <v>1628</v>
      </c>
      <c r="C205" s="213">
        <v>1</v>
      </c>
      <c r="D205" s="287" t="s">
        <v>1614</v>
      </c>
      <c r="E205" s="213">
        <v>19</v>
      </c>
      <c r="F205" s="216" t="s">
        <v>147</v>
      </c>
      <c r="G205" s="213">
        <v>1903</v>
      </c>
      <c r="H205" s="216" t="s">
        <v>1584</v>
      </c>
      <c r="I205" s="213">
        <v>1903</v>
      </c>
      <c r="J205" s="216" t="s">
        <v>1585</v>
      </c>
      <c r="K205" s="216" t="s">
        <v>988</v>
      </c>
      <c r="L205" s="213" t="s">
        <v>41</v>
      </c>
      <c r="M205" s="216" t="s">
        <v>989</v>
      </c>
      <c r="N205" s="213">
        <v>1903038</v>
      </c>
      <c r="O205" s="216" t="s">
        <v>1005</v>
      </c>
      <c r="P205" s="213" t="s">
        <v>41</v>
      </c>
      <c r="Q205" s="216" t="s">
        <v>1006</v>
      </c>
      <c r="R205" s="213">
        <v>190303801</v>
      </c>
      <c r="S205" s="216" t="s">
        <v>1007</v>
      </c>
      <c r="T205" s="236" t="s">
        <v>1671</v>
      </c>
      <c r="U205" s="213">
        <v>1</v>
      </c>
      <c r="V205" s="213">
        <v>1</v>
      </c>
      <c r="W205" s="236" t="s">
        <v>992</v>
      </c>
      <c r="X205" s="216" t="s">
        <v>993</v>
      </c>
      <c r="Y205" s="216" t="s">
        <v>994</v>
      </c>
      <c r="Z205" s="289"/>
      <c r="AA205" s="289"/>
      <c r="AB205" s="289"/>
      <c r="AC205" s="289"/>
      <c r="AD205" s="289"/>
      <c r="AE205" s="289"/>
      <c r="AF205" s="289"/>
      <c r="AG205" s="289"/>
      <c r="AH205" s="289"/>
      <c r="AI205" s="289"/>
      <c r="AJ205" s="289"/>
      <c r="AK205" s="289"/>
      <c r="AL205" s="289">
        <f>48000000-47618500</f>
        <v>381500</v>
      </c>
      <c r="AM205" s="289"/>
      <c r="AN205" s="289"/>
      <c r="AO205" s="289"/>
      <c r="AP205" s="289"/>
      <c r="AQ205" s="289"/>
      <c r="AR205" s="289"/>
      <c r="AS205" s="289"/>
      <c r="AT205" s="289"/>
      <c r="AU205" s="289"/>
      <c r="AV205" s="289"/>
      <c r="AW205" s="289"/>
      <c r="AX205" s="289"/>
      <c r="AY205" s="289"/>
      <c r="AZ205" s="289"/>
      <c r="BA205" s="289"/>
      <c r="BB205" s="289"/>
      <c r="BC205" s="289"/>
      <c r="BD205" s="351"/>
      <c r="BE205" s="351"/>
      <c r="BF205" s="351"/>
      <c r="BG205" s="289"/>
      <c r="BH205" s="289"/>
      <c r="BI205" s="289"/>
      <c r="BJ205" s="239">
        <f>842700000+2000000+571581421.21</f>
        <v>1416281421.21</v>
      </c>
      <c r="BK205" s="239">
        <v>621878142.65999997</v>
      </c>
      <c r="BL205" s="239">
        <v>621878142.65999997</v>
      </c>
      <c r="BM205" s="239"/>
      <c r="BN205" s="239"/>
      <c r="BO205" s="239"/>
      <c r="BP205" s="273">
        <f t="shared" si="59"/>
        <v>1416662921.21</v>
      </c>
      <c r="BQ205" s="273">
        <f t="shared" si="57"/>
        <v>621878142.65999997</v>
      </c>
      <c r="BR205" s="273">
        <f t="shared" si="58"/>
        <v>621878142.65999997</v>
      </c>
      <c r="BS205" s="246" t="s">
        <v>1655</v>
      </c>
      <c r="BT205" s="233"/>
    </row>
    <row r="206" spans="1:73" s="27" customFormat="1" ht="120.75" customHeight="1" x14ac:dyDescent="0.2">
      <c r="A206" s="217">
        <v>318</v>
      </c>
      <c r="B206" s="310" t="s">
        <v>1628</v>
      </c>
      <c r="C206" s="213">
        <v>1</v>
      </c>
      <c r="D206" s="287" t="s">
        <v>1614</v>
      </c>
      <c r="E206" s="213">
        <v>19</v>
      </c>
      <c r="F206" s="216" t="s">
        <v>147</v>
      </c>
      <c r="G206" s="213">
        <v>1903</v>
      </c>
      <c r="H206" s="216" t="s">
        <v>1584</v>
      </c>
      <c r="I206" s="213">
        <v>1903</v>
      </c>
      <c r="J206" s="216" t="s">
        <v>1585</v>
      </c>
      <c r="K206" s="216" t="s">
        <v>1008</v>
      </c>
      <c r="L206" s="213">
        <v>1903038</v>
      </c>
      <c r="M206" s="216" t="s">
        <v>989</v>
      </c>
      <c r="N206" s="213">
        <v>1903038</v>
      </c>
      <c r="O206" s="216" t="s">
        <v>1005</v>
      </c>
      <c r="P206" s="292">
        <v>190303801</v>
      </c>
      <c r="Q206" s="216" t="s">
        <v>1009</v>
      </c>
      <c r="R206" s="292">
        <v>190303801</v>
      </c>
      <c r="S206" s="216" t="s">
        <v>1009</v>
      </c>
      <c r="T206" s="236" t="s">
        <v>1671</v>
      </c>
      <c r="U206" s="76">
        <v>11</v>
      </c>
      <c r="V206" s="76">
        <v>11</v>
      </c>
      <c r="W206" s="236" t="s">
        <v>992</v>
      </c>
      <c r="X206" s="216" t="s">
        <v>993</v>
      </c>
      <c r="Y206" s="216" t="s">
        <v>994</v>
      </c>
      <c r="Z206" s="289"/>
      <c r="AA206" s="289"/>
      <c r="AB206" s="289"/>
      <c r="AC206" s="289"/>
      <c r="AD206" s="289"/>
      <c r="AE206" s="289"/>
      <c r="AF206" s="289"/>
      <c r="AG206" s="289"/>
      <c r="AH206" s="289"/>
      <c r="AI206" s="289"/>
      <c r="AJ206" s="289"/>
      <c r="AK206" s="289"/>
      <c r="AL206" s="239">
        <v>28050000</v>
      </c>
      <c r="AM206" s="239">
        <v>22410000</v>
      </c>
      <c r="AN206" s="239">
        <v>22410000</v>
      </c>
      <c r="AO206" s="289"/>
      <c r="AP206" s="289"/>
      <c r="AQ206" s="289"/>
      <c r="AR206" s="289"/>
      <c r="AS206" s="289"/>
      <c r="AT206" s="289"/>
      <c r="AU206" s="289"/>
      <c r="AV206" s="289"/>
      <c r="AW206" s="289"/>
      <c r="AX206" s="289"/>
      <c r="AY206" s="289"/>
      <c r="AZ206" s="289"/>
      <c r="BA206" s="289"/>
      <c r="BB206" s="289"/>
      <c r="BC206" s="289"/>
      <c r="BD206" s="351"/>
      <c r="BE206" s="351"/>
      <c r="BF206" s="351"/>
      <c r="BG206" s="289"/>
      <c r="BH206" s="289"/>
      <c r="BI206" s="289"/>
      <c r="BJ206" s="289"/>
      <c r="BK206" s="289"/>
      <c r="BL206" s="289"/>
      <c r="BM206" s="289"/>
      <c r="BN206" s="289"/>
      <c r="BO206" s="289"/>
      <c r="BP206" s="273">
        <f>+Z206+AC206+AF206+AI206+AL206+AO206+AR206+AU206+AX206+BA206+BD206+BG206+BJ206</f>
        <v>28050000</v>
      </c>
      <c r="BQ206" s="273">
        <f t="shared" si="57"/>
        <v>22410000</v>
      </c>
      <c r="BR206" s="273">
        <f t="shared" si="58"/>
        <v>22410000</v>
      </c>
      <c r="BS206" s="246" t="s">
        <v>1655</v>
      </c>
      <c r="BT206" s="233"/>
    </row>
    <row r="207" spans="1:73" s="27" customFormat="1" ht="78.75" customHeight="1" x14ac:dyDescent="0.2">
      <c r="A207" s="217">
        <v>318</v>
      </c>
      <c r="B207" s="310" t="s">
        <v>1628</v>
      </c>
      <c r="C207" s="213">
        <v>1</v>
      </c>
      <c r="D207" s="287" t="s">
        <v>1614</v>
      </c>
      <c r="E207" s="213">
        <v>19</v>
      </c>
      <c r="F207" s="216" t="s">
        <v>147</v>
      </c>
      <c r="G207" s="213">
        <v>1903</v>
      </c>
      <c r="H207" s="216" t="s">
        <v>1584</v>
      </c>
      <c r="I207" s="213">
        <v>1903</v>
      </c>
      <c r="J207" s="216" t="s">
        <v>1585</v>
      </c>
      <c r="K207" s="216" t="s">
        <v>995</v>
      </c>
      <c r="L207" s="213">
        <v>1903027</v>
      </c>
      <c r="M207" s="216" t="s">
        <v>989</v>
      </c>
      <c r="N207" s="213">
        <v>1903027</v>
      </c>
      <c r="O207" s="216" t="s">
        <v>1010</v>
      </c>
      <c r="P207" s="292">
        <v>190302700</v>
      </c>
      <c r="Q207" s="311" t="s">
        <v>1011</v>
      </c>
      <c r="R207" s="292">
        <v>190302700</v>
      </c>
      <c r="S207" s="216" t="s">
        <v>1011</v>
      </c>
      <c r="T207" s="236" t="s">
        <v>1671</v>
      </c>
      <c r="U207" s="76">
        <v>5</v>
      </c>
      <c r="V207" s="76">
        <v>5</v>
      </c>
      <c r="W207" s="236" t="s">
        <v>992</v>
      </c>
      <c r="X207" s="216" t="s">
        <v>993</v>
      </c>
      <c r="Y207" s="216" t="s">
        <v>994</v>
      </c>
      <c r="Z207" s="289"/>
      <c r="AA207" s="289"/>
      <c r="AB207" s="289"/>
      <c r="AC207" s="289"/>
      <c r="AD207" s="289"/>
      <c r="AE207" s="289"/>
      <c r="AF207" s="289"/>
      <c r="AG207" s="289"/>
      <c r="AH207" s="289"/>
      <c r="AI207" s="289"/>
      <c r="AJ207" s="289"/>
      <c r="AK207" s="289"/>
      <c r="AL207" s="239">
        <f>19000000-7460000</f>
        <v>11540000</v>
      </c>
      <c r="AM207" s="239">
        <v>11540000</v>
      </c>
      <c r="AN207" s="239">
        <v>11540000</v>
      </c>
      <c r="AO207" s="289"/>
      <c r="AP207" s="289"/>
      <c r="AQ207" s="289"/>
      <c r="AR207" s="289"/>
      <c r="AS207" s="289"/>
      <c r="AT207" s="289"/>
      <c r="AU207" s="289"/>
      <c r="AV207" s="289"/>
      <c r="AW207" s="289"/>
      <c r="AX207" s="289"/>
      <c r="AY207" s="289"/>
      <c r="AZ207" s="289"/>
      <c r="BA207" s="289"/>
      <c r="BB207" s="289"/>
      <c r="BC207" s="289"/>
      <c r="BD207" s="351"/>
      <c r="BE207" s="351"/>
      <c r="BF207" s="351"/>
      <c r="BG207" s="289"/>
      <c r="BH207" s="289"/>
      <c r="BI207" s="289"/>
      <c r="BJ207" s="289"/>
      <c r="BK207" s="289"/>
      <c r="BL207" s="289"/>
      <c r="BM207" s="289"/>
      <c r="BN207" s="289"/>
      <c r="BO207" s="289"/>
      <c r="BP207" s="273">
        <f t="shared" si="59"/>
        <v>11540000</v>
      </c>
      <c r="BQ207" s="273">
        <f t="shared" si="57"/>
        <v>11540000</v>
      </c>
      <c r="BR207" s="273">
        <f t="shared" si="58"/>
        <v>11540000</v>
      </c>
      <c r="BS207" s="246" t="s">
        <v>1655</v>
      </c>
      <c r="BT207" s="233"/>
    </row>
    <row r="208" spans="1:73" s="27" customFormat="1" ht="96.75" customHeight="1" x14ac:dyDescent="0.2">
      <c r="A208" s="217">
        <v>318</v>
      </c>
      <c r="B208" s="310" t="s">
        <v>1628</v>
      </c>
      <c r="C208" s="213">
        <v>1</v>
      </c>
      <c r="D208" s="287" t="s">
        <v>1614</v>
      </c>
      <c r="E208" s="213">
        <v>19</v>
      </c>
      <c r="F208" s="216" t="s">
        <v>147</v>
      </c>
      <c r="G208" s="213">
        <v>1903</v>
      </c>
      <c r="H208" s="216" t="s">
        <v>1584</v>
      </c>
      <c r="I208" s="213">
        <v>1903</v>
      </c>
      <c r="J208" s="216" t="s">
        <v>1585</v>
      </c>
      <c r="K208" s="216" t="s">
        <v>1012</v>
      </c>
      <c r="L208" s="213">
        <v>1903011</v>
      </c>
      <c r="M208" s="216" t="s">
        <v>989</v>
      </c>
      <c r="N208" s="213">
        <v>1903011</v>
      </c>
      <c r="O208" s="216" t="s">
        <v>1013</v>
      </c>
      <c r="P208" s="292">
        <v>190301100</v>
      </c>
      <c r="Q208" s="216" t="s">
        <v>1014</v>
      </c>
      <c r="R208" s="292">
        <v>190301100</v>
      </c>
      <c r="S208" s="216" t="s">
        <v>1015</v>
      </c>
      <c r="T208" s="236" t="s">
        <v>1671</v>
      </c>
      <c r="U208" s="76">
        <v>140</v>
      </c>
      <c r="V208" s="76">
        <v>140</v>
      </c>
      <c r="W208" s="236" t="s">
        <v>992</v>
      </c>
      <c r="X208" s="216" t="s">
        <v>993</v>
      </c>
      <c r="Y208" s="216" t="s">
        <v>994</v>
      </c>
      <c r="Z208" s="289"/>
      <c r="AA208" s="289"/>
      <c r="AB208" s="289"/>
      <c r="AC208" s="289"/>
      <c r="AD208" s="289"/>
      <c r="AE208" s="289"/>
      <c r="AF208" s="289"/>
      <c r="AG208" s="289"/>
      <c r="AH208" s="289"/>
      <c r="AI208" s="289"/>
      <c r="AJ208" s="289"/>
      <c r="AK208" s="289"/>
      <c r="AL208" s="289">
        <v>40646000</v>
      </c>
      <c r="AM208" s="289">
        <v>27057499</v>
      </c>
      <c r="AN208" s="289">
        <v>27057499</v>
      </c>
      <c r="AO208" s="289"/>
      <c r="AP208" s="289"/>
      <c r="AQ208" s="289"/>
      <c r="AR208" s="289"/>
      <c r="AS208" s="289"/>
      <c r="AT208" s="289"/>
      <c r="AU208" s="289"/>
      <c r="AV208" s="289"/>
      <c r="AW208" s="289"/>
      <c r="AX208" s="289"/>
      <c r="AY208" s="289"/>
      <c r="AZ208" s="289"/>
      <c r="BA208" s="289"/>
      <c r="BB208" s="289"/>
      <c r="BC208" s="289"/>
      <c r="BD208" s="351"/>
      <c r="BE208" s="351"/>
      <c r="BF208" s="351"/>
      <c r="BG208" s="289"/>
      <c r="BH208" s="289"/>
      <c r="BI208" s="289"/>
      <c r="BJ208" s="289"/>
      <c r="BK208" s="289"/>
      <c r="BL208" s="289"/>
      <c r="BM208" s="289"/>
      <c r="BN208" s="289"/>
      <c r="BO208" s="289"/>
      <c r="BP208" s="273">
        <f t="shared" si="59"/>
        <v>40646000</v>
      </c>
      <c r="BQ208" s="273">
        <f t="shared" si="57"/>
        <v>27057499</v>
      </c>
      <c r="BR208" s="273">
        <f t="shared" si="58"/>
        <v>27057499</v>
      </c>
      <c r="BS208" s="246" t="s">
        <v>1655</v>
      </c>
      <c r="BT208" s="233"/>
    </row>
    <row r="209" spans="1:72" s="27" customFormat="1" ht="110.25" customHeight="1" x14ac:dyDescent="0.2">
      <c r="A209" s="217">
        <v>318</v>
      </c>
      <c r="B209" s="310" t="s">
        <v>1628</v>
      </c>
      <c r="C209" s="213">
        <v>1</v>
      </c>
      <c r="D209" s="287" t="s">
        <v>1614</v>
      </c>
      <c r="E209" s="213">
        <v>19</v>
      </c>
      <c r="F209" s="216" t="s">
        <v>147</v>
      </c>
      <c r="G209" s="213">
        <v>1903</v>
      </c>
      <c r="H209" s="216" t="s">
        <v>1584</v>
      </c>
      <c r="I209" s="213">
        <v>1903</v>
      </c>
      <c r="J209" s="216" t="s">
        <v>1585</v>
      </c>
      <c r="K209" s="216" t="s">
        <v>1016</v>
      </c>
      <c r="L209" s="213">
        <v>1903001</v>
      </c>
      <c r="M209" s="216" t="s">
        <v>84</v>
      </c>
      <c r="N209" s="213">
        <v>1903001</v>
      </c>
      <c r="O209" s="216" t="s">
        <v>84</v>
      </c>
      <c r="P209" s="292">
        <v>190300100</v>
      </c>
      <c r="Q209" s="311" t="s">
        <v>1017</v>
      </c>
      <c r="R209" s="292">
        <v>190300100</v>
      </c>
      <c r="S209" s="311" t="s">
        <v>1017</v>
      </c>
      <c r="T209" s="236" t="s">
        <v>1671</v>
      </c>
      <c r="U209" s="76">
        <v>1</v>
      </c>
      <c r="V209" s="76">
        <v>1</v>
      </c>
      <c r="W209" s="236" t="s">
        <v>1018</v>
      </c>
      <c r="X209" s="216" t="s">
        <v>1019</v>
      </c>
      <c r="Y209" s="216" t="s">
        <v>1020</v>
      </c>
      <c r="Z209" s="289"/>
      <c r="AA209" s="289"/>
      <c r="AB209" s="289"/>
      <c r="AC209" s="289"/>
      <c r="AD209" s="289"/>
      <c r="AE209" s="289"/>
      <c r="AF209" s="289"/>
      <c r="AG209" s="289"/>
      <c r="AH209" s="289"/>
      <c r="AI209" s="289"/>
      <c r="AJ209" s="289"/>
      <c r="AK209" s="289"/>
      <c r="AL209" s="289">
        <v>81470000</v>
      </c>
      <c r="AM209" s="289">
        <v>81470000</v>
      </c>
      <c r="AN209" s="289">
        <v>81470000</v>
      </c>
      <c r="AO209" s="289"/>
      <c r="AP209" s="289"/>
      <c r="AQ209" s="289"/>
      <c r="AR209" s="289"/>
      <c r="AS209" s="289"/>
      <c r="AT209" s="289"/>
      <c r="AU209" s="289"/>
      <c r="AV209" s="289"/>
      <c r="AW209" s="289"/>
      <c r="AX209" s="289"/>
      <c r="AY209" s="289"/>
      <c r="AZ209" s="289"/>
      <c r="BA209" s="289"/>
      <c r="BB209" s="289"/>
      <c r="BC209" s="289"/>
      <c r="BD209" s="294"/>
      <c r="BE209" s="294"/>
      <c r="BF209" s="294"/>
      <c r="BG209" s="289"/>
      <c r="BH209" s="289"/>
      <c r="BI209" s="289"/>
      <c r="BJ209" s="289"/>
      <c r="BK209" s="289"/>
      <c r="BL209" s="289"/>
      <c r="BM209" s="289"/>
      <c r="BN209" s="289"/>
      <c r="BO209" s="289"/>
      <c r="BP209" s="273">
        <f t="shared" si="59"/>
        <v>81470000</v>
      </c>
      <c r="BQ209" s="273">
        <f t="shared" si="57"/>
        <v>81470000</v>
      </c>
      <c r="BR209" s="273">
        <f t="shared" si="58"/>
        <v>81470000</v>
      </c>
      <c r="BS209" s="246" t="s">
        <v>1655</v>
      </c>
      <c r="BT209" s="233"/>
    </row>
    <row r="210" spans="1:72" s="27" customFormat="1" ht="81.75" customHeight="1" x14ac:dyDescent="0.2">
      <c r="A210" s="217">
        <v>318</v>
      </c>
      <c r="B210" s="310" t="s">
        <v>1628</v>
      </c>
      <c r="C210" s="213">
        <v>1</v>
      </c>
      <c r="D210" s="287" t="s">
        <v>1614</v>
      </c>
      <c r="E210" s="213">
        <v>19</v>
      </c>
      <c r="F210" s="216" t="s">
        <v>147</v>
      </c>
      <c r="G210" s="213">
        <v>1903</v>
      </c>
      <c r="H210" s="216" t="s">
        <v>1584</v>
      </c>
      <c r="I210" s="213">
        <v>1903</v>
      </c>
      <c r="J210" s="216" t="s">
        <v>1585</v>
      </c>
      <c r="K210" s="216" t="s">
        <v>1021</v>
      </c>
      <c r="L210" s="213">
        <v>1903015</v>
      </c>
      <c r="M210" s="216" t="s">
        <v>1022</v>
      </c>
      <c r="N210" s="213">
        <v>1903015</v>
      </c>
      <c r="O210" s="216" t="s">
        <v>1022</v>
      </c>
      <c r="P210" s="292">
        <v>190301500</v>
      </c>
      <c r="Q210" s="216" t="s">
        <v>1023</v>
      </c>
      <c r="R210" s="292">
        <v>190301500</v>
      </c>
      <c r="S210" s="216" t="s">
        <v>1023</v>
      </c>
      <c r="T210" s="236" t="s">
        <v>1671</v>
      </c>
      <c r="U210" s="76">
        <v>12</v>
      </c>
      <c r="V210" s="76">
        <v>12</v>
      </c>
      <c r="W210" s="236" t="s">
        <v>1018</v>
      </c>
      <c r="X210" s="216" t="s">
        <v>1019</v>
      </c>
      <c r="Y210" s="216" t="s">
        <v>1020</v>
      </c>
      <c r="Z210" s="289"/>
      <c r="AA210" s="289"/>
      <c r="AB210" s="289"/>
      <c r="AC210" s="289"/>
      <c r="AD210" s="289"/>
      <c r="AE210" s="289"/>
      <c r="AF210" s="289"/>
      <c r="AG210" s="289"/>
      <c r="AH210" s="289"/>
      <c r="AI210" s="289"/>
      <c r="AJ210" s="289"/>
      <c r="AK210" s="289"/>
      <c r="AL210" s="289">
        <v>211530000</v>
      </c>
      <c r="AM210" s="289">
        <v>181676999</v>
      </c>
      <c r="AN210" s="289">
        <v>181676999</v>
      </c>
      <c r="AO210" s="289"/>
      <c r="AP210" s="289"/>
      <c r="AQ210" s="289"/>
      <c r="AR210" s="289"/>
      <c r="AS210" s="289"/>
      <c r="AT210" s="289"/>
      <c r="AU210" s="289"/>
      <c r="AV210" s="289"/>
      <c r="AW210" s="289"/>
      <c r="AX210" s="289"/>
      <c r="AY210" s="289"/>
      <c r="AZ210" s="289"/>
      <c r="BA210" s="289"/>
      <c r="BB210" s="289"/>
      <c r="BC210" s="289"/>
      <c r="BD210" s="294"/>
      <c r="BE210" s="294"/>
      <c r="BF210" s="294"/>
      <c r="BG210" s="289"/>
      <c r="BH210" s="289"/>
      <c r="BI210" s="289"/>
      <c r="BJ210" s="289"/>
      <c r="BK210" s="289"/>
      <c r="BL210" s="289"/>
      <c r="BM210" s="289"/>
      <c r="BN210" s="289"/>
      <c r="BO210" s="289"/>
      <c r="BP210" s="273">
        <f t="shared" si="59"/>
        <v>211530000</v>
      </c>
      <c r="BQ210" s="273">
        <f t="shared" si="57"/>
        <v>181676999</v>
      </c>
      <c r="BR210" s="273">
        <f t="shared" si="58"/>
        <v>181676999</v>
      </c>
      <c r="BS210" s="246" t="s">
        <v>1655</v>
      </c>
      <c r="BT210" s="233"/>
    </row>
    <row r="211" spans="1:72" s="27" customFormat="1" ht="134.25" customHeight="1" x14ac:dyDescent="0.2">
      <c r="A211" s="217">
        <v>318</v>
      </c>
      <c r="B211" s="310" t="s">
        <v>1628</v>
      </c>
      <c r="C211" s="213">
        <v>1</v>
      </c>
      <c r="D211" s="287" t="s">
        <v>1614</v>
      </c>
      <c r="E211" s="213">
        <v>19</v>
      </c>
      <c r="F211" s="216" t="s">
        <v>147</v>
      </c>
      <c r="G211" s="213">
        <v>1903</v>
      </c>
      <c r="H211" s="216" t="s">
        <v>1584</v>
      </c>
      <c r="I211" s="213">
        <v>1903</v>
      </c>
      <c r="J211" s="216" t="s">
        <v>1585</v>
      </c>
      <c r="K211" s="216" t="s">
        <v>1024</v>
      </c>
      <c r="L211" s="213">
        <v>1903012</v>
      </c>
      <c r="M211" s="216" t="s">
        <v>1025</v>
      </c>
      <c r="N211" s="213">
        <v>1903012</v>
      </c>
      <c r="O211" s="216" t="s">
        <v>1025</v>
      </c>
      <c r="P211" s="292">
        <v>190301200</v>
      </c>
      <c r="Q211" s="216" t="s">
        <v>1026</v>
      </c>
      <c r="R211" s="292">
        <v>190301200</v>
      </c>
      <c r="S211" s="216" t="s">
        <v>1026</v>
      </c>
      <c r="T211" s="236" t="s">
        <v>1671</v>
      </c>
      <c r="U211" s="76">
        <v>4000</v>
      </c>
      <c r="V211" s="76">
        <v>3990</v>
      </c>
      <c r="W211" s="236" t="s">
        <v>1027</v>
      </c>
      <c r="X211" s="216" t="s">
        <v>1028</v>
      </c>
      <c r="Y211" s="216" t="s">
        <v>1029</v>
      </c>
      <c r="Z211" s="289"/>
      <c r="AA211" s="289"/>
      <c r="AB211" s="289"/>
      <c r="AC211" s="289"/>
      <c r="AD211" s="289"/>
      <c r="AE211" s="289"/>
      <c r="AF211" s="289"/>
      <c r="AG211" s="289"/>
      <c r="AH211" s="289"/>
      <c r="AI211" s="289">
        <f>100000000-100000000</f>
        <v>0</v>
      </c>
      <c r="AJ211" s="289"/>
      <c r="AK211" s="289"/>
      <c r="AL211" s="322">
        <v>605090036</v>
      </c>
      <c r="AM211" s="322">
        <v>567542047</v>
      </c>
      <c r="AN211" s="322">
        <v>567542047</v>
      </c>
      <c r="AO211" s="322"/>
      <c r="AP211" s="322"/>
      <c r="AQ211" s="322"/>
      <c r="AR211" s="289"/>
      <c r="AS211" s="289"/>
      <c r="AT211" s="289"/>
      <c r="AU211" s="289"/>
      <c r="AV211" s="289"/>
      <c r="AW211" s="289"/>
      <c r="AX211" s="289"/>
      <c r="AY211" s="289"/>
      <c r="AZ211" s="289"/>
      <c r="BA211" s="289"/>
      <c r="BB211" s="289"/>
      <c r="BC211" s="289"/>
      <c r="BD211" s="294">
        <f>243062000-243062000+90734569</f>
        <v>90734569</v>
      </c>
      <c r="BE211" s="294">
        <v>90734569</v>
      </c>
      <c r="BF211" s="294">
        <v>90734569</v>
      </c>
      <c r="BG211" s="289"/>
      <c r="BH211" s="289"/>
      <c r="BI211" s="289"/>
      <c r="BJ211" s="235">
        <v>33078292</v>
      </c>
      <c r="BK211" s="235">
        <v>33078292</v>
      </c>
      <c r="BL211" s="235">
        <v>33078292</v>
      </c>
      <c r="BM211" s="235"/>
      <c r="BN211" s="235"/>
      <c r="BO211" s="235"/>
      <c r="BP211" s="273">
        <f t="shared" si="59"/>
        <v>728902897</v>
      </c>
      <c r="BQ211" s="273">
        <f t="shared" si="57"/>
        <v>691354908</v>
      </c>
      <c r="BR211" s="273">
        <f t="shared" si="58"/>
        <v>691354908</v>
      </c>
      <c r="BS211" s="246" t="s">
        <v>1655</v>
      </c>
      <c r="BT211" s="233"/>
    </row>
    <row r="212" spans="1:72" s="27" customFormat="1" ht="77.25" customHeight="1" x14ac:dyDescent="0.2">
      <c r="A212" s="217">
        <v>318</v>
      </c>
      <c r="B212" s="310" t="s">
        <v>1628</v>
      </c>
      <c r="C212" s="213">
        <v>1</v>
      </c>
      <c r="D212" s="287" t="s">
        <v>1614</v>
      </c>
      <c r="E212" s="213">
        <v>19</v>
      </c>
      <c r="F212" s="216" t="s">
        <v>147</v>
      </c>
      <c r="G212" s="213">
        <v>1903</v>
      </c>
      <c r="H212" s="216" t="s">
        <v>1584</v>
      </c>
      <c r="I212" s="213">
        <v>1903</v>
      </c>
      <c r="J212" s="216" t="s">
        <v>1585</v>
      </c>
      <c r="K212" s="216" t="s">
        <v>1030</v>
      </c>
      <c r="L212" s="213">
        <v>1903016</v>
      </c>
      <c r="M212" s="216" t="s">
        <v>1031</v>
      </c>
      <c r="N212" s="213">
        <v>1903016</v>
      </c>
      <c r="O212" s="216" t="s">
        <v>1031</v>
      </c>
      <c r="P212" s="292">
        <v>190301600</v>
      </c>
      <c r="Q212" s="311" t="s">
        <v>1032</v>
      </c>
      <c r="R212" s="292">
        <v>190301600</v>
      </c>
      <c r="S212" s="311" t="s">
        <v>1032</v>
      </c>
      <c r="T212" s="236" t="s">
        <v>1671</v>
      </c>
      <c r="U212" s="76">
        <v>240</v>
      </c>
      <c r="V212" s="76">
        <v>235</v>
      </c>
      <c r="W212" s="236" t="s">
        <v>1027</v>
      </c>
      <c r="X212" s="216" t="s">
        <v>1028</v>
      </c>
      <c r="Y212" s="216" t="s">
        <v>1029</v>
      </c>
      <c r="Z212" s="289"/>
      <c r="AA212" s="289"/>
      <c r="AB212" s="289"/>
      <c r="AC212" s="289"/>
      <c r="AD212" s="289"/>
      <c r="AE212" s="289"/>
      <c r="AF212" s="289"/>
      <c r="AG212" s="289"/>
      <c r="AH212" s="289"/>
      <c r="AI212" s="289"/>
      <c r="AJ212" s="289"/>
      <c r="AK212" s="289"/>
      <c r="AL212" s="322">
        <v>94000000</v>
      </c>
      <c r="AM212" s="322">
        <v>93920000</v>
      </c>
      <c r="AN212" s="322">
        <v>93920000</v>
      </c>
      <c r="AO212" s="289"/>
      <c r="AP212" s="289"/>
      <c r="AQ212" s="289"/>
      <c r="AR212" s="289"/>
      <c r="AS212" s="289"/>
      <c r="AT212" s="289"/>
      <c r="AU212" s="289"/>
      <c r="AV212" s="289"/>
      <c r="AW212" s="289"/>
      <c r="AX212" s="289"/>
      <c r="AY212" s="289"/>
      <c r="AZ212" s="289"/>
      <c r="BA212" s="289"/>
      <c r="BB212" s="289"/>
      <c r="BC212" s="289"/>
      <c r="BD212" s="294"/>
      <c r="BE212" s="294"/>
      <c r="BF212" s="294"/>
      <c r="BG212" s="289"/>
      <c r="BH212" s="289"/>
      <c r="BI212" s="289"/>
      <c r="BJ212" s="289"/>
      <c r="BK212" s="289"/>
      <c r="BL212" s="289"/>
      <c r="BM212" s="289"/>
      <c r="BN212" s="289"/>
      <c r="BO212" s="289"/>
      <c r="BP212" s="273">
        <f t="shared" si="59"/>
        <v>94000000</v>
      </c>
      <c r="BQ212" s="273">
        <f t="shared" si="57"/>
        <v>93920000</v>
      </c>
      <c r="BR212" s="273">
        <f t="shared" si="58"/>
        <v>93920000</v>
      </c>
      <c r="BS212" s="246" t="s">
        <v>1655</v>
      </c>
      <c r="BT212" s="233"/>
    </row>
    <row r="213" spans="1:72" s="27" customFormat="1" ht="75" customHeight="1" x14ac:dyDescent="0.2">
      <c r="A213" s="217">
        <v>318</v>
      </c>
      <c r="B213" s="310" t="s">
        <v>1628</v>
      </c>
      <c r="C213" s="213">
        <v>1</v>
      </c>
      <c r="D213" s="287" t="s">
        <v>1614</v>
      </c>
      <c r="E213" s="213">
        <v>19</v>
      </c>
      <c r="F213" s="216" t="s">
        <v>147</v>
      </c>
      <c r="G213" s="213">
        <v>1903</v>
      </c>
      <c r="H213" s="216" t="s">
        <v>1584</v>
      </c>
      <c r="I213" s="213">
        <v>1903</v>
      </c>
      <c r="J213" s="216" t="s">
        <v>1585</v>
      </c>
      <c r="K213" s="216" t="s">
        <v>1012</v>
      </c>
      <c r="L213" s="213">
        <v>1903011</v>
      </c>
      <c r="M213" s="216" t="s">
        <v>1013</v>
      </c>
      <c r="N213" s="213">
        <v>1903011</v>
      </c>
      <c r="O213" s="216" t="s">
        <v>1013</v>
      </c>
      <c r="P213" s="292">
        <v>190301101</v>
      </c>
      <c r="Q213" s="216" t="s">
        <v>1033</v>
      </c>
      <c r="R213" s="292">
        <v>190301101</v>
      </c>
      <c r="S213" s="216" t="s">
        <v>1033</v>
      </c>
      <c r="T213" s="236" t="s">
        <v>1671</v>
      </c>
      <c r="U213" s="76">
        <v>12</v>
      </c>
      <c r="V213" s="76">
        <v>12</v>
      </c>
      <c r="W213" s="236" t="s">
        <v>1027</v>
      </c>
      <c r="X213" s="216" t="s">
        <v>1028</v>
      </c>
      <c r="Y213" s="216" t="s">
        <v>1029</v>
      </c>
      <c r="Z213" s="289"/>
      <c r="AA213" s="289"/>
      <c r="AB213" s="289"/>
      <c r="AC213" s="289"/>
      <c r="AD213" s="289"/>
      <c r="AE213" s="289"/>
      <c r="AF213" s="289"/>
      <c r="AG213" s="289"/>
      <c r="AH213" s="289"/>
      <c r="AI213" s="289"/>
      <c r="AJ213" s="289"/>
      <c r="AK213" s="289"/>
      <c r="AL213" s="322">
        <v>124811412</v>
      </c>
      <c r="AM213" s="322">
        <v>100445748</v>
      </c>
      <c r="AN213" s="322">
        <v>100445748</v>
      </c>
      <c r="AO213" s="289"/>
      <c r="AP213" s="289"/>
      <c r="AQ213" s="289"/>
      <c r="AR213" s="289"/>
      <c r="AS213" s="289"/>
      <c r="AT213" s="289"/>
      <c r="AU213" s="289"/>
      <c r="AV213" s="289"/>
      <c r="AW213" s="289"/>
      <c r="AX213" s="289"/>
      <c r="AY213" s="289"/>
      <c r="AZ213" s="289"/>
      <c r="BA213" s="289"/>
      <c r="BB213" s="289"/>
      <c r="BC213" s="289"/>
      <c r="BD213" s="294"/>
      <c r="BE213" s="294"/>
      <c r="BF213" s="294"/>
      <c r="BG213" s="289"/>
      <c r="BH213" s="289"/>
      <c r="BI213" s="289"/>
      <c r="BJ213" s="289"/>
      <c r="BK213" s="289"/>
      <c r="BL213" s="289"/>
      <c r="BM213" s="289"/>
      <c r="BN213" s="289"/>
      <c r="BO213" s="289"/>
      <c r="BP213" s="273">
        <f t="shared" si="59"/>
        <v>124811412</v>
      </c>
      <c r="BQ213" s="273">
        <f t="shared" si="57"/>
        <v>100445748</v>
      </c>
      <c r="BR213" s="273">
        <f t="shared" si="58"/>
        <v>100445748</v>
      </c>
      <c r="BS213" s="246" t="s">
        <v>1655</v>
      </c>
      <c r="BT213" s="233"/>
    </row>
    <row r="214" spans="1:72" s="27" customFormat="1" ht="86.25" customHeight="1" x14ac:dyDescent="0.2">
      <c r="A214" s="217">
        <v>318</v>
      </c>
      <c r="B214" s="310" t="s">
        <v>1628</v>
      </c>
      <c r="C214" s="213">
        <v>1</v>
      </c>
      <c r="D214" s="287" t="s">
        <v>1614</v>
      </c>
      <c r="E214" s="213">
        <v>19</v>
      </c>
      <c r="F214" s="216" t="s">
        <v>147</v>
      </c>
      <c r="G214" s="213">
        <v>1903</v>
      </c>
      <c r="H214" s="216" t="s">
        <v>1584</v>
      </c>
      <c r="I214" s="213">
        <v>1903</v>
      </c>
      <c r="J214" s="216" t="s">
        <v>1585</v>
      </c>
      <c r="K214" s="216" t="s">
        <v>1012</v>
      </c>
      <c r="L214" s="213">
        <v>1903034</v>
      </c>
      <c r="M214" s="216" t="s">
        <v>103</v>
      </c>
      <c r="N214" s="213">
        <v>1903034</v>
      </c>
      <c r="O214" s="216" t="s">
        <v>103</v>
      </c>
      <c r="P214" s="292">
        <v>190303400</v>
      </c>
      <c r="Q214" s="216" t="s">
        <v>1034</v>
      </c>
      <c r="R214" s="292">
        <v>190303400</v>
      </c>
      <c r="S214" s="216" t="s">
        <v>1034</v>
      </c>
      <c r="T214" s="236" t="s">
        <v>1671</v>
      </c>
      <c r="U214" s="76">
        <v>12</v>
      </c>
      <c r="V214" s="76">
        <v>12</v>
      </c>
      <c r="W214" s="236" t="s">
        <v>1035</v>
      </c>
      <c r="X214" s="214" t="s">
        <v>1036</v>
      </c>
      <c r="Y214" s="214" t="s">
        <v>1037</v>
      </c>
      <c r="Z214" s="289"/>
      <c r="AA214" s="289"/>
      <c r="AB214" s="289"/>
      <c r="AC214" s="289"/>
      <c r="AD214" s="289"/>
      <c r="AE214" s="289"/>
      <c r="AF214" s="289"/>
      <c r="AG214" s="289"/>
      <c r="AH214" s="289"/>
      <c r="AI214" s="289"/>
      <c r="AJ214" s="289"/>
      <c r="AK214" s="289"/>
      <c r="AL214" s="289"/>
      <c r="AM214" s="289"/>
      <c r="AN214" s="289"/>
      <c r="AO214" s="322"/>
      <c r="AP214" s="322"/>
      <c r="AQ214" s="322"/>
      <c r="AR214" s="289"/>
      <c r="AS214" s="289"/>
      <c r="AT214" s="289"/>
      <c r="AU214" s="289"/>
      <c r="AV214" s="289"/>
      <c r="AW214" s="289"/>
      <c r="AX214" s="289"/>
      <c r="AY214" s="289"/>
      <c r="AZ214" s="289"/>
      <c r="BA214" s="289"/>
      <c r="BB214" s="289"/>
      <c r="BC214" s="289"/>
      <c r="BD214" s="294">
        <v>96954000</v>
      </c>
      <c r="BE214" s="294">
        <v>54110832</v>
      </c>
      <c r="BF214" s="294">
        <v>54110832</v>
      </c>
      <c r="BG214" s="289"/>
      <c r="BH214" s="289"/>
      <c r="BI214" s="289"/>
      <c r="BJ214" s="289"/>
      <c r="BK214" s="289"/>
      <c r="BL214" s="289"/>
      <c r="BM214" s="289"/>
      <c r="BN214" s="289"/>
      <c r="BO214" s="289"/>
      <c r="BP214" s="273">
        <f t="shared" si="59"/>
        <v>96954000</v>
      </c>
      <c r="BQ214" s="273">
        <f t="shared" si="57"/>
        <v>54110832</v>
      </c>
      <c r="BR214" s="273">
        <f t="shared" si="58"/>
        <v>54110832</v>
      </c>
      <c r="BS214" s="246" t="s">
        <v>1655</v>
      </c>
      <c r="BT214" s="233"/>
    </row>
    <row r="215" spans="1:72" s="27" customFormat="1" ht="75" customHeight="1" x14ac:dyDescent="0.2">
      <c r="A215" s="217">
        <v>318</v>
      </c>
      <c r="B215" s="310" t="s">
        <v>1628</v>
      </c>
      <c r="C215" s="213">
        <v>1</v>
      </c>
      <c r="D215" s="287" t="s">
        <v>1614</v>
      </c>
      <c r="E215" s="213">
        <v>19</v>
      </c>
      <c r="F215" s="216" t="s">
        <v>147</v>
      </c>
      <c r="G215" s="213">
        <v>1903</v>
      </c>
      <c r="H215" s="216" t="s">
        <v>1584</v>
      </c>
      <c r="I215" s="213">
        <v>1903</v>
      </c>
      <c r="J215" s="216" t="s">
        <v>1585</v>
      </c>
      <c r="K215" s="216" t="s">
        <v>1038</v>
      </c>
      <c r="L215" s="213">
        <v>1903045</v>
      </c>
      <c r="M215" s="216" t="s">
        <v>1039</v>
      </c>
      <c r="N215" s="213">
        <v>1903045</v>
      </c>
      <c r="O215" s="216" t="s">
        <v>1039</v>
      </c>
      <c r="P215" s="292">
        <v>190304500</v>
      </c>
      <c r="Q215" s="311" t="s">
        <v>1040</v>
      </c>
      <c r="R215" s="292">
        <v>190304500</v>
      </c>
      <c r="S215" s="311" t="s">
        <v>1040</v>
      </c>
      <c r="T215" s="236" t="s">
        <v>1673</v>
      </c>
      <c r="U215" s="76">
        <f>725+3</f>
        <v>728</v>
      </c>
      <c r="V215" s="76">
        <v>492</v>
      </c>
      <c r="W215" s="236" t="s">
        <v>1041</v>
      </c>
      <c r="X215" s="214" t="s">
        <v>1042</v>
      </c>
      <c r="Y215" s="214" t="s">
        <v>1043</v>
      </c>
      <c r="Z215" s="289"/>
      <c r="AA215" s="289"/>
      <c r="AB215" s="289"/>
      <c r="AC215" s="289"/>
      <c r="AD215" s="289"/>
      <c r="AE215" s="289"/>
      <c r="AF215" s="289"/>
      <c r="AG215" s="289"/>
      <c r="AH215" s="289"/>
      <c r="AI215" s="289"/>
      <c r="AJ215" s="289"/>
      <c r="AK215" s="289"/>
      <c r="AL215" s="289"/>
      <c r="AM215" s="289"/>
      <c r="AN215" s="289"/>
      <c r="AO215" s="322"/>
      <c r="AP215" s="322"/>
      <c r="AQ215" s="322"/>
      <c r="AR215" s="289"/>
      <c r="AS215" s="289"/>
      <c r="AT215" s="289"/>
      <c r="AU215" s="289"/>
      <c r="AV215" s="289"/>
      <c r="AW215" s="289"/>
      <c r="AX215" s="289"/>
      <c r="AY215" s="289"/>
      <c r="AZ215" s="289"/>
      <c r="BA215" s="289"/>
      <c r="BB215" s="289"/>
      <c r="BC215" s="289"/>
      <c r="BD215" s="294">
        <v>19636000</v>
      </c>
      <c r="BE215" s="294">
        <v>19636000</v>
      </c>
      <c r="BF215" s="294">
        <v>19636000</v>
      </c>
      <c r="BG215" s="289"/>
      <c r="BH215" s="289"/>
      <c r="BI215" s="289"/>
      <c r="BJ215" s="289"/>
      <c r="BK215" s="289"/>
      <c r="BL215" s="289"/>
      <c r="BM215" s="289"/>
      <c r="BN215" s="289"/>
      <c r="BO215" s="289"/>
      <c r="BP215" s="273">
        <f t="shared" si="59"/>
        <v>19636000</v>
      </c>
      <c r="BQ215" s="273">
        <f t="shared" si="57"/>
        <v>19636000</v>
      </c>
      <c r="BR215" s="273">
        <f t="shared" si="58"/>
        <v>19636000</v>
      </c>
      <c r="BS215" s="246" t="s">
        <v>1655</v>
      </c>
      <c r="BT215" s="233"/>
    </row>
    <row r="216" spans="1:72" s="27" customFormat="1" ht="95.25" customHeight="1" x14ac:dyDescent="0.2">
      <c r="A216" s="217">
        <v>318</v>
      </c>
      <c r="B216" s="310" t="s">
        <v>1628</v>
      </c>
      <c r="C216" s="213">
        <v>1</v>
      </c>
      <c r="D216" s="287" t="s">
        <v>1614</v>
      </c>
      <c r="E216" s="213">
        <v>19</v>
      </c>
      <c r="F216" s="216" t="s">
        <v>147</v>
      </c>
      <c r="G216" s="213">
        <v>1903</v>
      </c>
      <c r="H216" s="216" t="s">
        <v>1584</v>
      </c>
      <c r="I216" s="213">
        <v>1903</v>
      </c>
      <c r="J216" s="216" t="s">
        <v>1585</v>
      </c>
      <c r="K216" s="216" t="s">
        <v>1016</v>
      </c>
      <c r="L216" s="213">
        <v>1903001</v>
      </c>
      <c r="M216" s="216" t="s">
        <v>84</v>
      </c>
      <c r="N216" s="213">
        <v>1903001</v>
      </c>
      <c r="O216" s="216" t="s">
        <v>84</v>
      </c>
      <c r="P216" s="292">
        <v>190300100</v>
      </c>
      <c r="Q216" s="311" t="s">
        <v>1017</v>
      </c>
      <c r="R216" s="292">
        <v>190300100</v>
      </c>
      <c r="S216" s="311" t="s">
        <v>1017</v>
      </c>
      <c r="T216" s="236" t="s">
        <v>1671</v>
      </c>
      <c r="U216" s="213">
        <v>1</v>
      </c>
      <c r="V216" s="213">
        <v>1</v>
      </c>
      <c r="W216" s="236" t="s">
        <v>1041</v>
      </c>
      <c r="X216" s="214" t="s">
        <v>1042</v>
      </c>
      <c r="Y216" s="214" t="s">
        <v>1043</v>
      </c>
      <c r="Z216" s="289"/>
      <c r="AA216" s="289"/>
      <c r="AB216" s="289"/>
      <c r="AC216" s="289"/>
      <c r="AD216" s="289"/>
      <c r="AE216" s="289"/>
      <c r="AF216" s="289"/>
      <c r="AG216" s="289"/>
      <c r="AH216" s="289"/>
      <c r="AI216" s="289"/>
      <c r="AJ216" s="289"/>
      <c r="AK216" s="289"/>
      <c r="AL216" s="289"/>
      <c r="AM216" s="289"/>
      <c r="AN216" s="289"/>
      <c r="AO216" s="322"/>
      <c r="AP216" s="322"/>
      <c r="AQ216" s="322"/>
      <c r="AR216" s="289"/>
      <c r="AS216" s="289"/>
      <c r="AT216" s="289"/>
      <c r="AU216" s="289"/>
      <c r="AV216" s="289"/>
      <c r="AW216" s="289"/>
      <c r="AX216" s="289"/>
      <c r="AY216" s="289"/>
      <c r="AZ216" s="289"/>
      <c r="BA216" s="289"/>
      <c r="BB216" s="289"/>
      <c r="BC216" s="289"/>
      <c r="BD216" s="294">
        <v>15000000</v>
      </c>
      <c r="BE216" s="294">
        <v>15000000</v>
      </c>
      <c r="BF216" s="294">
        <v>15000000</v>
      </c>
      <c r="BG216" s="289"/>
      <c r="BH216" s="289"/>
      <c r="BI216" s="289"/>
      <c r="BJ216" s="289"/>
      <c r="BK216" s="289"/>
      <c r="BL216" s="289"/>
      <c r="BM216" s="289"/>
      <c r="BN216" s="289"/>
      <c r="BO216" s="289"/>
      <c r="BP216" s="273">
        <f t="shared" si="59"/>
        <v>15000000</v>
      </c>
      <c r="BQ216" s="273">
        <f t="shared" si="57"/>
        <v>15000000</v>
      </c>
      <c r="BR216" s="273">
        <f t="shared" si="58"/>
        <v>15000000</v>
      </c>
      <c r="BS216" s="246" t="s">
        <v>1655</v>
      </c>
      <c r="BT216" s="233"/>
    </row>
    <row r="217" spans="1:72" s="27" customFormat="1" ht="71.25" customHeight="1" x14ac:dyDescent="0.2">
      <c r="A217" s="217">
        <v>318</v>
      </c>
      <c r="B217" s="310" t="s">
        <v>1628</v>
      </c>
      <c r="C217" s="213">
        <v>1</v>
      </c>
      <c r="D217" s="287" t="s">
        <v>1614</v>
      </c>
      <c r="E217" s="213">
        <v>19</v>
      </c>
      <c r="F217" s="216" t="s">
        <v>147</v>
      </c>
      <c r="G217" s="213">
        <v>1903</v>
      </c>
      <c r="H217" s="216" t="s">
        <v>1584</v>
      </c>
      <c r="I217" s="213">
        <v>1903</v>
      </c>
      <c r="J217" s="216" t="s">
        <v>1585</v>
      </c>
      <c r="K217" s="311" t="s">
        <v>1044</v>
      </c>
      <c r="L217" s="292">
        <v>1903010</v>
      </c>
      <c r="M217" s="353" t="s">
        <v>1045</v>
      </c>
      <c r="N217" s="292">
        <v>1903010</v>
      </c>
      <c r="O217" s="353" t="s">
        <v>1045</v>
      </c>
      <c r="P217" s="292">
        <v>190301000</v>
      </c>
      <c r="Q217" s="311" t="s">
        <v>1046</v>
      </c>
      <c r="R217" s="292">
        <v>190301000</v>
      </c>
      <c r="S217" s="311" t="s">
        <v>1046</v>
      </c>
      <c r="T217" s="236" t="s">
        <v>1671</v>
      </c>
      <c r="U217" s="76">
        <v>12</v>
      </c>
      <c r="V217" s="76">
        <v>12</v>
      </c>
      <c r="W217" s="236" t="s">
        <v>1041</v>
      </c>
      <c r="X217" s="214" t="s">
        <v>1042</v>
      </c>
      <c r="Y217" s="214" t="s">
        <v>1043</v>
      </c>
      <c r="Z217" s="289"/>
      <c r="AA217" s="289"/>
      <c r="AB217" s="289"/>
      <c r="AC217" s="289"/>
      <c r="AD217" s="289"/>
      <c r="AE217" s="289"/>
      <c r="AF217" s="289"/>
      <c r="AG217" s="289"/>
      <c r="AH217" s="289"/>
      <c r="AI217" s="289"/>
      <c r="AJ217" s="289"/>
      <c r="AK217" s="289"/>
      <c r="AL217" s="289"/>
      <c r="AM217" s="289"/>
      <c r="AN217" s="289"/>
      <c r="AO217" s="322"/>
      <c r="AP217" s="322"/>
      <c r="AQ217" s="322"/>
      <c r="AR217" s="289"/>
      <c r="AS217" s="289"/>
      <c r="AT217" s="289"/>
      <c r="AU217" s="289"/>
      <c r="AV217" s="289"/>
      <c r="AW217" s="289"/>
      <c r="AX217" s="289"/>
      <c r="AY217" s="289"/>
      <c r="AZ217" s="289"/>
      <c r="BA217" s="289"/>
      <c r="BB217" s="289"/>
      <c r="BC217" s="289"/>
      <c r="BD217" s="294">
        <v>15000000</v>
      </c>
      <c r="BE217" s="294">
        <v>15000000</v>
      </c>
      <c r="BF217" s="294">
        <v>15000000</v>
      </c>
      <c r="BG217" s="289"/>
      <c r="BH217" s="289"/>
      <c r="BI217" s="289"/>
      <c r="BJ217" s="289"/>
      <c r="BK217" s="289"/>
      <c r="BL217" s="289"/>
      <c r="BM217" s="289"/>
      <c r="BN217" s="289"/>
      <c r="BO217" s="289"/>
      <c r="BP217" s="273">
        <f t="shared" si="59"/>
        <v>15000000</v>
      </c>
      <c r="BQ217" s="273">
        <f t="shared" si="57"/>
        <v>15000000</v>
      </c>
      <c r="BR217" s="273">
        <f t="shared" si="58"/>
        <v>15000000</v>
      </c>
      <c r="BS217" s="246" t="s">
        <v>1655</v>
      </c>
      <c r="BT217" s="233"/>
    </row>
    <row r="218" spans="1:72" s="27" customFormat="1" ht="76.5" customHeight="1" x14ac:dyDescent="0.2">
      <c r="A218" s="217">
        <v>318</v>
      </c>
      <c r="B218" s="310" t="s">
        <v>1628</v>
      </c>
      <c r="C218" s="213">
        <v>1</v>
      </c>
      <c r="D218" s="287" t="s">
        <v>1614</v>
      </c>
      <c r="E218" s="213">
        <v>19</v>
      </c>
      <c r="F218" s="216" t="s">
        <v>147</v>
      </c>
      <c r="G218" s="213">
        <v>1903</v>
      </c>
      <c r="H218" s="216" t="s">
        <v>1584</v>
      </c>
      <c r="I218" s="213">
        <v>1903</v>
      </c>
      <c r="J218" s="216" t="s">
        <v>1585</v>
      </c>
      <c r="K218" s="216" t="s">
        <v>1047</v>
      </c>
      <c r="L218" s="213">
        <v>1903011</v>
      </c>
      <c r="M218" s="216" t="s">
        <v>1013</v>
      </c>
      <c r="N218" s="213">
        <v>1903011</v>
      </c>
      <c r="O218" s="216" t="s">
        <v>1013</v>
      </c>
      <c r="P218" s="292">
        <v>190301101</v>
      </c>
      <c r="Q218" s="216" t="s">
        <v>1033</v>
      </c>
      <c r="R218" s="292">
        <v>190301101</v>
      </c>
      <c r="S218" s="216" t="s">
        <v>1033</v>
      </c>
      <c r="T218" s="236" t="s">
        <v>1671</v>
      </c>
      <c r="U218" s="76">
        <v>12</v>
      </c>
      <c r="V218" s="76">
        <v>15</v>
      </c>
      <c r="W218" s="236" t="s">
        <v>1041</v>
      </c>
      <c r="X218" s="214" t="s">
        <v>1042</v>
      </c>
      <c r="Y218" s="214" t="s">
        <v>1043</v>
      </c>
      <c r="Z218" s="289"/>
      <c r="AA218" s="289"/>
      <c r="AB218" s="289"/>
      <c r="AC218" s="289"/>
      <c r="AD218" s="289"/>
      <c r="AE218" s="289"/>
      <c r="AF218" s="289"/>
      <c r="AG218" s="289"/>
      <c r="AH218" s="289"/>
      <c r="AI218" s="289"/>
      <c r="AJ218" s="289"/>
      <c r="AK218" s="289"/>
      <c r="AL218" s="289"/>
      <c r="AM218" s="289"/>
      <c r="AN218" s="289"/>
      <c r="AO218" s="322"/>
      <c r="AP218" s="322"/>
      <c r="AQ218" s="322"/>
      <c r="AR218" s="289"/>
      <c r="AS218" s="289"/>
      <c r="AT218" s="289"/>
      <c r="AU218" s="289"/>
      <c r="AV218" s="289"/>
      <c r="AW218" s="289"/>
      <c r="AX218" s="289"/>
      <c r="AY218" s="289"/>
      <c r="AZ218" s="289"/>
      <c r="BA218" s="289"/>
      <c r="BB218" s="289"/>
      <c r="BC218" s="289"/>
      <c r="BD218" s="294">
        <v>15000000</v>
      </c>
      <c r="BE218" s="294">
        <v>15000000</v>
      </c>
      <c r="BF218" s="294">
        <v>15000000</v>
      </c>
      <c r="BG218" s="289"/>
      <c r="BH218" s="289"/>
      <c r="BI218" s="289"/>
      <c r="BJ218" s="289"/>
      <c r="BK218" s="289"/>
      <c r="BL218" s="289"/>
      <c r="BM218" s="289"/>
      <c r="BN218" s="289"/>
      <c r="BO218" s="289"/>
      <c r="BP218" s="273">
        <f t="shared" si="59"/>
        <v>15000000</v>
      </c>
      <c r="BQ218" s="273">
        <f t="shared" si="57"/>
        <v>15000000</v>
      </c>
      <c r="BR218" s="273">
        <f t="shared" si="58"/>
        <v>15000000</v>
      </c>
      <c r="BS218" s="246" t="s">
        <v>1655</v>
      </c>
      <c r="BT218" s="233"/>
    </row>
    <row r="219" spans="1:72" s="27" customFormat="1" ht="58.5" customHeight="1" x14ac:dyDescent="0.2">
      <c r="A219" s="217">
        <v>318</v>
      </c>
      <c r="B219" s="310" t="s">
        <v>1628</v>
      </c>
      <c r="C219" s="213">
        <v>1</v>
      </c>
      <c r="D219" s="287" t="s">
        <v>1614</v>
      </c>
      <c r="E219" s="213">
        <v>19</v>
      </c>
      <c r="F219" s="216" t="s">
        <v>147</v>
      </c>
      <c r="G219" s="213">
        <v>1903</v>
      </c>
      <c r="H219" s="216" t="s">
        <v>1584</v>
      </c>
      <c r="I219" s="213">
        <v>1903</v>
      </c>
      <c r="J219" s="216" t="s">
        <v>1585</v>
      </c>
      <c r="K219" s="216" t="s">
        <v>1048</v>
      </c>
      <c r="L219" s="213">
        <v>1903047</v>
      </c>
      <c r="M219" s="216" t="s">
        <v>1049</v>
      </c>
      <c r="N219" s="213">
        <v>1903047</v>
      </c>
      <c r="O219" s="216" t="s">
        <v>1049</v>
      </c>
      <c r="P219" s="292">
        <v>190304701</v>
      </c>
      <c r="Q219" s="311" t="s">
        <v>1050</v>
      </c>
      <c r="R219" s="292">
        <v>190304701</v>
      </c>
      <c r="S219" s="311" t="s">
        <v>1050</v>
      </c>
      <c r="T219" s="236" t="s">
        <v>1671</v>
      </c>
      <c r="U219" s="76">
        <v>1</v>
      </c>
      <c r="V219" s="76">
        <v>2</v>
      </c>
      <c r="W219" s="236" t="s">
        <v>1051</v>
      </c>
      <c r="X219" s="214" t="s">
        <v>1052</v>
      </c>
      <c r="Y219" s="214" t="s">
        <v>1053</v>
      </c>
      <c r="Z219" s="289"/>
      <c r="AA219" s="289"/>
      <c r="AB219" s="289"/>
      <c r="AC219" s="289"/>
      <c r="AD219" s="289"/>
      <c r="AE219" s="289"/>
      <c r="AF219" s="289"/>
      <c r="AG219" s="289"/>
      <c r="AH219" s="289"/>
      <c r="AI219" s="289"/>
      <c r="AJ219" s="289"/>
      <c r="AK219" s="289"/>
      <c r="AL219" s="289"/>
      <c r="AM219" s="289"/>
      <c r="AN219" s="289"/>
      <c r="AO219" s="266">
        <v>10000000</v>
      </c>
      <c r="AP219" s="354">
        <v>6093833</v>
      </c>
      <c r="AQ219" s="354">
        <v>6093833</v>
      </c>
      <c r="AR219" s="289"/>
      <c r="AS219" s="289"/>
      <c r="AT219" s="289"/>
      <c r="AU219" s="289"/>
      <c r="AV219" s="289"/>
      <c r="AW219" s="289"/>
      <c r="AX219" s="289"/>
      <c r="AY219" s="289"/>
      <c r="AZ219" s="289"/>
      <c r="BA219" s="289"/>
      <c r="BB219" s="289"/>
      <c r="BC219" s="289"/>
      <c r="BD219" s="294"/>
      <c r="BE219" s="294"/>
      <c r="BF219" s="294"/>
      <c r="BG219" s="289"/>
      <c r="BH219" s="289"/>
      <c r="BI219" s="289"/>
      <c r="BJ219" s="289"/>
      <c r="BK219" s="289"/>
      <c r="BL219" s="289"/>
      <c r="BM219" s="289"/>
      <c r="BN219" s="289"/>
      <c r="BO219" s="289"/>
      <c r="BP219" s="273">
        <f t="shared" si="59"/>
        <v>10000000</v>
      </c>
      <c r="BQ219" s="273">
        <f t="shared" si="57"/>
        <v>6093833</v>
      </c>
      <c r="BR219" s="273">
        <f t="shared" si="58"/>
        <v>6093833</v>
      </c>
      <c r="BS219" s="246" t="s">
        <v>1655</v>
      </c>
      <c r="BT219" s="233"/>
    </row>
    <row r="220" spans="1:72" s="27" customFormat="1" ht="90.75" customHeight="1" x14ac:dyDescent="0.2">
      <c r="A220" s="217">
        <v>318</v>
      </c>
      <c r="B220" s="310" t="s">
        <v>1628</v>
      </c>
      <c r="C220" s="213">
        <v>1</v>
      </c>
      <c r="D220" s="287" t="s">
        <v>1614</v>
      </c>
      <c r="E220" s="213">
        <v>19</v>
      </c>
      <c r="F220" s="216" t="s">
        <v>147</v>
      </c>
      <c r="G220" s="213">
        <v>1903</v>
      </c>
      <c r="H220" s="216" t="s">
        <v>1584</v>
      </c>
      <c r="I220" s="213">
        <v>1903</v>
      </c>
      <c r="J220" s="216" t="s">
        <v>1585</v>
      </c>
      <c r="K220" s="216" t="s">
        <v>1054</v>
      </c>
      <c r="L220" s="213">
        <v>1903019</v>
      </c>
      <c r="M220" s="216" t="s">
        <v>1055</v>
      </c>
      <c r="N220" s="213">
        <v>1903019</v>
      </c>
      <c r="O220" s="216" t="s">
        <v>1055</v>
      </c>
      <c r="P220" s="292">
        <v>190301900</v>
      </c>
      <c r="Q220" s="216" t="s">
        <v>1056</v>
      </c>
      <c r="R220" s="292">
        <v>190301900</v>
      </c>
      <c r="S220" s="216" t="s">
        <v>1056</v>
      </c>
      <c r="T220" s="236" t="s">
        <v>1671</v>
      </c>
      <c r="U220" s="76">
        <v>75</v>
      </c>
      <c r="V220" s="76">
        <v>30</v>
      </c>
      <c r="W220" s="236" t="s">
        <v>1051</v>
      </c>
      <c r="X220" s="214" t="s">
        <v>1052</v>
      </c>
      <c r="Y220" s="214" t="s">
        <v>1053</v>
      </c>
      <c r="Z220" s="289"/>
      <c r="AA220" s="289"/>
      <c r="AB220" s="289"/>
      <c r="AC220" s="289"/>
      <c r="AD220" s="289"/>
      <c r="AE220" s="289"/>
      <c r="AF220" s="289"/>
      <c r="AG220" s="289"/>
      <c r="AH220" s="289"/>
      <c r="AI220" s="289"/>
      <c r="AJ220" s="289"/>
      <c r="AK220" s="289"/>
      <c r="AL220" s="289"/>
      <c r="AM220" s="289"/>
      <c r="AN220" s="289"/>
      <c r="AO220" s="239">
        <f>55000000-27918995</f>
        <v>27081005</v>
      </c>
      <c r="AP220" s="354"/>
      <c r="AQ220" s="354"/>
      <c r="AR220" s="355"/>
      <c r="AS220" s="355"/>
      <c r="AT220" s="355"/>
      <c r="AU220" s="289"/>
      <c r="AV220" s="289"/>
      <c r="AW220" s="289"/>
      <c r="AX220" s="289"/>
      <c r="AY220" s="289"/>
      <c r="AZ220" s="289"/>
      <c r="BA220" s="289"/>
      <c r="BB220" s="289"/>
      <c r="BC220" s="289"/>
      <c r="BD220" s="294"/>
      <c r="BE220" s="294"/>
      <c r="BF220" s="294"/>
      <c r="BG220" s="289"/>
      <c r="BH220" s="289"/>
      <c r="BI220" s="289"/>
      <c r="BJ220" s="289"/>
      <c r="BK220" s="289"/>
      <c r="BL220" s="289"/>
      <c r="BM220" s="289"/>
      <c r="BN220" s="289"/>
      <c r="BO220" s="289"/>
      <c r="BP220" s="273">
        <f t="shared" si="59"/>
        <v>27081005</v>
      </c>
      <c r="BQ220" s="273">
        <f t="shared" si="57"/>
        <v>0</v>
      </c>
      <c r="BR220" s="273">
        <f t="shared" si="58"/>
        <v>0</v>
      </c>
      <c r="BS220" s="246" t="s">
        <v>1655</v>
      </c>
      <c r="BT220" s="233"/>
    </row>
    <row r="221" spans="1:72" s="27" customFormat="1" ht="88.5" customHeight="1" x14ac:dyDescent="0.2">
      <c r="A221" s="217">
        <v>318</v>
      </c>
      <c r="B221" s="310" t="s">
        <v>1628</v>
      </c>
      <c r="C221" s="213">
        <v>1</v>
      </c>
      <c r="D221" s="287" t="s">
        <v>1614</v>
      </c>
      <c r="E221" s="213">
        <v>19</v>
      </c>
      <c r="F221" s="216" t="s">
        <v>147</v>
      </c>
      <c r="G221" s="213">
        <v>1903</v>
      </c>
      <c r="H221" s="216" t="s">
        <v>1584</v>
      </c>
      <c r="I221" s="213">
        <v>1903</v>
      </c>
      <c r="J221" s="216" t="s">
        <v>1585</v>
      </c>
      <c r="K221" s="216" t="s">
        <v>1057</v>
      </c>
      <c r="L221" s="213">
        <v>1903028</v>
      </c>
      <c r="M221" s="216" t="s">
        <v>1058</v>
      </c>
      <c r="N221" s="213">
        <v>1903028</v>
      </c>
      <c r="O221" s="216" t="s">
        <v>1058</v>
      </c>
      <c r="P221" s="292">
        <v>190302800</v>
      </c>
      <c r="Q221" s="216" t="s">
        <v>1059</v>
      </c>
      <c r="R221" s="292">
        <v>190302800</v>
      </c>
      <c r="S221" s="216" t="s">
        <v>1059</v>
      </c>
      <c r="T221" s="236" t="s">
        <v>1671</v>
      </c>
      <c r="U221" s="76">
        <v>250</v>
      </c>
      <c r="V221" s="76">
        <v>210</v>
      </c>
      <c r="W221" s="236" t="s">
        <v>1051</v>
      </c>
      <c r="X221" s="214" t="s">
        <v>1052</v>
      </c>
      <c r="Y221" s="214" t="s">
        <v>1053</v>
      </c>
      <c r="Z221" s="289"/>
      <c r="AA221" s="289"/>
      <c r="AB221" s="289"/>
      <c r="AC221" s="289"/>
      <c r="AD221" s="289"/>
      <c r="AE221" s="289"/>
      <c r="AF221" s="289"/>
      <c r="AG221" s="289"/>
      <c r="AH221" s="289"/>
      <c r="AI221" s="289"/>
      <c r="AJ221" s="289"/>
      <c r="AK221" s="289"/>
      <c r="AL221" s="289"/>
      <c r="AM221" s="289"/>
      <c r="AN221" s="289"/>
      <c r="AO221" s="239">
        <v>14000000</v>
      </c>
      <c r="AP221" s="354">
        <v>14000000</v>
      </c>
      <c r="AQ221" s="354">
        <v>14000000</v>
      </c>
      <c r="AR221" s="289"/>
      <c r="AS221" s="289"/>
      <c r="AT221" s="289"/>
      <c r="AU221" s="289"/>
      <c r="AV221" s="289"/>
      <c r="AW221" s="289"/>
      <c r="AX221" s="289"/>
      <c r="AY221" s="289"/>
      <c r="AZ221" s="289"/>
      <c r="BA221" s="289"/>
      <c r="BB221" s="289"/>
      <c r="BC221" s="289"/>
      <c r="BD221" s="294"/>
      <c r="BE221" s="294"/>
      <c r="BF221" s="294"/>
      <c r="BG221" s="289"/>
      <c r="BH221" s="289"/>
      <c r="BI221" s="289"/>
      <c r="BJ221" s="289"/>
      <c r="BK221" s="289"/>
      <c r="BL221" s="289"/>
      <c r="BM221" s="289"/>
      <c r="BN221" s="289"/>
      <c r="BO221" s="289"/>
      <c r="BP221" s="273">
        <f t="shared" si="59"/>
        <v>14000000</v>
      </c>
      <c r="BQ221" s="273">
        <f t="shared" si="57"/>
        <v>14000000</v>
      </c>
      <c r="BR221" s="273">
        <f t="shared" si="58"/>
        <v>14000000</v>
      </c>
      <c r="BS221" s="246" t="s">
        <v>1655</v>
      </c>
      <c r="BT221" s="233"/>
    </row>
    <row r="222" spans="1:72" s="27" customFormat="1" ht="85.5" customHeight="1" x14ac:dyDescent="0.2">
      <c r="A222" s="217">
        <v>318</v>
      </c>
      <c r="B222" s="310" t="s">
        <v>1628</v>
      </c>
      <c r="C222" s="213">
        <v>1</v>
      </c>
      <c r="D222" s="287" t="s">
        <v>1614</v>
      </c>
      <c r="E222" s="213">
        <v>19</v>
      </c>
      <c r="F222" s="216" t="s">
        <v>147</v>
      </c>
      <c r="G222" s="213">
        <v>1903</v>
      </c>
      <c r="H222" s="216" t="s">
        <v>1584</v>
      </c>
      <c r="I222" s="213">
        <v>1903</v>
      </c>
      <c r="J222" s="216" t="s">
        <v>1585</v>
      </c>
      <c r="K222" s="216" t="s">
        <v>1021</v>
      </c>
      <c r="L222" s="213">
        <v>1903025</v>
      </c>
      <c r="M222" s="239" t="s">
        <v>1060</v>
      </c>
      <c r="N222" s="213">
        <v>1903025</v>
      </c>
      <c r="O222" s="216" t="s">
        <v>1060</v>
      </c>
      <c r="P222" s="292">
        <v>190302500</v>
      </c>
      <c r="Q222" s="239" t="s">
        <v>1061</v>
      </c>
      <c r="R222" s="292">
        <v>190302500</v>
      </c>
      <c r="S222" s="216" t="s">
        <v>1061</v>
      </c>
      <c r="T222" s="236" t="s">
        <v>1671</v>
      </c>
      <c r="U222" s="76">
        <v>12</v>
      </c>
      <c r="V222" s="76">
        <v>12</v>
      </c>
      <c r="W222" s="236" t="s">
        <v>1051</v>
      </c>
      <c r="X222" s="214" t="s">
        <v>1052</v>
      </c>
      <c r="Y222" s="214" t="s">
        <v>1053</v>
      </c>
      <c r="Z222" s="289"/>
      <c r="AA222" s="289"/>
      <c r="AB222" s="289"/>
      <c r="AC222" s="289"/>
      <c r="AD222" s="289"/>
      <c r="AE222" s="289"/>
      <c r="AF222" s="289"/>
      <c r="AG222" s="289"/>
      <c r="AH222" s="289"/>
      <c r="AI222" s="239"/>
      <c r="AJ222" s="239"/>
      <c r="AK222" s="239"/>
      <c r="AL222" s="239"/>
      <c r="AM222" s="239"/>
      <c r="AN222" s="239"/>
      <c r="AO222" s="239">
        <v>40000000</v>
      </c>
      <c r="AP222" s="239">
        <v>40000000</v>
      </c>
      <c r="AQ222" s="354">
        <v>40000000</v>
      </c>
      <c r="AR222" s="289"/>
      <c r="AS222" s="289"/>
      <c r="AT222" s="289"/>
      <c r="AU222" s="289"/>
      <c r="AV222" s="289"/>
      <c r="AW222" s="289"/>
      <c r="AX222" s="289"/>
      <c r="AY222" s="289"/>
      <c r="AZ222" s="289"/>
      <c r="BA222" s="289"/>
      <c r="BB222" s="289"/>
      <c r="BC222" s="289"/>
      <c r="BD222" s="294"/>
      <c r="BE222" s="294"/>
      <c r="BF222" s="294"/>
      <c r="BG222" s="289"/>
      <c r="BH222" s="289"/>
      <c r="BI222" s="289"/>
      <c r="BJ222" s="289"/>
      <c r="BK222" s="289"/>
      <c r="BL222" s="289"/>
      <c r="BM222" s="289"/>
      <c r="BN222" s="289"/>
      <c r="BO222" s="289"/>
      <c r="BP222" s="273">
        <f t="shared" si="59"/>
        <v>40000000</v>
      </c>
      <c r="BQ222" s="273">
        <f t="shared" si="57"/>
        <v>40000000</v>
      </c>
      <c r="BR222" s="273">
        <f t="shared" si="58"/>
        <v>40000000</v>
      </c>
      <c r="BS222" s="246" t="s">
        <v>1655</v>
      </c>
      <c r="BT222" s="233"/>
    </row>
    <row r="223" spans="1:72" s="27" customFormat="1" ht="159.75" customHeight="1" x14ac:dyDescent="0.2">
      <c r="A223" s="217">
        <v>318</v>
      </c>
      <c r="B223" s="310" t="s">
        <v>1628</v>
      </c>
      <c r="C223" s="213">
        <v>1</v>
      </c>
      <c r="D223" s="287" t="s">
        <v>1614</v>
      </c>
      <c r="E223" s="213">
        <v>19</v>
      </c>
      <c r="F223" s="216" t="s">
        <v>147</v>
      </c>
      <c r="G223" s="213">
        <v>1905</v>
      </c>
      <c r="H223" s="216" t="s">
        <v>768</v>
      </c>
      <c r="I223" s="213">
        <v>1905</v>
      </c>
      <c r="J223" s="216" t="s">
        <v>1586</v>
      </c>
      <c r="K223" s="216" t="s">
        <v>998</v>
      </c>
      <c r="L223" s="213">
        <v>1905028</v>
      </c>
      <c r="M223" s="216" t="s">
        <v>1062</v>
      </c>
      <c r="N223" s="213">
        <v>1905028</v>
      </c>
      <c r="O223" s="216" t="s">
        <v>1062</v>
      </c>
      <c r="P223" s="292">
        <v>190502800</v>
      </c>
      <c r="Q223" s="216" t="s">
        <v>1063</v>
      </c>
      <c r="R223" s="292">
        <v>190502800</v>
      </c>
      <c r="S223" s="216" t="s">
        <v>1063</v>
      </c>
      <c r="T223" s="236" t="s">
        <v>1671</v>
      </c>
      <c r="U223" s="76">
        <v>12</v>
      </c>
      <c r="V223" s="76">
        <v>12</v>
      </c>
      <c r="W223" s="236" t="s">
        <v>1064</v>
      </c>
      <c r="X223" s="214" t="s">
        <v>1065</v>
      </c>
      <c r="Y223" s="214" t="s">
        <v>1066</v>
      </c>
      <c r="Z223" s="289"/>
      <c r="AA223" s="289"/>
      <c r="AB223" s="289"/>
      <c r="AC223" s="289"/>
      <c r="AD223" s="289"/>
      <c r="AE223" s="289"/>
      <c r="AF223" s="289"/>
      <c r="AG223" s="289"/>
      <c r="AH223" s="289"/>
      <c r="AI223" s="289"/>
      <c r="AJ223" s="289"/>
      <c r="AK223" s="289"/>
      <c r="AL223" s="289">
        <v>38000000</v>
      </c>
      <c r="AM223" s="289">
        <v>38000000</v>
      </c>
      <c r="AN223" s="289">
        <v>38000000</v>
      </c>
      <c r="AO223" s="289"/>
      <c r="AP223" s="289"/>
      <c r="AQ223" s="289"/>
      <c r="AR223" s="289"/>
      <c r="AS223" s="289"/>
      <c r="AT223" s="289"/>
      <c r="AU223" s="289"/>
      <c r="AV223" s="289"/>
      <c r="AW223" s="289"/>
      <c r="AX223" s="289"/>
      <c r="AY223" s="289"/>
      <c r="AZ223" s="289"/>
      <c r="BA223" s="289"/>
      <c r="BB223" s="289"/>
      <c r="BC223" s="289"/>
      <c r="BD223" s="294"/>
      <c r="BE223" s="294"/>
      <c r="BF223" s="294"/>
      <c r="BG223" s="289"/>
      <c r="BH223" s="289"/>
      <c r="BI223" s="289"/>
      <c r="BJ223" s="289"/>
      <c r="BK223" s="289"/>
      <c r="BL223" s="289"/>
      <c r="BM223" s="289"/>
      <c r="BN223" s="289"/>
      <c r="BO223" s="289"/>
      <c r="BP223" s="273">
        <f t="shared" si="59"/>
        <v>38000000</v>
      </c>
      <c r="BQ223" s="273">
        <f t="shared" ref="BQ223:BQ251" si="60">+AA223+AD223+AG223+AJ223+AM223+AP223+AS223+AV223+AY223+BB223+BE223+BH223+BK223</f>
        <v>38000000</v>
      </c>
      <c r="BR223" s="273">
        <f t="shared" ref="BR223:BR251" si="61">+AB223+AE223+AH223+AK223+AN223+AQ223+AT223+AW223+AZ223+BC223+BF223+BI223+BL223</f>
        <v>38000000</v>
      </c>
      <c r="BS223" s="246" t="s">
        <v>1655</v>
      </c>
      <c r="BT223" s="233"/>
    </row>
    <row r="224" spans="1:72" s="27" customFormat="1" ht="114.75" customHeight="1" x14ac:dyDescent="0.2">
      <c r="A224" s="217">
        <v>318</v>
      </c>
      <c r="B224" s="310" t="s">
        <v>1628</v>
      </c>
      <c r="C224" s="213">
        <v>1</v>
      </c>
      <c r="D224" s="287" t="s">
        <v>1614</v>
      </c>
      <c r="E224" s="213">
        <v>19</v>
      </c>
      <c r="F224" s="216" t="s">
        <v>147</v>
      </c>
      <c r="G224" s="213">
        <v>1905</v>
      </c>
      <c r="H224" s="216" t="s">
        <v>768</v>
      </c>
      <c r="I224" s="213">
        <v>1905</v>
      </c>
      <c r="J224" s="216" t="s">
        <v>1586</v>
      </c>
      <c r="K224" s="216" t="s">
        <v>998</v>
      </c>
      <c r="L224" s="213">
        <v>1905031</v>
      </c>
      <c r="M224" s="216" t="s">
        <v>1067</v>
      </c>
      <c r="N224" s="213">
        <v>1905031</v>
      </c>
      <c r="O224" s="216" t="s">
        <v>1067</v>
      </c>
      <c r="P224" s="213">
        <v>190503100</v>
      </c>
      <c r="Q224" s="216" t="s">
        <v>1068</v>
      </c>
      <c r="R224" s="213">
        <v>190503100</v>
      </c>
      <c r="S224" s="216" t="s">
        <v>1068</v>
      </c>
      <c r="T224" s="236" t="s">
        <v>1671</v>
      </c>
      <c r="U224" s="76">
        <v>12</v>
      </c>
      <c r="V224" s="76">
        <v>10</v>
      </c>
      <c r="W224" s="236" t="s">
        <v>1064</v>
      </c>
      <c r="X224" s="214" t="s">
        <v>1065</v>
      </c>
      <c r="Y224" s="214" t="s">
        <v>1066</v>
      </c>
      <c r="Z224" s="289"/>
      <c r="AA224" s="289"/>
      <c r="AB224" s="289"/>
      <c r="AC224" s="289"/>
      <c r="AD224" s="289"/>
      <c r="AE224" s="289"/>
      <c r="AF224" s="289"/>
      <c r="AG224" s="289"/>
      <c r="AH224" s="289"/>
      <c r="AI224" s="289"/>
      <c r="AJ224" s="289"/>
      <c r="AK224" s="289"/>
      <c r="AL224" s="289">
        <v>38000000</v>
      </c>
      <c r="AM224" s="289">
        <v>38000000</v>
      </c>
      <c r="AN224" s="289">
        <v>38000000</v>
      </c>
      <c r="AO224" s="289"/>
      <c r="AP224" s="289"/>
      <c r="AQ224" s="289"/>
      <c r="AR224" s="289"/>
      <c r="AS224" s="289"/>
      <c r="AT224" s="289"/>
      <c r="AU224" s="289"/>
      <c r="AV224" s="289"/>
      <c r="AW224" s="289"/>
      <c r="AX224" s="289"/>
      <c r="AY224" s="289"/>
      <c r="AZ224" s="289"/>
      <c r="BA224" s="289"/>
      <c r="BB224" s="289"/>
      <c r="BC224" s="289"/>
      <c r="BD224" s="294"/>
      <c r="BE224" s="294"/>
      <c r="BF224" s="294"/>
      <c r="BG224" s="289"/>
      <c r="BH224" s="289"/>
      <c r="BI224" s="289"/>
      <c r="BJ224" s="289"/>
      <c r="BK224" s="289"/>
      <c r="BL224" s="289"/>
      <c r="BM224" s="289"/>
      <c r="BN224" s="289"/>
      <c r="BO224" s="289"/>
      <c r="BP224" s="273">
        <f t="shared" si="59"/>
        <v>38000000</v>
      </c>
      <c r="BQ224" s="273">
        <f t="shared" si="60"/>
        <v>38000000</v>
      </c>
      <c r="BR224" s="273">
        <f t="shared" si="61"/>
        <v>38000000</v>
      </c>
      <c r="BS224" s="246" t="s">
        <v>1655</v>
      </c>
      <c r="BT224" s="233"/>
    </row>
    <row r="225" spans="1:72" s="27" customFormat="1" ht="73.5" customHeight="1" x14ac:dyDescent="0.2">
      <c r="A225" s="217">
        <v>318</v>
      </c>
      <c r="B225" s="310" t="s">
        <v>1628</v>
      </c>
      <c r="C225" s="213">
        <v>1</v>
      </c>
      <c r="D225" s="287" t="s">
        <v>1614</v>
      </c>
      <c r="E225" s="213">
        <v>19</v>
      </c>
      <c r="F225" s="216" t="s">
        <v>147</v>
      </c>
      <c r="G225" s="213">
        <v>1905</v>
      </c>
      <c r="H225" s="216" t="s">
        <v>768</v>
      </c>
      <c r="I225" s="213">
        <v>1905</v>
      </c>
      <c r="J225" s="216" t="s">
        <v>1586</v>
      </c>
      <c r="K225" s="216" t="s">
        <v>1069</v>
      </c>
      <c r="L225" s="213">
        <v>1905019</v>
      </c>
      <c r="M225" s="216" t="s">
        <v>1070</v>
      </c>
      <c r="N225" s="213">
        <v>1905019</v>
      </c>
      <c r="O225" s="216" t="s">
        <v>1070</v>
      </c>
      <c r="P225" s="213">
        <v>190501900</v>
      </c>
      <c r="Q225" s="216" t="s">
        <v>330</v>
      </c>
      <c r="R225" s="213">
        <v>190501900</v>
      </c>
      <c r="S225" s="216" t="s">
        <v>330</v>
      </c>
      <c r="T225" s="236" t="s">
        <v>1671</v>
      </c>
      <c r="U225" s="76">
        <v>60</v>
      </c>
      <c r="V225" s="76">
        <v>805</v>
      </c>
      <c r="W225" s="236" t="s">
        <v>1071</v>
      </c>
      <c r="X225" s="214" t="s">
        <v>1072</v>
      </c>
      <c r="Y225" s="214" t="s">
        <v>1073</v>
      </c>
      <c r="Z225" s="289"/>
      <c r="AA225" s="289"/>
      <c r="AB225" s="289"/>
      <c r="AC225" s="289"/>
      <c r="AD225" s="289"/>
      <c r="AE225" s="289"/>
      <c r="AF225" s="289"/>
      <c r="AG225" s="289"/>
      <c r="AH225" s="289"/>
      <c r="AI225" s="289"/>
      <c r="AJ225" s="289"/>
      <c r="AK225" s="289"/>
      <c r="AL225" s="356">
        <v>20000000</v>
      </c>
      <c r="AM225" s="356">
        <v>14614667</v>
      </c>
      <c r="AN225" s="356">
        <v>14614667</v>
      </c>
      <c r="AO225" s="289"/>
      <c r="AP225" s="289"/>
      <c r="AQ225" s="289"/>
      <c r="AR225" s="289"/>
      <c r="AS225" s="289"/>
      <c r="AT225" s="289"/>
      <c r="AU225" s="289"/>
      <c r="AV225" s="289"/>
      <c r="AW225" s="289"/>
      <c r="AX225" s="289"/>
      <c r="AY225" s="289"/>
      <c r="AZ225" s="289"/>
      <c r="BA225" s="289"/>
      <c r="BB225" s="289"/>
      <c r="BC225" s="289"/>
      <c r="BD225" s="294"/>
      <c r="BE225" s="294"/>
      <c r="BF225" s="294"/>
      <c r="BG225" s="289"/>
      <c r="BH225" s="289"/>
      <c r="BI225" s="289"/>
      <c r="BJ225" s="289"/>
      <c r="BK225" s="289"/>
      <c r="BL225" s="289"/>
      <c r="BM225" s="289"/>
      <c r="BN225" s="289"/>
      <c r="BO225" s="289"/>
      <c r="BP225" s="273">
        <f t="shared" si="59"/>
        <v>20000000</v>
      </c>
      <c r="BQ225" s="273">
        <f t="shared" si="60"/>
        <v>14614667</v>
      </c>
      <c r="BR225" s="273">
        <f t="shared" si="61"/>
        <v>14614667</v>
      </c>
      <c r="BS225" s="246" t="s">
        <v>1655</v>
      </c>
      <c r="BT225" s="233"/>
    </row>
    <row r="226" spans="1:72" s="27" customFormat="1" ht="152.25" customHeight="1" x14ac:dyDescent="0.2">
      <c r="A226" s="217">
        <v>318</v>
      </c>
      <c r="B226" s="310" t="s">
        <v>1628</v>
      </c>
      <c r="C226" s="213">
        <v>1</v>
      </c>
      <c r="D226" s="287" t="s">
        <v>1614</v>
      </c>
      <c r="E226" s="213">
        <v>19</v>
      </c>
      <c r="F226" s="216" t="s">
        <v>147</v>
      </c>
      <c r="G226" s="213">
        <v>1905</v>
      </c>
      <c r="H226" s="216" t="s">
        <v>768</v>
      </c>
      <c r="I226" s="213">
        <v>1905</v>
      </c>
      <c r="J226" s="216" t="s">
        <v>1586</v>
      </c>
      <c r="K226" s="216" t="s">
        <v>1074</v>
      </c>
      <c r="L226" s="213" t="s">
        <v>1075</v>
      </c>
      <c r="M226" s="216" t="s">
        <v>1076</v>
      </c>
      <c r="N226" s="213">
        <v>1905031</v>
      </c>
      <c r="O226" s="216" t="s">
        <v>1077</v>
      </c>
      <c r="P226" s="213" t="s">
        <v>41</v>
      </c>
      <c r="Q226" s="216" t="s">
        <v>1078</v>
      </c>
      <c r="R226" s="213">
        <v>190503100</v>
      </c>
      <c r="S226" s="216" t="s">
        <v>1678</v>
      </c>
      <c r="T226" s="236" t="s">
        <v>1671</v>
      </c>
      <c r="U226" s="76">
        <v>11</v>
      </c>
      <c r="V226" s="76">
        <v>9</v>
      </c>
      <c r="W226" s="236" t="s">
        <v>1071</v>
      </c>
      <c r="X226" s="214" t="s">
        <v>1072</v>
      </c>
      <c r="Y226" s="214" t="s">
        <v>1073</v>
      </c>
      <c r="Z226" s="289"/>
      <c r="AA226" s="289"/>
      <c r="AB226" s="289"/>
      <c r="AC226" s="289"/>
      <c r="AD226" s="289"/>
      <c r="AE226" s="289"/>
      <c r="AF226" s="289"/>
      <c r="AG226" s="289"/>
      <c r="AH226" s="289"/>
      <c r="AI226" s="289"/>
      <c r="AJ226" s="289"/>
      <c r="AK226" s="289"/>
      <c r="AL226" s="356">
        <v>20000000</v>
      </c>
      <c r="AM226" s="356">
        <v>20000000</v>
      </c>
      <c r="AN226" s="356">
        <v>20000000</v>
      </c>
      <c r="AO226" s="289"/>
      <c r="AP226" s="289"/>
      <c r="AQ226" s="289"/>
      <c r="AR226" s="289"/>
      <c r="AS226" s="289"/>
      <c r="AT226" s="289"/>
      <c r="AU226" s="289"/>
      <c r="AV226" s="289"/>
      <c r="AW226" s="289"/>
      <c r="AX226" s="289"/>
      <c r="AY226" s="289"/>
      <c r="AZ226" s="289"/>
      <c r="BA226" s="289"/>
      <c r="BB226" s="289"/>
      <c r="BC226" s="289"/>
      <c r="BD226" s="294"/>
      <c r="BE226" s="294"/>
      <c r="BF226" s="294"/>
      <c r="BG226" s="289"/>
      <c r="BH226" s="289"/>
      <c r="BI226" s="289"/>
      <c r="BJ226" s="289"/>
      <c r="BK226" s="289"/>
      <c r="BL226" s="289"/>
      <c r="BM226" s="289"/>
      <c r="BN226" s="289"/>
      <c r="BO226" s="289"/>
      <c r="BP226" s="273">
        <f t="shared" si="59"/>
        <v>20000000</v>
      </c>
      <c r="BQ226" s="273">
        <f t="shared" si="60"/>
        <v>20000000</v>
      </c>
      <c r="BR226" s="273">
        <f t="shared" si="61"/>
        <v>20000000</v>
      </c>
      <c r="BS226" s="246" t="s">
        <v>1655</v>
      </c>
      <c r="BT226" s="233"/>
    </row>
    <row r="227" spans="1:72" s="27" customFormat="1" ht="112.5" customHeight="1" x14ac:dyDescent="0.2">
      <c r="A227" s="217">
        <v>318</v>
      </c>
      <c r="B227" s="310" t="s">
        <v>1628</v>
      </c>
      <c r="C227" s="213">
        <v>1</v>
      </c>
      <c r="D227" s="287" t="s">
        <v>1614</v>
      </c>
      <c r="E227" s="213">
        <v>19</v>
      </c>
      <c r="F227" s="216" t="s">
        <v>147</v>
      </c>
      <c r="G227" s="213">
        <v>1905</v>
      </c>
      <c r="H227" s="216" t="s">
        <v>768</v>
      </c>
      <c r="I227" s="213">
        <v>1905</v>
      </c>
      <c r="J227" s="216" t="s">
        <v>1586</v>
      </c>
      <c r="K227" s="216" t="s">
        <v>1079</v>
      </c>
      <c r="L227" s="213" t="s">
        <v>41</v>
      </c>
      <c r="M227" s="216" t="s">
        <v>1670</v>
      </c>
      <c r="N227" s="213">
        <v>1905015</v>
      </c>
      <c r="O227" s="216" t="s">
        <v>233</v>
      </c>
      <c r="P227" s="213" t="s">
        <v>41</v>
      </c>
      <c r="Q227" s="216" t="s">
        <v>1080</v>
      </c>
      <c r="R227" s="213">
        <v>190501500</v>
      </c>
      <c r="S227" s="216" t="s">
        <v>235</v>
      </c>
      <c r="T227" s="236" t="s">
        <v>1671</v>
      </c>
      <c r="U227" s="76">
        <v>1</v>
      </c>
      <c r="V227" s="76">
        <v>1</v>
      </c>
      <c r="W227" s="236" t="s">
        <v>1071</v>
      </c>
      <c r="X227" s="214" t="s">
        <v>1072</v>
      </c>
      <c r="Y227" s="214" t="s">
        <v>1073</v>
      </c>
      <c r="Z227" s="289"/>
      <c r="AA227" s="289"/>
      <c r="AB227" s="289"/>
      <c r="AC227" s="289"/>
      <c r="AD227" s="289"/>
      <c r="AE227" s="289"/>
      <c r="AF227" s="289"/>
      <c r="AG227" s="289"/>
      <c r="AH227" s="289"/>
      <c r="AI227" s="289"/>
      <c r="AJ227" s="289"/>
      <c r="AK227" s="289"/>
      <c r="AL227" s="356">
        <v>20000000</v>
      </c>
      <c r="AM227" s="356">
        <v>20000000</v>
      </c>
      <c r="AN227" s="356">
        <v>20000000</v>
      </c>
      <c r="AO227" s="289"/>
      <c r="AP227" s="289"/>
      <c r="AQ227" s="289"/>
      <c r="AR227" s="289"/>
      <c r="AS227" s="289"/>
      <c r="AT227" s="289"/>
      <c r="AU227" s="289"/>
      <c r="AV227" s="289"/>
      <c r="AW227" s="289"/>
      <c r="AX227" s="289"/>
      <c r="AY227" s="289"/>
      <c r="AZ227" s="289"/>
      <c r="BA227" s="289"/>
      <c r="BB227" s="289"/>
      <c r="BC227" s="289"/>
      <c r="BD227" s="294"/>
      <c r="BE227" s="294"/>
      <c r="BF227" s="294"/>
      <c r="BG227" s="289"/>
      <c r="BH227" s="289"/>
      <c r="BI227" s="289"/>
      <c r="BJ227" s="289"/>
      <c r="BK227" s="289"/>
      <c r="BL227" s="289"/>
      <c r="BM227" s="289"/>
      <c r="BN227" s="289"/>
      <c r="BO227" s="289"/>
      <c r="BP227" s="273">
        <f t="shared" si="59"/>
        <v>20000000</v>
      </c>
      <c r="BQ227" s="273">
        <f t="shared" si="60"/>
        <v>20000000</v>
      </c>
      <c r="BR227" s="273">
        <f t="shared" si="61"/>
        <v>20000000</v>
      </c>
      <c r="BS227" s="246" t="s">
        <v>1655</v>
      </c>
      <c r="BT227" s="233"/>
    </row>
    <row r="228" spans="1:72" s="27" customFormat="1" ht="120.75" customHeight="1" x14ac:dyDescent="0.2">
      <c r="A228" s="217">
        <v>318</v>
      </c>
      <c r="B228" s="310" t="s">
        <v>1628</v>
      </c>
      <c r="C228" s="213">
        <v>1</v>
      </c>
      <c r="D228" s="287" t="s">
        <v>1614</v>
      </c>
      <c r="E228" s="213">
        <v>19</v>
      </c>
      <c r="F228" s="216" t="s">
        <v>147</v>
      </c>
      <c r="G228" s="213">
        <v>1905</v>
      </c>
      <c r="H228" s="216" t="s">
        <v>768</v>
      </c>
      <c r="I228" s="213">
        <v>1905</v>
      </c>
      <c r="J228" s="216" t="s">
        <v>1586</v>
      </c>
      <c r="K228" s="216" t="s">
        <v>1001</v>
      </c>
      <c r="L228" s="213" t="s">
        <v>41</v>
      </c>
      <c r="M228" s="216" t="s">
        <v>1081</v>
      </c>
      <c r="N228" s="213">
        <v>1905024</v>
      </c>
      <c r="O228" s="216" t="s">
        <v>1082</v>
      </c>
      <c r="P228" s="213" t="s">
        <v>41</v>
      </c>
      <c r="Q228" s="216" t="s">
        <v>1083</v>
      </c>
      <c r="R228" s="213">
        <v>190502400</v>
      </c>
      <c r="S228" s="311" t="s">
        <v>1084</v>
      </c>
      <c r="T228" s="236" t="s">
        <v>1673</v>
      </c>
      <c r="U228" s="76">
        <f>3</f>
        <v>3</v>
      </c>
      <c r="V228" s="76">
        <v>3</v>
      </c>
      <c r="W228" s="236" t="s">
        <v>1071</v>
      </c>
      <c r="X228" s="214" t="s">
        <v>1072</v>
      </c>
      <c r="Y228" s="214" t="s">
        <v>1073</v>
      </c>
      <c r="Z228" s="289"/>
      <c r="AA228" s="289"/>
      <c r="AB228" s="289"/>
      <c r="AC228" s="289"/>
      <c r="AD228" s="289"/>
      <c r="AE228" s="289"/>
      <c r="AF228" s="289"/>
      <c r="AG228" s="289"/>
      <c r="AH228" s="289"/>
      <c r="AI228" s="289"/>
      <c r="AJ228" s="289"/>
      <c r="AK228" s="289"/>
      <c r="AL228" s="356">
        <f>64000000+17000000</f>
        <v>81000000</v>
      </c>
      <c r="AM228" s="356">
        <v>78366165</v>
      </c>
      <c r="AN228" s="356">
        <v>78366165</v>
      </c>
      <c r="AO228" s="289"/>
      <c r="AP228" s="289"/>
      <c r="AQ228" s="289"/>
      <c r="AR228" s="289"/>
      <c r="AS228" s="289"/>
      <c r="AT228" s="289"/>
      <c r="AU228" s="289"/>
      <c r="AV228" s="289"/>
      <c r="AW228" s="289"/>
      <c r="AX228" s="289"/>
      <c r="AY228" s="289"/>
      <c r="AZ228" s="289"/>
      <c r="BA228" s="289"/>
      <c r="BB228" s="289"/>
      <c r="BC228" s="289"/>
      <c r="BD228" s="294"/>
      <c r="BE228" s="294"/>
      <c r="BF228" s="294"/>
      <c r="BG228" s="289"/>
      <c r="BH228" s="289"/>
      <c r="BI228" s="289"/>
      <c r="BJ228" s="289"/>
      <c r="BK228" s="289"/>
      <c r="BL228" s="289"/>
      <c r="BM228" s="289"/>
      <c r="BN228" s="289"/>
      <c r="BO228" s="289"/>
      <c r="BP228" s="273">
        <f t="shared" si="59"/>
        <v>81000000</v>
      </c>
      <c r="BQ228" s="273">
        <f t="shared" si="60"/>
        <v>78366165</v>
      </c>
      <c r="BR228" s="273">
        <f t="shared" si="61"/>
        <v>78366165</v>
      </c>
      <c r="BS228" s="246" t="s">
        <v>1655</v>
      </c>
      <c r="BT228" s="233"/>
    </row>
    <row r="229" spans="1:72" s="27" customFormat="1" ht="78" customHeight="1" x14ac:dyDescent="0.2">
      <c r="A229" s="217">
        <v>318</v>
      </c>
      <c r="B229" s="310" t="s">
        <v>1628</v>
      </c>
      <c r="C229" s="213">
        <v>1</v>
      </c>
      <c r="D229" s="287" t="s">
        <v>1614</v>
      </c>
      <c r="E229" s="213">
        <v>19</v>
      </c>
      <c r="F229" s="216" t="s">
        <v>147</v>
      </c>
      <c r="G229" s="213">
        <v>1905</v>
      </c>
      <c r="H229" s="216" t="s">
        <v>768</v>
      </c>
      <c r="I229" s="213">
        <v>1905</v>
      </c>
      <c r="J229" s="216" t="s">
        <v>1586</v>
      </c>
      <c r="K229" s="216" t="s">
        <v>1085</v>
      </c>
      <c r="L229" s="213" t="s">
        <v>41</v>
      </c>
      <c r="M229" s="216" t="s">
        <v>1086</v>
      </c>
      <c r="N229" s="213">
        <v>1905015</v>
      </c>
      <c r="O229" s="216" t="s">
        <v>233</v>
      </c>
      <c r="P229" s="213" t="s">
        <v>41</v>
      </c>
      <c r="Q229" s="216" t="s">
        <v>1087</v>
      </c>
      <c r="R229" s="213">
        <v>190501500</v>
      </c>
      <c r="S229" s="311" t="s">
        <v>235</v>
      </c>
      <c r="T229" s="236" t="s">
        <v>1673</v>
      </c>
      <c r="U229" s="76">
        <v>4</v>
      </c>
      <c r="V229" s="76">
        <v>2</v>
      </c>
      <c r="W229" s="236" t="s">
        <v>1071</v>
      </c>
      <c r="X229" s="214" t="s">
        <v>1072</v>
      </c>
      <c r="Y229" s="214" t="s">
        <v>1073</v>
      </c>
      <c r="Z229" s="289"/>
      <c r="AA229" s="289"/>
      <c r="AB229" s="289"/>
      <c r="AC229" s="289"/>
      <c r="AD229" s="289"/>
      <c r="AE229" s="289"/>
      <c r="AF229" s="289"/>
      <c r="AG229" s="289"/>
      <c r="AH229" s="289"/>
      <c r="AI229" s="289"/>
      <c r="AJ229" s="289"/>
      <c r="AK229" s="289"/>
      <c r="AL229" s="356">
        <f>20000000-17000000</f>
        <v>3000000</v>
      </c>
      <c r="AM229" s="356"/>
      <c r="AN229" s="356"/>
      <c r="AO229" s="289"/>
      <c r="AP229" s="289"/>
      <c r="AQ229" s="289"/>
      <c r="AR229" s="289"/>
      <c r="AS229" s="289"/>
      <c r="AT229" s="289"/>
      <c r="AU229" s="289"/>
      <c r="AV229" s="289"/>
      <c r="AW229" s="289"/>
      <c r="AX229" s="289"/>
      <c r="AY229" s="289"/>
      <c r="AZ229" s="289"/>
      <c r="BA229" s="289"/>
      <c r="BB229" s="289"/>
      <c r="BC229" s="289"/>
      <c r="BD229" s="294"/>
      <c r="BE229" s="294"/>
      <c r="BF229" s="294"/>
      <c r="BG229" s="289"/>
      <c r="BH229" s="289"/>
      <c r="BI229" s="289"/>
      <c r="BJ229" s="289"/>
      <c r="BK229" s="289"/>
      <c r="BL229" s="289"/>
      <c r="BM229" s="289"/>
      <c r="BN229" s="289"/>
      <c r="BO229" s="289"/>
      <c r="BP229" s="273">
        <f t="shared" si="59"/>
        <v>3000000</v>
      </c>
      <c r="BQ229" s="273">
        <f t="shared" si="60"/>
        <v>0</v>
      </c>
      <c r="BR229" s="273">
        <f t="shared" si="61"/>
        <v>0</v>
      </c>
      <c r="BS229" s="246" t="s">
        <v>1655</v>
      </c>
      <c r="BT229" s="233"/>
    </row>
    <row r="230" spans="1:72" s="27" customFormat="1" ht="126.75" customHeight="1" x14ac:dyDescent="0.2">
      <c r="A230" s="217">
        <v>318</v>
      </c>
      <c r="B230" s="310" t="s">
        <v>1628</v>
      </c>
      <c r="C230" s="213">
        <v>1</v>
      </c>
      <c r="D230" s="287" t="s">
        <v>1614</v>
      </c>
      <c r="E230" s="213">
        <v>19</v>
      </c>
      <c r="F230" s="216" t="s">
        <v>147</v>
      </c>
      <c r="G230" s="213">
        <v>1905</v>
      </c>
      <c r="H230" s="216" t="s">
        <v>768</v>
      </c>
      <c r="I230" s="213">
        <v>1905</v>
      </c>
      <c r="J230" s="216" t="s">
        <v>1586</v>
      </c>
      <c r="K230" s="216" t="s">
        <v>1001</v>
      </c>
      <c r="L230" s="213" t="s">
        <v>41</v>
      </c>
      <c r="M230" s="216" t="s">
        <v>1088</v>
      </c>
      <c r="N230" s="213">
        <v>1905024</v>
      </c>
      <c r="O230" s="216" t="s">
        <v>1082</v>
      </c>
      <c r="P230" s="213" t="s">
        <v>41</v>
      </c>
      <c r="Q230" s="311" t="s">
        <v>1089</v>
      </c>
      <c r="R230" s="292">
        <v>190502400</v>
      </c>
      <c r="S230" s="311" t="s">
        <v>1084</v>
      </c>
      <c r="T230" s="236" t="s">
        <v>1671</v>
      </c>
      <c r="U230" s="76">
        <v>12</v>
      </c>
      <c r="V230" s="76">
        <v>12</v>
      </c>
      <c r="W230" s="236" t="s">
        <v>1071</v>
      </c>
      <c r="X230" s="214" t="s">
        <v>1072</v>
      </c>
      <c r="Y230" s="214" t="s">
        <v>1073</v>
      </c>
      <c r="Z230" s="289"/>
      <c r="AA230" s="289"/>
      <c r="AB230" s="289"/>
      <c r="AC230" s="289"/>
      <c r="AD230" s="289"/>
      <c r="AE230" s="289"/>
      <c r="AF230" s="289"/>
      <c r="AG230" s="289"/>
      <c r="AH230" s="289"/>
      <c r="AI230" s="289"/>
      <c r="AJ230" s="289"/>
      <c r="AK230" s="289"/>
      <c r="AL230" s="356">
        <v>28000000</v>
      </c>
      <c r="AM230" s="356">
        <v>20000000</v>
      </c>
      <c r="AN230" s="356">
        <v>20000000</v>
      </c>
      <c r="AO230" s="289"/>
      <c r="AP230" s="289"/>
      <c r="AQ230" s="289"/>
      <c r="AR230" s="289"/>
      <c r="AS230" s="289"/>
      <c r="AT230" s="289"/>
      <c r="AU230" s="289"/>
      <c r="AV230" s="289"/>
      <c r="AW230" s="289"/>
      <c r="AX230" s="289"/>
      <c r="AY230" s="289"/>
      <c r="AZ230" s="289"/>
      <c r="BA230" s="289"/>
      <c r="BB230" s="289"/>
      <c r="BC230" s="289"/>
      <c r="BD230" s="294"/>
      <c r="BE230" s="294"/>
      <c r="BF230" s="294"/>
      <c r="BG230" s="289"/>
      <c r="BH230" s="289"/>
      <c r="BI230" s="289"/>
      <c r="BJ230" s="289"/>
      <c r="BK230" s="289"/>
      <c r="BL230" s="289"/>
      <c r="BM230" s="289"/>
      <c r="BN230" s="289"/>
      <c r="BO230" s="289"/>
      <c r="BP230" s="273">
        <f t="shared" si="59"/>
        <v>28000000</v>
      </c>
      <c r="BQ230" s="273">
        <f t="shared" si="60"/>
        <v>20000000</v>
      </c>
      <c r="BR230" s="273">
        <f t="shared" si="61"/>
        <v>20000000</v>
      </c>
      <c r="BS230" s="246" t="s">
        <v>1655</v>
      </c>
      <c r="BT230" s="233"/>
    </row>
    <row r="231" spans="1:72" s="27" customFormat="1" ht="127.5" customHeight="1" x14ac:dyDescent="0.2">
      <c r="A231" s="217">
        <v>318</v>
      </c>
      <c r="B231" s="310" t="s">
        <v>1628</v>
      </c>
      <c r="C231" s="213">
        <v>1</v>
      </c>
      <c r="D231" s="287" t="s">
        <v>1614</v>
      </c>
      <c r="E231" s="213">
        <v>19</v>
      </c>
      <c r="F231" s="216" t="s">
        <v>147</v>
      </c>
      <c r="G231" s="213">
        <v>1905</v>
      </c>
      <c r="H231" s="216" t="s">
        <v>768</v>
      </c>
      <c r="I231" s="213">
        <v>1905</v>
      </c>
      <c r="J231" s="216" t="s">
        <v>1586</v>
      </c>
      <c r="K231" s="216" t="s">
        <v>1038</v>
      </c>
      <c r="L231" s="213" t="s">
        <v>41</v>
      </c>
      <c r="M231" s="216" t="s">
        <v>1090</v>
      </c>
      <c r="N231" s="213">
        <v>1905024</v>
      </c>
      <c r="O231" s="216" t="s">
        <v>1082</v>
      </c>
      <c r="P231" s="213" t="s">
        <v>41</v>
      </c>
      <c r="Q231" s="311" t="s">
        <v>1091</v>
      </c>
      <c r="R231" s="292">
        <v>190502401</v>
      </c>
      <c r="S231" s="311" t="s">
        <v>1092</v>
      </c>
      <c r="T231" s="236" t="s">
        <v>1673</v>
      </c>
      <c r="U231" s="76">
        <v>4</v>
      </c>
      <c r="V231" s="76">
        <v>4</v>
      </c>
      <c r="W231" s="236" t="s">
        <v>1071</v>
      </c>
      <c r="X231" s="214" t="s">
        <v>1072</v>
      </c>
      <c r="Y231" s="214" t="s">
        <v>1073</v>
      </c>
      <c r="Z231" s="289"/>
      <c r="AA231" s="289"/>
      <c r="AB231" s="289"/>
      <c r="AC231" s="289"/>
      <c r="AD231" s="289"/>
      <c r="AE231" s="289"/>
      <c r="AF231" s="289"/>
      <c r="AG231" s="289"/>
      <c r="AH231" s="289"/>
      <c r="AI231" s="289"/>
      <c r="AJ231" s="289"/>
      <c r="AK231" s="289"/>
      <c r="AL231" s="356">
        <v>28000000</v>
      </c>
      <c r="AM231" s="356">
        <v>24925000</v>
      </c>
      <c r="AN231" s="356">
        <v>24925000</v>
      </c>
      <c r="AO231" s="289"/>
      <c r="AP231" s="289"/>
      <c r="AQ231" s="289"/>
      <c r="AR231" s="289"/>
      <c r="AS231" s="289"/>
      <c r="AT231" s="289"/>
      <c r="AU231" s="289"/>
      <c r="AV231" s="289"/>
      <c r="AW231" s="289"/>
      <c r="AX231" s="289"/>
      <c r="AY231" s="289"/>
      <c r="AZ231" s="289"/>
      <c r="BA231" s="289"/>
      <c r="BB231" s="289"/>
      <c r="BC231" s="289"/>
      <c r="BD231" s="294"/>
      <c r="BE231" s="294"/>
      <c r="BF231" s="294"/>
      <c r="BG231" s="289"/>
      <c r="BH231" s="289"/>
      <c r="BI231" s="289"/>
      <c r="BJ231" s="289"/>
      <c r="BK231" s="289"/>
      <c r="BL231" s="289"/>
      <c r="BM231" s="289"/>
      <c r="BN231" s="289"/>
      <c r="BO231" s="289"/>
      <c r="BP231" s="273">
        <f t="shared" si="59"/>
        <v>28000000</v>
      </c>
      <c r="BQ231" s="273">
        <f t="shared" si="60"/>
        <v>24925000</v>
      </c>
      <c r="BR231" s="273">
        <f t="shared" si="61"/>
        <v>24925000</v>
      </c>
      <c r="BS231" s="246" t="s">
        <v>1655</v>
      </c>
      <c r="BT231" s="233"/>
    </row>
    <row r="232" spans="1:72" s="27" customFormat="1" ht="171" customHeight="1" x14ac:dyDescent="0.2">
      <c r="A232" s="217">
        <v>318</v>
      </c>
      <c r="B232" s="310" t="s">
        <v>1628</v>
      </c>
      <c r="C232" s="213">
        <v>1</v>
      </c>
      <c r="D232" s="287" t="s">
        <v>1614</v>
      </c>
      <c r="E232" s="213">
        <v>19</v>
      </c>
      <c r="F232" s="216" t="s">
        <v>147</v>
      </c>
      <c r="G232" s="213">
        <v>1905</v>
      </c>
      <c r="H232" s="216" t="s">
        <v>768</v>
      </c>
      <c r="I232" s="213">
        <v>1905</v>
      </c>
      <c r="J232" s="216" t="s">
        <v>1586</v>
      </c>
      <c r="K232" s="216" t="s">
        <v>769</v>
      </c>
      <c r="L232" s="213">
        <v>1905021</v>
      </c>
      <c r="M232" s="216" t="s">
        <v>770</v>
      </c>
      <c r="N232" s="213">
        <v>1905021</v>
      </c>
      <c r="O232" s="216" t="s">
        <v>770</v>
      </c>
      <c r="P232" s="292">
        <v>190502100</v>
      </c>
      <c r="Q232" s="311" t="s">
        <v>771</v>
      </c>
      <c r="R232" s="292">
        <v>190502100</v>
      </c>
      <c r="S232" s="311" t="s">
        <v>771</v>
      </c>
      <c r="T232" s="236" t="s">
        <v>1671</v>
      </c>
      <c r="U232" s="76">
        <v>12</v>
      </c>
      <c r="V232" s="76">
        <v>12</v>
      </c>
      <c r="W232" s="236" t="s">
        <v>1093</v>
      </c>
      <c r="X232" s="214" t="s">
        <v>1094</v>
      </c>
      <c r="Y232" s="214" t="s">
        <v>1095</v>
      </c>
      <c r="Z232" s="289"/>
      <c r="AA232" s="289"/>
      <c r="AB232" s="289"/>
      <c r="AC232" s="289"/>
      <c r="AD232" s="289"/>
      <c r="AE232" s="289"/>
      <c r="AF232" s="289"/>
      <c r="AG232" s="289"/>
      <c r="AH232" s="289"/>
      <c r="AI232" s="289"/>
      <c r="AJ232" s="289"/>
      <c r="AK232" s="289"/>
      <c r="AL232" s="356">
        <v>105000000</v>
      </c>
      <c r="AM232" s="356">
        <v>90637333</v>
      </c>
      <c r="AN232" s="356">
        <v>90637333</v>
      </c>
      <c r="AO232" s="289"/>
      <c r="AP232" s="289"/>
      <c r="AQ232" s="289"/>
      <c r="AR232" s="289"/>
      <c r="AS232" s="289"/>
      <c r="AT232" s="289"/>
      <c r="AU232" s="289"/>
      <c r="AV232" s="289"/>
      <c r="AW232" s="289"/>
      <c r="AX232" s="289"/>
      <c r="AY232" s="289"/>
      <c r="AZ232" s="289"/>
      <c r="BA232" s="289"/>
      <c r="BB232" s="289"/>
      <c r="BC232" s="289"/>
      <c r="BD232" s="294"/>
      <c r="BE232" s="294"/>
      <c r="BF232" s="294"/>
      <c r="BG232" s="289"/>
      <c r="BH232" s="289"/>
      <c r="BI232" s="289"/>
      <c r="BJ232" s="289"/>
      <c r="BK232" s="289"/>
      <c r="BL232" s="289"/>
      <c r="BM232" s="289"/>
      <c r="BN232" s="289"/>
      <c r="BO232" s="289"/>
      <c r="BP232" s="273">
        <f t="shared" si="59"/>
        <v>105000000</v>
      </c>
      <c r="BQ232" s="273">
        <f t="shared" si="60"/>
        <v>90637333</v>
      </c>
      <c r="BR232" s="273">
        <f>+AB232+AE232+AH232+AK232+AN232+AQ232+AT232+AW232+AZ232+BC232+BF232+BI232+BL232</f>
        <v>90637333</v>
      </c>
      <c r="BS232" s="246" t="s">
        <v>1655</v>
      </c>
      <c r="BT232" s="233"/>
    </row>
    <row r="233" spans="1:72" s="27" customFormat="1" ht="156" customHeight="1" x14ac:dyDescent="0.2">
      <c r="A233" s="217">
        <v>318</v>
      </c>
      <c r="B233" s="310" t="s">
        <v>1628</v>
      </c>
      <c r="C233" s="213">
        <v>1</v>
      </c>
      <c r="D233" s="287" t="s">
        <v>1614</v>
      </c>
      <c r="E233" s="213">
        <v>19</v>
      </c>
      <c r="F233" s="216" t="s">
        <v>147</v>
      </c>
      <c r="G233" s="213">
        <v>1905</v>
      </c>
      <c r="H233" s="216" t="s">
        <v>768</v>
      </c>
      <c r="I233" s="213">
        <v>1905</v>
      </c>
      <c r="J233" s="216" t="s">
        <v>1586</v>
      </c>
      <c r="K233" s="216" t="s">
        <v>1074</v>
      </c>
      <c r="L233" s="213" t="s">
        <v>41</v>
      </c>
      <c r="M233" s="216" t="s">
        <v>1096</v>
      </c>
      <c r="N233" s="213">
        <v>1905021</v>
      </c>
      <c r="O233" s="216" t="s">
        <v>1097</v>
      </c>
      <c r="P233" s="213" t="s">
        <v>41</v>
      </c>
      <c r="Q233" s="216" t="s">
        <v>1078</v>
      </c>
      <c r="R233" s="213">
        <v>190502100</v>
      </c>
      <c r="S233" s="216" t="s">
        <v>1098</v>
      </c>
      <c r="T233" s="236" t="s">
        <v>1671</v>
      </c>
      <c r="U233" s="76">
        <v>11</v>
      </c>
      <c r="V233" s="76">
        <v>11</v>
      </c>
      <c r="W233" s="236" t="s">
        <v>1093</v>
      </c>
      <c r="X233" s="214" t="s">
        <v>1094</v>
      </c>
      <c r="Y233" s="214" t="s">
        <v>1095</v>
      </c>
      <c r="Z233" s="289"/>
      <c r="AA233" s="289"/>
      <c r="AB233" s="289"/>
      <c r="AC233" s="289"/>
      <c r="AD233" s="289"/>
      <c r="AE233" s="289"/>
      <c r="AF233" s="289"/>
      <c r="AG233" s="289"/>
      <c r="AH233" s="289"/>
      <c r="AI233" s="289"/>
      <c r="AJ233" s="289"/>
      <c r="AK233" s="289"/>
      <c r="AL233" s="356">
        <v>56000000</v>
      </c>
      <c r="AM233" s="356">
        <v>50907500</v>
      </c>
      <c r="AN233" s="356">
        <v>50907500</v>
      </c>
      <c r="AO233" s="289"/>
      <c r="AP233" s="289"/>
      <c r="AQ233" s="289"/>
      <c r="AR233" s="289"/>
      <c r="AS233" s="289"/>
      <c r="AT233" s="289"/>
      <c r="AU233" s="289"/>
      <c r="AV233" s="289"/>
      <c r="AW233" s="289"/>
      <c r="AX233" s="289"/>
      <c r="AY233" s="289"/>
      <c r="AZ233" s="289"/>
      <c r="BA233" s="289"/>
      <c r="BB233" s="289"/>
      <c r="BC233" s="289"/>
      <c r="BD233" s="294"/>
      <c r="BE233" s="294"/>
      <c r="BF233" s="294"/>
      <c r="BG233" s="289"/>
      <c r="BH233" s="289"/>
      <c r="BI233" s="289"/>
      <c r="BJ233" s="289"/>
      <c r="BK233" s="289"/>
      <c r="BL233" s="289"/>
      <c r="BM233" s="289"/>
      <c r="BN233" s="289"/>
      <c r="BO233" s="289"/>
      <c r="BP233" s="273">
        <f t="shared" si="59"/>
        <v>56000000</v>
      </c>
      <c r="BQ233" s="273">
        <f t="shared" si="60"/>
        <v>50907500</v>
      </c>
      <c r="BR233" s="273">
        <f t="shared" si="61"/>
        <v>50907500</v>
      </c>
      <c r="BS233" s="246" t="s">
        <v>1655</v>
      </c>
      <c r="BT233" s="233"/>
    </row>
    <row r="234" spans="1:72" s="27" customFormat="1" ht="129.75" customHeight="1" x14ac:dyDescent="0.2">
      <c r="A234" s="217">
        <v>318</v>
      </c>
      <c r="B234" s="310" t="s">
        <v>1628</v>
      </c>
      <c r="C234" s="213">
        <v>1</v>
      </c>
      <c r="D234" s="287" t="s">
        <v>1614</v>
      </c>
      <c r="E234" s="213">
        <v>19</v>
      </c>
      <c r="F234" s="216" t="s">
        <v>147</v>
      </c>
      <c r="G234" s="213">
        <v>1905</v>
      </c>
      <c r="H234" s="216" t="s">
        <v>768</v>
      </c>
      <c r="I234" s="213">
        <v>1905</v>
      </c>
      <c r="J234" s="216" t="s">
        <v>1586</v>
      </c>
      <c r="K234" s="216" t="s">
        <v>1021</v>
      </c>
      <c r="L234" s="217">
        <v>1905020</v>
      </c>
      <c r="M234" s="216" t="s">
        <v>1099</v>
      </c>
      <c r="N234" s="217">
        <v>1905020</v>
      </c>
      <c r="O234" s="216" t="s">
        <v>1099</v>
      </c>
      <c r="P234" s="292">
        <v>190502000</v>
      </c>
      <c r="Q234" s="216" t="s">
        <v>1100</v>
      </c>
      <c r="R234" s="292">
        <v>190502000</v>
      </c>
      <c r="S234" s="216" t="s">
        <v>1100</v>
      </c>
      <c r="T234" s="236" t="s">
        <v>1671</v>
      </c>
      <c r="U234" s="76">
        <v>12</v>
      </c>
      <c r="V234" s="76">
        <v>12</v>
      </c>
      <c r="W234" s="236" t="s">
        <v>1101</v>
      </c>
      <c r="X234" s="214" t="s">
        <v>1102</v>
      </c>
      <c r="Y234" s="214" t="s">
        <v>1103</v>
      </c>
      <c r="Z234" s="289"/>
      <c r="AA234" s="289"/>
      <c r="AB234" s="289"/>
      <c r="AC234" s="289"/>
      <c r="AD234" s="289"/>
      <c r="AE234" s="289"/>
      <c r="AF234" s="289"/>
      <c r="AG234" s="289"/>
      <c r="AH234" s="289"/>
      <c r="AI234" s="289"/>
      <c r="AJ234" s="289"/>
      <c r="AK234" s="289"/>
      <c r="AL234" s="357">
        <v>38000000</v>
      </c>
      <c r="AM234" s="357">
        <v>37800000</v>
      </c>
      <c r="AN234" s="357">
        <v>37800000</v>
      </c>
      <c r="AO234" s="289"/>
      <c r="AP234" s="289"/>
      <c r="AQ234" s="289"/>
      <c r="AR234" s="289"/>
      <c r="AS234" s="289"/>
      <c r="AT234" s="289"/>
      <c r="AU234" s="289"/>
      <c r="AV234" s="289"/>
      <c r="AW234" s="289"/>
      <c r="AX234" s="289"/>
      <c r="AY234" s="289"/>
      <c r="AZ234" s="289"/>
      <c r="BA234" s="289"/>
      <c r="BB234" s="289"/>
      <c r="BC234" s="289"/>
      <c r="BD234" s="294"/>
      <c r="BE234" s="294"/>
      <c r="BF234" s="294"/>
      <c r="BG234" s="289"/>
      <c r="BH234" s="289"/>
      <c r="BI234" s="289"/>
      <c r="BJ234" s="289">
        <v>548597644</v>
      </c>
      <c r="BK234" s="289"/>
      <c r="BL234" s="289"/>
      <c r="BM234" s="289"/>
      <c r="BN234" s="289"/>
      <c r="BO234" s="289"/>
      <c r="BP234" s="273">
        <f t="shared" si="59"/>
        <v>586597644</v>
      </c>
      <c r="BQ234" s="273">
        <f t="shared" si="60"/>
        <v>37800000</v>
      </c>
      <c r="BR234" s="273">
        <f t="shared" si="61"/>
        <v>37800000</v>
      </c>
      <c r="BS234" s="246" t="s">
        <v>1655</v>
      </c>
      <c r="BT234" s="233"/>
    </row>
    <row r="235" spans="1:72" s="27" customFormat="1" ht="183" customHeight="1" x14ac:dyDescent="0.2">
      <c r="A235" s="217">
        <v>318</v>
      </c>
      <c r="B235" s="310" t="s">
        <v>1628</v>
      </c>
      <c r="C235" s="213">
        <v>1</v>
      </c>
      <c r="D235" s="287" t="s">
        <v>1614</v>
      </c>
      <c r="E235" s="213">
        <v>19</v>
      </c>
      <c r="F235" s="216" t="s">
        <v>147</v>
      </c>
      <c r="G235" s="213">
        <v>1905</v>
      </c>
      <c r="H235" s="216" t="s">
        <v>768</v>
      </c>
      <c r="I235" s="213">
        <v>1905</v>
      </c>
      <c r="J235" s="216" t="s">
        <v>1586</v>
      </c>
      <c r="K235" s="216" t="s">
        <v>775</v>
      </c>
      <c r="L235" s="217">
        <v>1905022</v>
      </c>
      <c r="M235" s="216" t="s">
        <v>776</v>
      </c>
      <c r="N235" s="217">
        <v>1905022</v>
      </c>
      <c r="O235" s="216" t="s">
        <v>776</v>
      </c>
      <c r="P235" s="292">
        <v>190502200</v>
      </c>
      <c r="Q235" s="311" t="s">
        <v>777</v>
      </c>
      <c r="R235" s="292">
        <v>190502200</v>
      </c>
      <c r="S235" s="311" t="s">
        <v>777</v>
      </c>
      <c r="T235" s="236" t="s">
        <v>1671</v>
      </c>
      <c r="U235" s="76">
        <v>12</v>
      </c>
      <c r="V235" s="76">
        <v>12</v>
      </c>
      <c r="W235" s="236" t="s">
        <v>1101</v>
      </c>
      <c r="X235" s="214" t="s">
        <v>1102</v>
      </c>
      <c r="Y235" s="214" t="s">
        <v>1103</v>
      </c>
      <c r="Z235" s="289"/>
      <c r="AA235" s="289"/>
      <c r="AB235" s="289"/>
      <c r="AC235" s="289"/>
      <c r="AD235" s="289"/>
      <c r="AE235" s="289"/>
      <c r="AF235" s="289"/>
      <c r="AG235" s="289"/>
      <c r="AH235" s="289"/>
      <c r="AI235" s="289"/>
      <c r="AJ235" s="289"/>
      <c r="AK235" s="289"/>
      <c r="AL235" s="357">
        <f>57000000+9700000</f>
        <v>66700000</v>
      </c>
      <c r="AM235" s="357">
        <v>47576996</v>
      </c>
      <c r="AN235" s="357">
        <v>47576996</v>
      </c>
      <c r="AO235" s="289"/>
      <c r="AP235" s="289"/>
      <c r="AQ235" s="289"/>
      <c r="AR235" s="289"/>
      <c r="AS235" s="289"/>
      <c r="AT235" s="289"/>
      <c r="AU235" s="289"/>
      <c r="AV235" s="289"/>
      <c r="AW235" s="289"/>
      <c r="AX235" s="289"/>
      <c r="AY235" s="289"/>
      <c r="AZ235" s="289"/>
      <c r="BA235" s="289"/>
      <c r="BB235" s="289"/>
      <c r="BC235" s="289"/>
      <c r="BD235" s="294"/>
      <c r="BE235" s="294"/>
      <c r="BF235" s="294"/>
      <c r="BG235" s="289"/>
      <c r="BH235" s="289"/>
      <c r="BI235" s="289"/>
      <c r="BJ235" s="289"/>
      <c r="BK235" s="289"/>
      <c r="BL235" s="289"/>
      <c r="BM235" s="289"/>
      <c r="BN235" s="289"/>
      <c r="BO235" s="289"/>
      <c r="BP235" s="273">
        <f t="shared" si="59"/>
        <v>66700000</v>
      </c>
      <c r="BQ235" s="273">
        <f t="shared" si="60"/>
        <v>47576996</v>
      </c>
      <c r="BR235" s="273">
        <f t="shared" si="61"/>
        <v>47576996</v>
      </c>
      <c r="BS235" s="246" t="s">
        <v>1655</v>
      </c>
      <c r="BT235" s="233"/>
    </row>
    <row r="236" spans="1:72" s="27" customFormat="1" ht="96" customHeight="1" x14ac:dyDescent="0.2">
      <c r="A236" s="217">
        <v>318</v>
      </c>
      <c r="B236" s="310" t="s">
        <v>1628</v>
      </c>
      <c r="C236" s="213">
        <v>1</v>
      </c>
      <c r="D236" s="287" t="s">
        <v>1614</v>
      </c>
      <c r="E236" s="213">
        <v>19</v>
      </c>
      <c r="F236" s="216" t="s">
        <v>147</v>
      </c>
      <c r="G236" s="213">
        <v>1905</v>
      </c>
      <c r="H236" s="216" t="s">
        <v>768</v>
      </c>
      <c r="I236" s="213">
        <v>1905</v>
      </c>
      <c r="J236" s="216" t="s">
        <v>1586</v>
      </c>
      <c r="K236" s="216" t="s">
        <v>1021</v>
      </c>
      <c r="L236" s="213" t="s">
        <v>41</v>
      </c>
      <c r="M236" s="216" t="s">
        <v>1104</v>
      </c>
      <c r="N236" s="213">
        <v>1905015</v>
      </c>
      <c r="O236" s="216" t="s">
        <v>233</v>
      </c>
      <c r="P236" s="213" t="s">
        <v>41</v>
      </c>
      <c r="Q236" s="311" t="s">
        <v>1105</v>
      </c>
      <c r="R236" s="213" t="s">
        <v>1106</v>
      </c>
      <c r="S236" s="311" t="s">
        <v>1107</v>
      </c>
      <c r="T236" s="236" t="s">
        <v>1671</v>
      </c>
      <c r="U236" s="76">
        <v>1</v>
      </c>
      <c r="V236" s="76">
        <v>1</v>
      </c>
      <c r="W236" s="236" t="s">
        <v>1101</v>
      </c>
      <c r="X236" s="214" t="s">
        <v>1102</v>
      </c>
      <c r="Y236" s="214" t="s">
        <v>1103</v>
      </c>
      <c r="Z236" s="289"/>
      <c r="AA236" s="289"/>
      <c r="AB236" s="289"/>
      <c r="AC236" s="289"/>
      <c r="AD236" s="289"/>
      <c r="AE236" s="289"/>
      <c r="AF236" s="289"/>
      <c r="AG236" s="289"/>
      <c r="AH236" s="289"/>
      <c r="AI236" s="289">
        <f>100000000-100000000</f>
        <v>0</v>
      </c>
      <c r="AJ236" s="289"/>
      <c r="AK236" s="289"/>
      <c r="AL236" s="357">
        <f>58000000-9700000</f>
        <v>48300000</v>
      </c>
      <c r="AM236" s="357">
        <v>34925499</v>
      </c>
      <c r="AN236" s="357">
        <v>34925499</v>
      </c>
      <c r="AO236" s="289"/>
      <c r="AP236" s="289"/>
      <c r="AQ236" s="289"/>
      <c r="AR236" s="289"/>
      <c r="AS236" s="289"/>
      <c r="AT236" s="289"/>
      <c r="AU236" s="289"/>
      <c r="AV236" s="289"/>
      <c r="AW236" s="289"/>
      <c r="AX236" s="289"/>
      <c r="AY236" s="289"/>
      <c r="AZ236" s="289"/>
      <c r="BA236" s="289"/>
      <c r="BB236" s="289"/>
      <c r="BC236" s="289"/>
      <c r="BD236" s="294"/>
      <c r="BE236" s="294"/>
      <c r="BF236" s="294"/>
      <c r="BG236" s="289"/>
      <c r="BH236" s="289"/>
      <c r="BI236" s="289"/>
      <c r="BJ236" s="289"/>
      <c r="BK236" s="289"/>
      <c r="BL236" s="289"/>
      <c r="BM236" s="289"/>
      <c r="BN236" s="289"/>
      <c r="BO236" s="289"/>
      <c r="BP236" s="273">
        <f t="shared" si="59"/>
        <v>48300000</v>
      </c>
      <c r="BQ236" s="273">
        <f t="shared" si="60"/>
        <v>34925499</v>
      </c>
      <c r="BR236" s="273">
        <f t="shared" si="61"/>
        <v>34925499</v>
      </c>
      <c r="BS236" s="246" t="s">
        <v>1655</v>
      </c>
      <c r="BT236" s="233"/>
    </row>
    <row r="237" spans="1:72" s="27" customFormat="1" ht="120" customHeight="1" x14ac:dyDescent="0.2">
      <c r="A237" s="217">
        <v>318</v>
      </c>
      <c r="B237" s="310" t="s">
        <v>1628</v>
      </c>
      <c r="C237" s="213">
        <v>1</v>
      </c>
      <c r="D237" s="287" t="s">
        <v>1614</v>
      </c>
      <c r="E237" s="213">
        <v>19</v>
      </c>
      <c r="F237" s="216" t="s">
        <v>147</v>
      </c>
      <c r="G237" s="213">
        <v>1905</v>
      </c>
      <c r="H237" s="216" t="s">
        <v>768</v>
      </c>
      <c r="I237" s="213">
        <v>1905</v>
      </c>
      <c r="J237" s="216" t="s">
        <v>1586</v>
      </c>
      <c r="K237" s="216" t="s">
        <v>1108</v>
      </c>
      <c r="L237" s="213">
        <v>1905023</v>
      </c>
      <c r="M237" s="216" t="s">
        <v>1109</v>
      </c>
      <c r="N237" s="213">
        <v>1905023</v>
      </c>
      <c r="O237" s="216" t="s">
        <v>1109</v>
      </c>
      <c r="P237" s="292">
        <v>190502300</v>
      </c>
      <c r="Q237" s="311" t="s">
        <v>1110</v>
      </c>
      <c r="R237" s="292">
        <v>190502300</v>
      </c>
      <c r="S237" s="311" t="s">
        <v>1110</v>
      </c>
      <c r="T237" s="236" t="s">
        <v>1671</v>
      </c>
      <c r="U237" s="76">
        <v>12</v>
      </c>
      <c r="V237" s="76">
        <v>12</v>
      </c>
      <c r="W237" s="236" t="s">
        <v>1111</v>
      </c>
      <c r="X237" s="214" t="s">
        <v>1112</v>
      </c>
      <c r="Y237" s="214" t="s">
        <v>1113</v>
      </c>
      <c r="Z237" s="289"/>
      <c r="AA237" s="289"/>
      <c r="AB237" s="289"/>
      <c r="AC237" s="289"/>
      <c r="AD237" s="289"/>
      <c r="AE237" s="289"/>
      <c r="AF237" s="289"/>
      <c r="AG237" s="289"/>
      <c r="AH237" s="289"/>
      <c r="AI237" s="289"/>
      <c r="AJ237" s="289"/>
      <c r="AK237" s="289"/>
      <c r="AL237" s="357">
        <v>105000000</v>
      </c>
      <c r="AM237" s="357">
        <v>105000000</v>
      </c>
      <c r="AN237" s="357">
        <v>105000000</v>
      </c>
      <c r="AO237" s="289"/>
      <c r="AP237" s="289"/>
      <c r="AQ237" s="289"/>
      <c r="AR237" s="289"/>
      <c r="AS237" s="289"/>
      <c r="AT237" s="289"/>
      <c r="AU237" s="289"/>
      <c r="AV237" s="289"/>
      <c r="AW237" s="289"/>
      <c r="AX237" s="289"/>
      <c r="AY237" s="289"/>
      <c r="AZ237" s="289"/>
      <c r="BA237" s="289"/>
      <c r="BB237" s="289"/>
      <c r="BC237" s="289"/>
      <c r="BD237" s="294"/>
      <c r="BE237" s="294"/>
      <c r="BF237" s="294"/>
      <c r="BG237" s="289"/>
      <c r="BH237" s="289"/>
      <c r="BI237" s="289"/>
      <c r="BJ237" s="289"/>
      <c r="BK237" s="289"/>
      <c r="BL237" s="289"/>
      <c r="BM237" s="289"/>
      <c r="BN237" s="289"/>
      <c r="BO237" s="289"/>
      <c r="BP237" s="273">
        <f t="shared" si="59"/>
        <v>105000000</v>
      </c>
      <c r="BQ237" s="273">
        <f t="shared" si="60"/>
        <v>105000000</v>
      </c>
      <c r="BR237" s="273">
        <f t="shared" si="61"/>
        <v>105000000</v>
      </c>
      <c r="BS237" s="246" t="s">
        <v>1655</v>
      </c>
      <c r="BT237" s="233"/>
    </row>
    <row r="238" spans="1:72" s="27" customFormat="1" ht="134.25" customHeight="1" x14ac:dyDescent="0.2">
      <c r="A238" s="217">
        <v>318</v>
      </c>
      <c r="B238" s="310" t="s">
        <v>1628</v>
      </c>
      <c r="C238" s="213">
        <v>1</v>
      </c>
      <c r="D238" s="287" t="s">
        <v>1614</v>
      </c>
      <c r="E238" s="213">
        <v>19</v>
      </c>
      <c r="F238" s="216" t="s">
        <v>147</v>
      </c>
      <c r="G238" s="213">
        <v>1905</v>
      </c>
      <c r="H238" s="216" t="s">
        <v>768</v>
      </c>
      <c r="I238" s="213">
        <v>1905</v>
      </c>
      <c r="J238" s="216" t="s">
        <v>1586</v>
      </c>
      <c r="K238" s="216" t="s">
        <v>998</v>
      </c>
      <c r="L238" s="213">
        <v>1905031</v>
      </c>
      <c r="M238" s="216" t="s">
        <v>1067</v>
      </c>
      <c r="N238" s="213">
        <v>1905031</v>
      </c>
      <c r="O238" s="216" t="s">
        <v>1067</v>
      </c>
      <c r="P238" s="213">
        <v>190503100</v>
      </c>
      <c r="Q238" s="214" t="s">
        <v>1068</v>
      </c>
      <c r="R238" s="213">
        <v>190503100</v>
      </c>
      <c r="S238" s="214" t="s">
        <v>1068</v>
      </c>
      <c r="T238" s="236" t="s">
        <v>1671</v>
      </c>
      <c r="U238" s="76">
        <v>12</v>
      </c>
      <c r="V238" s="76">
        <v>12</v>
      </c>
      <c r="W238" s="236" t="s">
        <v>1111</v>
      </c>
      <c r="X238" s="214" t="s">
        <v>1112</v>
      </c>
      <c r="Y238" s="214" t="s">
        <v>1113</v>
      </c>
      <c r="Z238" s="289"/>
      <c r="AA238" s="289"/>
      <c r="AB238" s="289"/>
      <c r="AC238" s="289"/>
      <c r="AD238" s="289"/>
      <c r="AE238" s="289"/>
      <c r="AF238" s="289"/>
      <c r="AG238" s="289"/>
      <c r="AH238" s="289"/>
      <c r="AI238" s="289"/>
      <c r="AJ238" s="289"/>
      <c r="AK238" s="289"/>
      <c r="AL238" s="357">
        <v>76000000</v>
      </c>
      <c r="AM238" s="357">
        <v>74846000</v>
      </c>
      <c r="AN238" s="357">
        <v>74846000</v>
      </c>
      <c r="AO238" s="289"/>
      <c r="AP238" s="289"/>
      <c r="AQ238" s="289"/>
      <c r="AR238" s="289"/>
      <c r="AS238" s="289"/>
      <c r="AT238" s="289"/>
      <c r="AU238" s="289"/>
      <c r="AV238" s="289"/>
      <c r="AW238" s="289"/>
      <c r="AX238" s="289"/>
      <c r="AY238" s="289"/>
      <c r="AZ238" s="289"/>
      <c r="BA238" s="289"/>
      <c r="BB238" s="289"/>
      <c r="BC238" s="289"/>
      <c r="BD238" s="294"/>
      <c r="BE238" s="294"/>
      <c r="BF238" s="294"/>
      <c r="BG238" s="289"/>
      <c r="BH238" s="289"/>
      <c r="BI238" s="289"/>
      <c r="BJ238" s="289"/>
      <c r="BK238" s="289"/>
      <c r="BL238" s="289"/>
      <c r="BM238" s="289"/>
      <c r="BN238" s="289"/>
      <c r="BO238" s="289"/>
      <c r="BP238" s="273">
        <f t="shared" si="59"/>
        <v>76000000</v>
      </c>
      <c r="BQ238" s="273">
        <f t="shared" si="60"/>
        <v>74846000</v>
      </c>
      <c r="BR238" s="273">
        <f t="shared" si="61"/>
        <v>74846000</v>
      </c>
      <c r="BS238" s="246" t="s">
        <v>1655</v>
      </c>
      <c r="BT238" s="233"/>
    </row>
    <row r="239" spans="1:72" s="27" customFormat="1" ht="122.25" customHeight="1" x14ac:dyDescent="0.2">
      <c r="A239" s="217">
        <v>318</v>
      </c>
      <c r="B239" s="310" t="s">
        <v>1628</v>
      </c>
      <c r="C239" s="213">
        <v>1</v>
      </c>
      <c r="D239" s="287" t="s">
        <v>1614</v>
      </c>
      <c r="E239" s="213">
        <v>19</v>
      </c>
      <c r="F239" s="216" t="s">
        <v>147</v>
      </c>
      <c r="G239" s="213">
        <v>1905</v>
      </c>
      <c r="H239" s="216" t="s">
        <v>768</v>
      </c>
      <c r="I239" s="213">
        <v>1905</v>
      </c>
      <c r="J239" s="216" t="s">
        <v>1586</v>
      </c>
      <c r="K239" s="216" t="s">
        <v>1114</v>
      </c>
      <c r="L239" s="213">
        <v>1905012</v>
      </c>
      <c r="M239" s="216" t="s">
        <v>1115</v>
      </c>
      <c r="N239" s="213">
        <v>1905012</v>
      </c>
      <c r="O239" s="216" t="s">
        <v>1115</v>
      </c>
      <c r="P239" s="292">
        <v>190501200</v>
      </c>
      <c r="Q239" s="214" t="s">
        <v>1115</v>
      </c>
      <c r="R239" s="292">
        <v>190501200</v>
      </c>
      <c r="S239" s="311" t="s">
        <v>1115</v>
      </c>
      <c r="T239" s="236" t="s">
        <v>1671</v>
      </c>
      <c r="U239" s="76">
        <v>1</v>
      </c>
      <c r="V239" s="76">
        <v>1</v>
      </c>
      <c r="W239" s="236" t="s">
        <v>1116</v>
      </c>
      <c r="X239" s="214" t="s">
        <v>1117</v>
      </c>
      <c r="Y239" s="214" t="s">
        <v>1118</v>
      </c>
      <c r="Z239" s="289"/>
      <c r="AA239" s="289"/>
      <c r="AB239" s="289"/>
      <c r="AC239" s="289"/>
      <c r="AD239" s="289"/>
      <c r="AE239" s="289"/>
      <c r="AF239" s="289"/>
      <c r="AG239" s="289"/>
      <c r="AH239" s="289"/>
      <c r="AI239" s="289"/>
      <c r="AJ239" s="289"/>
      <c r="AK239" s="289"/>
      <c r="AL239" s="289">
        <f>20000000+1146584216.27</f>
        <v>1166584216.27</v>
      </c>
      <c r="AM239" s="289">
        <v>27916232.759999998</v>
      </c>
      <c r="AN239" s="289">
        <v>27916232.759999998</v>
      </c>
      <c r="AO239" s="289"/>
      <c r="AP239" s="289"/>
      <c r="AQ239" s="289"/>
      <c r="AR239" s="289"/>
      <c r="AS239" s="289"/>
      <c r="AT239" s="289"/>
      <c r="AU239" s="289"/>
      <c r="AV239" s="289"/>
      <c r="AW239" s="289"/>
      <c r="AX239" s="289"/>
      <c r="AY239" s="289"/>
      <c r="AZ239" s="289"/>
      <c r="BA239" s="289"/>
      <c r="BB239" s="289"/>
      <c r="BC239" s="289"/>
      <c r="BD239" s="294"/>
      <c r="BE239" s="294"/>
      <c r="BF239" s="294"/>
      <c r="BG239" s="289"/>
      <c r="BH239" s="289"/>
      <c r="BI239" s="289"/>
      <c r="BJ239" s="323"/>
      <c r="BK239" s="323"/>
      <c r="BL239" s="323"/>
      <c r="BM239" s="323"/>
      <c r="BN239" s="323"/>
      <c r="BO239" s="323"/>
      <c r="BP239" s="273">
        <f t="shared" si="59"/>
        <v>1166584216.27</v>
      </c>
      <c r="BQ239" s="273">
        <f t="shared" si="60"/>
        <v>27916232.759999998</v>
      </c>
      <c r="BR239" s="273">
        <f t="shared" si="61"/>
        <v>27916232.759999998</v>
      </c>
      <c r="BS239" s="246" t="s">
        <v>1655</v>
      </c>
      <c r="BT239" s="233"/>
    </row>
    <row r="240" spans="1:72" s="27" customFormat="1" ht="180" customHeight="1" x14ac:dyDescent="0.2">
      <c r="A240" s="217">
        <v>318</v>
      </c>
      <c r="B240" s="310" t="s">
        <v>1628</v>
      </c>
      <c r="C240" s="213">
        <v>1</v>
      </c>
      <c r="D240" s="287" t="s">
        <v>1614</v>
      </c>
      <c r="E240" s="213">
        <v>19</v>
      </c>
      <c r="F240" s="216" t="s">
        <v>147</v>
      </c>
      <c r="G240" s="213">
        <v>1905</v>
      </c>
      <c r="H240" s="216" t="s">
        <v>768</v>
      </c>
      <c r="I240" s="213">
        <v>1905</v>
      </c>
      <c r="J240" s="216" t="s">
        <v>1586</v>
      </c>
      <c r="K240" s="216" t="s">
        <v>1119</v>
      </c>
      <c r="L240" s="213">
        <v>1905026</v>
      </c>
      <c r="M240" s="216" t="s">
        <v>1120</v>
      </c>
      <c r="N240" s="213">
        <v>1905026</v>
      </c>
      <c r="O240" s="216" t="s">
        <v>1120</v>
      </c>
      <c r="P240" s="292">
        <v>190502600</v>
      </c>
      <c r="Q240" s="311" t="s">
        <v>1121</v>
      </c>
      <c r="R240" s="292">
        <v>190502600</v>
      </c>
      <c r="S240" s="311" t="s">
        <v>1121</v>
      </c>
      <c r="T240" s="236" t="s">
        <v>1671</v>
      </c>
      <c r="U240" s="76">
        <v>12</v>
      </c>
      <c r="V240" s="76">
        <v>12</v>
      </c>
      <c r="W240" s="236" t="s">
        <v>1116</v>
      </c>
      <c r="X240" s="214" t="s">
        <v>1117</v>
      </c>
      <c r="Y240" s="214" t="s">
        <v>1118</v>
      </c>
      <c r="Z240" s="289"/>
      <c r="AA240" s="289"/>
      <c r="AB240" s="289"/>
      <c r="AC240" s="289"/>
      <c r="AD240" s="289"/>
      <c r="AE240" s="289"/>
      <c r="AF240" s="289"/>
      <c r="AG240" s="289"/>
      <c r="AH240" s="289"/>
      <c r="AI240" s="289"/>
      <c r="AJ240" s="289"/>
      <c r="AK240" s="289"/>
      <c r="AL240" s="289">
        <v>58000000</v>
      </c>
      <c r="AM240" s="289">
        <v>46460000</v>
      </c>
      <c r="AN240" s="289">
        <v>46460000</v>
      </c>
      <c r="AO240" s="289"/>
      <c r="AP240" s="289"/>
      <c r="AQ240" s="289"/>
      <c r="AR240" s="289"/>
      <c r="AS240" s="289"/>
      <c r="AT240" s="289"/>
      <c r="AU240" s="289"/>
      <c r="AV240" s="289"/>
      <c r="AW240" s="289"/>
      <c r="AX240" s="289"/>
      <c r="AY240" s="289"/>
      <c r="AZ240" s="289"/>
      <c r="BA240" s="289"/>
      <c r="BB240" s="289"/>
      <c r="BC240" s="289"/>
      <c r="BD240" s="294"/>
      <c r="BE240" s="294"/>
      <c r="BF240" s="294"/>
      <c r="BG240" s="289"/>
      <c r="BH240" s="289"/>
      <c r="BI240" s="289"/>
      <c r="BJ240" s="323"/>
      <c r="BK240" s="323"/>
      <c r="BL240" s="323"/>
      <c r="BM240" s="323"/>
      <c r="BN240" s="323"/>
      <c r="BO240" s="323"/>
      <c r="BP240" s="273">
        <f>+Z240+AC240+AF240+AI240+AL240+AO240+AR240+AU240+AX240+BA240+BD240+BG240+BJ240</f>
        <v>58000000</v>
      </c>
      <c r="BQ240" s="273">
        <f t="shared" si="60"/>
        <v>46460000</v>
      </c>
      <c r="BR240" s="273">
        <f t="shared" si="61"/>
        <v>46460000</v>
      </c>
      <c r="BS240" s="246" t="s">
        <v>1655</v>
      </c>
      <c r="BT240" s="233"/>
    </row>
    <row r="241" spans="1:72" s="27" customFormat="1" ht="150" customHeight="1" x14ac:dyDescent="0.2">
      <c r="A241" s="217">
        <v>318</v>
      </c>
      <c r="B241" s="310" t="s">
        <v>1628</v>
      </c>
      <c r="C241" s="213">
        <v>1</v>
      </c>
      <c r="D241" s="287" t="s">
        <v>1614</v>
      </c>
      <c r="E241" s="213">
        <v>19</v>
      </c>
      <c r="F241" s="216" t="s">
        <v>147</v>
      </c>
      <c r="G241" s="213">
        <v>1905</v>
      </c>
      <c r="H241" s="216" t="s">
        <v>768</v>
      </c>
      <c r="I241" s="213">
        <v>1905</v>
      </c>
      <c r="J241" s="216" t="s">
        <v>1586</v>
      </c>
      <c r="K241" s="216" t="s">
        <v>1114</v>
      </c>
      <c r="L241" s="213">
        <v>1905027</v>
      </c>
      <c r="M241" s="216" t="s">
        <v>1122</v>
      </c>
      <c r="N241" s="213">
        <v>1905027</v>
      </c>
      <c r="O241" s="216" t="s">
        <v>1122</v>
      </c>
      <c r="P241" s="292">
        <v>190502700</v>
      </c>
      <c r="Q241" s="214" t="s">
        <v>1123</v>
      </c>
      <c r="R241" s="292">
        <v>190502700</v>
      </c>
      <c r="S241" s="214" t="s">
        <v>1123</v>
      </c>
      <c r="T241" s="236" t="s">
        <v>1671</v>
      </c>
      <c r="U241" s="76">
        <v>12</v>
      </c>
      <c r="V241" s="76">
        <v>12</v>
      </c>
      <c r="W241" s="236" t="s">
        <v>1116</v>
      </c>
      <c r="X241" s="214" t="s">
        <v>1117</v>
      </c>
      <c r="Y241" s="214" t="s">
        <v>1118</v>
      </c>
      <c r="Z241" s="289"/>
      <c r="AA241" s="289"/>
      <c r="AB241" s="289"/>
      <c r="AC241" s="289"/>
      <c r="AD241" s="289"/>
      <c r="AE241" s="289"/>
      <c r="AF241" s="289"/>
      <c r="AG241" s="289"/>
      <c r="AH241" s="289"/>
      <c r="AI241" s="289"/>
      <c r="AJ241" s="289"/>
      <c r="AK241" s="289"/>
      <c r="AL241" s="289">
        <v>75000000</v>
      </c>
      <c r="AM241" s="289">
        <v>64111333</v>
      </c>
      <c r="AN241" s="289">
        <v>64111333</v>
      </c>
      <c r="AO241" s="297"/>
      <c r="AP241" s="297"/>
      <c r="AQ241" s="297"/>
      <c r="AR241" s="289"/>
      <c r="AS241" s="289"/>
      <c r="AT241" s="289"/>
      <c r="AU241" s="289"/>
      <c r="AV241" s="289"/>
      <c r="AW241" s="289"/>
      <c r="AX241" s="289"/>
      <c r="AY241" s="289"/>
      <c r="AZ241" s="289"/>
      <c r="BA241" s="289"/>
      <c r="BB241" s="289"/>
      <c r="BC241" s="289"/>
      <c r="BD241" s="294">
        <f>20000000-13438000-6562000</f>
        <v>0</v>
      </c>
      <c r="BE241" s="294"/>
      <c r="BF241" s="294"/>
      <c r="BG241" s="289"/>
      <c r="BH241" s="289"/>
      <c r="BI241" s="289"/>
      <c r="BJ241" s="289"/>
      <c r="BK241" s="289"/>
      <c r="BL241" s="289"/>
      <c r="BM241" s="289"/>
      <c r="BN241" s="289"/>
      <c r="BO241" s="289"/>
      <c r="BP241" s="273">
        <f t="shared" si="59"/>
        <v>75000000</v>
      </c>
      <c r="BQ241" s="273">
        <f t="shared" si="60"/>
        <v>64111333</v>
      </c>
      <c r="BR241" s="273">
        <f t="shared" si="61"/>
        <v>64111333</v>
      </c>
      <c r="BS241" s="246" t="s">
        <v>1655</v>
      </c>
      <c r="BT241" s="233"/>
    </row>
    <row r="242" spans="1:72" s="27" customFormat="1" ht="108.75" customHeight="1" x14ac:dyDescent="0.2">
      <c r="A242" s="217">
        <v>318</v>
      </c>
      <c r="B242" s="310" t="s">
        <v>1628</v>
      </c>
      <c r="C242" s="213">
        <v>1</v>
      </c>
      <c r="D242" s="287" t="s">
        <v>1614</v>
      </c>
      <c r="E242" s="213">
        <v>19</v>
      </c>
      <c r="F242" s="216" t="s">
        <v>147</v>
      </c>
      <c r="G242" s="213">
        <v>1905</v>
      </c>
      <c r="H242" s="216" t="s">
        <v>768</v>
      </c>
      <c r="I242" s="213">
        <v>1905</v>
      </c>
      <c r="J242" s="216" t="s">
        <v>1586</v>
      </c>
      <c r="K242" s="216" t="s">
        <v>1124</v>
      </c>
      <c r="L242" s="213" t="s">
        <v>41</v>
      </c>
      <c r="M242" s="216" t="s">
        <v>1086</v>
      </c>
      <c r="N242" s="213" t="s">
        <v>1125</v>
      </c>
      <c r="O242" s="216" t="s">
        <v>356</v>
      </c>
      <c r="P242" s="213" t="s">
        <v>41</v>
      </c>
      <c r="Q242" s="214" t="s">
        <v>1087</v>
      </c>
      <c r="R242" s="292">
        <v>190501500</v>
      </c>
      <c r="S242" s="311" t="s">
        <v>235</v>
      </c>
      <c r="T242" s="236" t="s">
        <v>1673</v>
      </c>
      <c r="U242" s="76">
        <v>4</v>
      </c>
      <c r="V242" s="76">
        <v>2</v>
      </c>
      <c r="W242" s="236" t="s">
        <v>1126</v>
      </c>
      <c r="X242" s="214" t="s">
        <v>1127</v>
      </c>
      <c r="Y242" s="214" t="s">
        <v>1128</v>
      </c>
      <c r="Z242" s="289"/>
      <c r="AA242" s="289"/>
      <c r="AB242" s="289"/>
      <c r="AC242" s="289"/>
      <c r="AD242" s="289"/>
      <c r="AE242" s="289"/>
      <c r="AF242" s="289"/>
      <c r="AG242" s="289"/>
      <c r="AH242" s="289"/>
      <c r="AI242" s="289"/>
      <c r="AJ242" s="289"/>
      <c r="AK242" s="289"/>
      <c r="AL242" s="289">
        <v>95000000</v>
      </c>
      <c r="AM242" s="289">
        <v>93045000</v>
      </c>
      <c r="AN242" s="289">
        <v>93045000</v>
      </c>
      <c r="AO242" s="289"/>
      <c r="AP242" s="289"/>
      <c r="AQ242" s="289"/>
      <c r="AR242" s="289"/>
      <c r="AS242" s="289"/>
      <c r="AT242" s="289"/>
      <c r="AU242" s="289"/>
      <c r="AV242" s="289"/>
      <c r="AW242" s="289"/>
      <c r="AX242" s="289"/>
      <c r="AY242" s="289"/>
      <c r="AZ242" s="289"/>
      <c r="BA242" s="289"/>
      <c r="BB242" s="289"/>
      <c r="BC242" s="289"/>
      <c r="BD242" s="294"/>
      <c r="BE242" s="294"/>
      <c r="BF242" s="294"/>
      <c r="BG242" s="289"/>
      <c r="BH242" s="289"/>
      <c r="BI242" s="289"/>
      <c r="BJ242" s="289"/>
      <c r="BK242" s="289"/>
      <c r="BL242" s="289"/>
      <c r="BM242" s="289"/>
      <c r="BN242" s="289"/>
      <c r="BO242" s="289"/>
      <c r="BP242" s="273">
        <f t="shared" si="59"/>
        <v>95000000</v>
      </c>
      <c r="BQ242" s="273">
        <f t="shared" si="60"/>
        <v>93045000</v>
      </c>
      <c r="BR242" s="273">
        <f t="shared" si="61"/>
        <v>93045000</v>
      </c>
      <c r="BS242" s="246" t="s">
        <v>1655</v>
      </c>
      <c r="BT242" s="233"/>
    </row>
    <row r="243" spans="1:72" s="27" customFormat="1" ht="187.5" customHeight="1" x14ac:dyDescent="0.2">
      <c r="A243" s="217">
        <v>318</v>
      </c>
      <c r="B243" s="310" t="s">
        <v>1628</v>
      </c>
      <c r="C243" s="213">
        <v>1</v>
      </c>
      <c r="D243" s="287" t="s">
        <v>1614</v>
      </c>
      <c r="E243" s="213">
        <v>19</v>
      </c>
      <c r="F243" s="216" t="s">
        <v>147</v>
      </c>
      <c r="G243" s="213">
        <v>1905</v>
      </c>
      <c r="H243" s="216" t="s">
        <v>768</v>
      </c>
      <c r="I243" s="213">
        <v>1905</v>
      </c>
      <c r="J243" s="216" t="s">
        <v>1586</v>
      </c>
      <c r="K243" s="216" t="s">
        <v>1119</v>
      </c>
      <c r="L243" s="213">
        <v>1905026</v>
      </c>
      <c r="M243" s="216" t="s">
        <v>1120</v>
      </c>
      <c r="N243" s="213">
        <v>1905026</v>
      </c>
      <c r="O243" s="216" t="s">
        <v>1120</v>
      </c>
      <c r="P243" s="292">
        <v>190502600</v>
      </c>
      <c r="Q243" s="214" t="s">
        <v>1121</v>
      </c>
      <c r="R243" s="292">
        <v>190502600</v>
      </c>
      <c r="S243" s="311" t="s">
        <v>1121</v>
      </c>
      <c r="T243" s="236" t="s">
        <v>1671</v>
      </c>
      <c r="U243" s="213">
        <v>12</v>
      </c>
      <c r="V243" s="213">
        <v>11</v>
      </c>
      <c r="W243" s="236" t="s">
        <v>1126</v>
      </c>
      <c r="X243" s="214" t="s">
        <v>1127</v>
      </c>
      <c r="Y243" s="214" t="s">
        <v>1128</v>
      </c>
      <c r="Z243" s="289"/>
      <c r="AA243" s="289"/>
      <c r="AB243" s="289"/>
      <c r="AC243" s="289"/>
      <c r="AD243" s="289"/>
      <c r="AE243" s="289"/>
      <c r="AF243" s="289"/>
      <c r="AG243" s="289"/>
      <c r="AH243" s="289"/>
      <c r="AI243" s="289"/>
      <c r="AJ243" s="289"/>
      <c r="AK243" s="289"/>
      <c r="AL243" s="289">
        <v>96000000</v>
      </c>
      <c r="AM243" s="289">
        <v>70788833</v>
      </c>
      <c r="AN243" s="289">
        <v>70788833</v>
      </c>
      <c r="AO243" s="289"/>
      <c r="AP243" s="289"/>
      <c r="AQ243" s="289"/>
      <c r="AR243" s="297"/>
      <c r="AS243" s="297"/>
      <c r="AT243" s="297"/>
      <c r="AU243" s="289"/>
      <c r="AV243" s="289"/>
      <c r="AW243" s="289"/>
      <c r="AX243" s="289"/>
      <c r="AY243" s="289"/>
      <c r="AZ243" s="289"/>
      <c r="BA243" s="289"/>
      <c r="BB243" s="289"/>
      <c r="BC243" s="289"/>
      <c r="BD243" s="289">
        <v>130000000</v>
      </c>
      <c r="BE243" s="289">
        <v>130000000</v>
      </c>
      <c r="BF243" s="289">
        <v>130000000</v>
      </c>
      <c r="BG243" s="289"/>
      <c r="BH243" s="289"/>
      <c r="BI243" s="289"/>
      <c r="BJ243" s="289">
        <f>210707393+12219756</f>
        <v>222927149</v>
      </c>
      <c r="BK243" s="289">
        <v>216088755</v>
      </c>
      <c r="BL243" s="289">
        <v>216088755</v>
      </c>
      <c r="BM243" s="289"/>
      <c r="BN243" s="289"/>
      <c r="BO243" s="289"/>
      <c r="BP243" s="273">
        <f>+Z243+AC243+AF243+AI243+AL243+AO243+AR243+AU243+AX243+BA243+BD243+BG243+BJ243</f>
        <v>448927149</v>
      </c>
      <c r="BQ243" s="273">
        <f t="shared" si="60"/>
        <v>416877588</v>
      </c>
      <c r="BR243" s="273">
        <f t="shared" si="61"/>
        <v>416877588</v>
      </c>
      <c r="BS243" s="246" t="s">
        <v>1655</v>
      </c>
      <c r="BT243" s="233"/>
    </row>
    <row r="244" spans="1:72" s="27" customFormat="1" ht="79.5" customHeight="1" x14ac:dyDescent="0.2">
      <c r="A244" s="217">
        <v>318</v>
      </c>
      <c r="B244" s="310" t="s">
        <v>1628</v>
      </c>
      <c r="C244" s="213">
        <v>1</v>
      </c>
      <c r="D244" s="287" t="s">
        <v>1614</v>
      </c>
      <c r="E244" s="213">
        <v>19</v>
      </c>
      <c r="F244" s="216" t="s">
        <v>147</v>
      </c>
      <c r="G244" s="213">
        <v>1905</v>
      </c>
      <c r="H244" s="216" t="s">
        <v>768</v>
      </c>
      <c r="I244" s="213">
        <v>1905</v>
      </c>
      <c r="J244" s="216" t="s">
        <v>1586</v>
      </c>
      <c r="K244" s="216" t="s">
        <v>1001</v>
      </c>
      <c r="L244" s="213">
        <v>1905014</v>
      </c>
      <c r="M244" s="216" t="s">
        <v>84</v>
      </c>
      <c r="N244" s="213">
        <v>1905014</v>
      </c>
      <c r="O244" s="216" t="s">
        <v>84</v>
      </c>
      <c r="P244" s="213">
        <v>190501400</v>
      </c>
      <c r="Q244" s="214" t="s">
        <v>532</v>
      </c>
      <c r="R244" s="213">
        <v>190501400</v>
      </c>
      <c r="S244" s="214" t="s">
        <v>532</v>
      </c>
      <c r="T244" s="236" t="s">
        <v>1671</v>
      </c>
      <c r="U244" s="76">
        <v>12</v>
      </c>
      <c r="V244" s="76">
        <v>12</v>
      </c>
      <c r="W244" s="236" t="s">
        <v>1129</v>
      </c>
      <c r="X244" s="214" t="s">
        <v>1130</v>
      </c>
      <c r="Y244" s="214" t="s">
        <v>1131</v>
      </c>
      <c r="Z244" s="289"/>
      <c r="AA244" s="289"/>
      <c r="AB244" s="289"/>
      <c r="AC244" s="289"/>
      <c r="AD244" s="289"/>
      <c r="AE244" s="289"/>
      <c r="AF244" s="289"/>
      <c r="AG244" s="289"/>
      <c r="AH244" s="289"/>
      <c r="AI244" s="289"/>
      <c r="AJ244" s="289"/>
      <c r="AK244" s="289"/>
      <c r="AL244" s="289">
        <v>43000000</v>
      </c>
      <c r="AM244" s="289">
        <v>42988636</v>
      </c>
      <c r="AN244" s="289">
        <v>42988636</v>
      </c>
      <c r="AO244" s="289"/>
      <c r="AP244" s="289"/>
      <c r="AQ244" s="289"/>
      <c r="AR244" s="289"/>
      <c r="AS244" s="289"/>
      <c r="AT244" s="289"/>
      <c r="AU244" s="289"/>
      <c r="AV244" s="289"/>
      <c r="AW244" s="289"/>
      <c r="AX244" s="289"/>
      <c r="AY244" s="289"/>
      <c r="AZ244" s="289"/>
      <c r="BA244" s="289"/>
      <c r="BB244" s="289"/>
      <c r="BC244" s="289"/>
      <c r="BD244" s="294"/>
      <c r="BE244" s="294"/>
      <c r="BF244" s="294"/>
      <c r="BG244" s="289"/>
      <c r="BH244" s="289"/>
      <c r="BI244" s="289"/>
      <c r="BJ244" s="289"/>
      <c r="BK244" s="289"/>
      <c r="BL244" s="289"/>
      <c r="BM244" s="289"/>
      <c r="BN244" s="289"/>
      <c r="BO244" s="289"/>
      <c r="BP244" s="273">
        <f t="shared" si="59"/>
        <v>43000000</v>
      </c>
      <c r="BQ244" s="273">
        <f t="shared" si="60"/>
        <v>42988636</v>
      </c>
      <c r="BR244" s="273">
        <f t="shared" si="61"/>
        <v>42988636</v>
      </c>
      <c r="BS244" s="246" t="s">
        <v>1655</v>
      </c>
      <c r="BT244" s="233"/>
    </row>
    <row r="245" spans="1:72" s="27" customFormat="1" ht="166.5" customHeight="1" x14ac:dyDescent="0.2">
      <c r="A245" s="217">
        <v>318</v>
      </c>
      <c r="B245" s="310" t="s">
        <v>1628</v>
      </c>
      <c r="C245" s="213">
        <v>1</v>
      </c>
      <c r="D245" s="287" t="s">
        <v>1614</v>
      </c>
      <c r="E245" s="213">
        <v>19</v>
      </c>
      <c r="F245" s="216" t="s">
        <v>147</v>
      </c>
      <c r="G245" s="213">
        <v>1905</v>
      </c>
      <c r="H245" s="216" t="s">
        <v>768</v>
      </c>
      <c r="I245" s="213">
        <v>1905</v>
      </c>
      <c r="J245" s="216" t="s">
        <v>1586</v>
      </c>
      <c r="K245" s="216" t="s">
        <v>1119</v>
      </c>
      <c r="L245" s="292">
        <v>1905026</v>
      </c>
      <c r="M245" s="216" t="s">
        <v>1120</v>
      </c>
      <c r="N245" s="213">
        <v>1905026</v>
      </c>
      <c r="O245" s="216" t="s">
        <v>1132</v>
      </c>
      <c r="P245" s="292">
        <v>190502600</v>
      </c>
      <c r="Q245" s="214" t="s">
        <v>1121</v>
      </c>
      <c r="R245" s="292">
        <v>190502600</v>
      </c>
      <c r="S245" s="311" t="s">
        <v>1121</v>
      </c>
      <c r="T245" s="236" t="s">
        <v>1671</v>
      </c>
      <c r="U245" s="213">
        <v>12</v>
      </c>
      <c r="V245" s="213">
        <v>12</v>
      </c>
      <c r="W245" s="236" t="s">
        <v>1129</v>
      </c>
      <c r="X245" s="214" t="s">
        <v>1130</v>
      </c>
      <c r="Y245" s="214" t="s">
        <v>1131</v>
      </c>
      <c r="Z245" s="289"/>
      <c r="AA245" s="289"/>
      <c r="AB245" s="289"/>
      <c r="AC245" s="289"/>
      <c r="AD245" s="289"/>
      <c r="AE245" s="289"/>
      <c r="AF245" s="289"/>
      <c r="AG245" s="289"/>
      <c r="AH245" s="289"/>
      <c r="AI245" s="289"/>
      <c r="AJ245" s="289"/>
      <c r="AK245" s="289"/>
      <c r="AL245" s="289"/>
      <c r="AM245" s="289"/>
      <c r="AN245" s="289"/>
      <c r="AO245" s="289"/>
      <c r="AP245" s="289"/>
      <c r="AQ245" s="289"/>
      <c r="AR245" s="289"/>
      <c r="AS245" s="289"/>
      <c r="AT245" s="289"/>
      <c r="AU245" s="289"/>
      <c r="AV245" s="289"/>
      <c r="AW245" s="289"/>
      <c r="AX245" s="289"/>
      <c r="AY245" s="289"/>
      <c r="AZ245" s="289"/>
      <c r="BA245" s="289"/>
      <c r="BB245" s="289"/>
      <c r="BC245" s="289"/>
      <c r="BD245" s="294"/>
      <c r="BE245" s="294"/>
      <c r="BF245" s="294"/>
      <c r="BG245" s="289"/>
      <c r="BH245" s="289"/>
      <c r="BI245" s="289"/>
      <c r="BJ245" s="294">
        <v>179424239</v>
      </c>
      <c r="BK245" s="294">
        <v>134140833</v>
      </c>
      <c r="BL245" s="294">
        <v>134140833</v>
      </c>
      <c r="BM245" s="294"/>
      <c r="BN245" s="294"/>
      <c r="BO245" s="294"/>
      <c r="BP245" s="273">
        <f t="shared" si="59"/>
        <v>179424239</v>
      </c>
      <c r="BQ245" s="273">
        <f t="shared" si="60"/>
        <v>134140833</v>
      </c>
      <c r="BR245" s="273">
        <f t="shared" si="61"/>
        <v>134140833</v>
      </c>
      <c r="BS245" s="246" t="s">
        <v>1655</v>
      </c>
      <c r="BT245" s="233"/>
    </row>
    <row r="246" spans="1:72" s="27" customFormat="1" ht="188.25" customHeight="1" x14ac:dyDescent="0.2">
      <c r="A246" s="217">
        <v>318</v>
      </c>
      <c r="B246" s="310" t="s">
        <v>1628</v>
      </c>
      <c r="C246" s="213">
        <v>1</v>
      </c>
      <c r="D246" s="287" t="s">
        <v>1614</v>
      </c>
      <c r="E246" s="213">
        <v>19</v>
      </c>
      <c r="F246" s="216" t="s">
        <v>147</v>
      </c>
      <c r="G246" s="213">
        <v>1905</v>
      </c>
      <c r="H246" s="216" t="s">
        <v>768</v>
      </c>
      <c r="I246" s="213">
        <v>1905</v>
      </c>
      <c r="J246" s="216" t="s">
        <v>1586</v>
      </c>
      <c r="K246" s="216" t="s">
        <v>1119</v>
      </c>
      <c r="L246" s="213">
        <v>1905026</v>
      </c>
      <c r="M246" s="216" t="s">
        <v>1120</v>
      </c>
      <c r="N246" s="213">
        <v>1905026</v>
      </c>
      <c r="O246" s="216" t="s">
        <v>1120</v>
      </c>
      <c r="P246" s="292">
        <v>190502600</v>
      </c>
      <c r="Q246" s="311" t="s">
        <v>1121</v>
      </c>
      <c r="R246" s="292">
        <v>190502600</v>
      </c>
      <c r="S246" s="311" t="s">
        <v>1121</v>
      </c>
      <c r="T246" s="236" t="s">
        <v>1671</v>
      </c>
      <c r="U246" s="213">
        <v>12</v>
      </c>
      <c r="V246" s="213">
        <v>12</v>
      </c>
      <c r="W246" s="236" t="s">
        <v>1133</v>
      </c>
      <c r="X246" s="214" t="s">
        <v>1134</v>
      </c>
      <c r="Y246" s="214" t="s">
        <v>1135</v>
      </c>
      <c r="Z246" s="289"/>
      <c r="AA246" s="289"/>
      <c r="AB246" s="289"/>
      <c r="AC246" s="289"/>
      <c r="AD246" s="289"/>
      <c r="AE246" s="289"/>
      <c r="AF246" s="289"/>
      <c r="AG246" s="289"/>
      <c r="AH246" s="289"/>
      <c r="AI246" s="289"/>
      <c r="AJ246" s="289"/>
      <c r="AK246" s="289"/>
      <c r="AL246" s="289"/>
      <c r="AM246" s="289"/>
      <c r="AN246" s="289"/>
      <c r="AO246" s="354"/>
      <c r="AP246" s="354"/>
      <c r="AQ246" s="354"/>
      <c r="AR246" s="289"/>
      <c r="AS246" s="289"/>
      <c r="AT246" s="289"/>
      <c r="AU246" s="289"/>
      <c r="AV246" s="289"/>
      <c r="AW246" s="289"/>
      <c r="AX246" s="289"/>
      <c r="AY246" s="289"/>
      <c r="AZ246" s="289"/>
      <c r="BA246" s="289"/>
      <c r="BB246" s="289"/>
      <c r="BC246" s="289"/>
      <c r="BD246" s="294">
        <v>1100000000</v>
      </c>
      <c r="BE246" s="294">
        <v>1059833419</v>
      </c>
      <c r="BF246" s="294">
        <v>1059833419</v>
      </c>
      <c r="BG246" s="289"/>
      <c r="BH246" s="289"/>
      <c r="BI246" s="289"/>
      <c r="BJ246" s="289"/>
      <c r="BK246" s="289"/>
      <c r="BL246" s="289"/>
      <c r="BM246" s="289"/>
      <c r="BN246" s="289"/>
      <c r="BO246" s="289"/>
      <c r="BP246" s="273">
        <f t="shared" si="59"/>
        <v>1100000000</v>
      </c>
      <c r="BQ246" s="273">
        <f t="shared" si="60"/>
        <v>1059833419</v>
      </c>
      <c r="BR246" s="273">
        <f t="shared" si="61"/>
        <v>1059833419</v>
      </c>
      <c r="BS246" s="246" t="s">
        <v>1655</v>
      </c>
      <c r="BT246" s="233"/>
    </row>
    <row r="247" spans="1:72" s="27" customFormat="1" ht="120" customHeight="1" x14ac:dyDescent="0.2">
      <c r="A247" s="217">
        <v>318</v>
      </c>
      <c r="B247" s="310" t="s">
        <v>1628</v>
      </c>
      <c r="C247" s="213">
        <v>1</v>
      </c>
      <c r="D247" s="287" t="s">
        <v>1614</v>
      </c>
      <c r="E247" s="213">
        <v>19</v>
      </c>
      <c r="F247" s="216" t="s">
        <v>147</v>
      </c>
      <c r="G247" s="213">
        <v>1905</v>
      </c>
      <c r="H247" s="216" t="s">
        <v>768</v>
      </c>
      <c r="I247" s="213">
        <v>1905</v>
      </c>
      <c r="J247" s="216" t="s">
        <v>1586</v>
      </c>
      <c r="K247" s="216" t="s">
        <v>1008</v>
      </c>
      <c r="L247" s="213">
        <v>1905029</v>
      </c>
      <c r="M247" s="216" t="s">
        <v>1136</v>
      </c>
      <c r="N247" s="213">
        <v>1905030</v>
      </c>
      <c r="O247" s="216" t="s">
        <v>1137</v>
      </c>
      <c r="P247" s="76">
        <v>190502900</v>
      </c>
      <c r="Q247" s="311" t="s">
        <v>1138</v>
      </c>
      <c r="R247" s="292">
        <v>190503000</v>
      </c>
      <c r="S247" s="311" t="s">
        <v>1138</v>
      </c>
      <c r="T247" s="236" t="s">
        <v>1671</v>
      </c>
      <c r="U247" s="76">
        <v>60</v>
      </c>
      <c r="V247" s="76">
        <v>57</v>
      </c>
      <c r="W247" s="236" t="s">
        <v>1139</v>
      </c>
      <c r="X247" s="214" t="s">
        <v>1140</v>
      </c>
      <c r="Y247" s="214" t="s">
        <v>1141</v>
      </c>
      <c r="Z247" s="289"/>
      <c r="AA247" s="289"/>
      <c r="AB247" s="289"/>
      <c r="AC247" s="289"/>
      <c r="AD247" s="289"/>
      <c r="AE247" s="289"/>
      <c r="AF247" s="289"/>
      <c r="AG247" s="289"/>
      <c r="AH247" s="289"/>
      <c r="AI247" s="289"/>
      <c r="AJ247" s="289"/>
      <c r="AK247" s="289"/>
      <c r="AL247" s="289">
        <v>20000000</v>
      </c>
      <c r="AM247" s="289">
        <v>19906500</v>
      </c>
      <c r="AN247" s="289">
        <v>19906500</v>
      </c>
      <c r="AO247" s="289"/>
      <c r="AP247" s="289"/>
      <c r="AQ247" s="289"/>
      <c r="AR247" s="289"/>
      <c r="AS247" s="289"/>
      <c r="AT247" s="289"/>
      <c r="AU247" s="289"/>
      <c r="AV247" s="289"/>
      <c r="AW247" s="289"/>
      <c r="AX247" s="289"/>
      <c r="AY247" s="289"/>
      <c r="AZ247" s="289"/>
      <c r="BA247" s="289"/>
      <c r="BB247" s="289"/>
      <c r="BC247" s="289"/>
      <c r="BD247" s="294"/>
      <c r="BE247" s="294"/>
      <c r="BF247" s="294"/>
      <c r="BG247" s="289"/>
      <c r="BH247" s="289"/>
      <c r="BI247" s="289"/>
      <c r="BJ247" s="289"/>
      <c r="BK247" s="289"/>
      <c r="BL247" s="289"/>
      <c r="BM247" s="289"/>
      <c r="BN247" s="289"/>
      <c r="BO247" s="289"/>
      <c r="BP247" s="273">
        <f t="shared" si="59"/>
        <v>20000000</v>
      </c>
      <c r="BQ247" s="273">
        <f t="shared" si="60"/>
        <v>19906500</v>
      </c>
      <c r="BR247" s="273">
        <f t="shared" si="61"/>
        <v>19906500</v>
      </c>
      <c r="BS247" s="246" t="s">
        <v>1655</v>
      </c>
      <c r="BT247" s="233"/>
    </row>
    <row r="248" spans="1:72" s="27" customFormat="1" ht="93.75" customHeight="1" x14ac:dyDescent="0.2">
      <c r="A248" s="217">
        <v>318</v>
      </c>
      <c r="B248" s="310" t="s">
        <v>1628</v>
      </c>
      <c r="C248" s="213">
        <v>1</v>
      </c>
      <c r="D248" s="287" t="s">
        <v>1614</v>
      </c>
      <c r="E248" s="213">
        <v>19</v>
      </c>
      <c r="F248" s="216" t="s">
        <v>147</v>
      </c>
      <c r="G248" s="213">
        <v>1905</v>
      </c>
      <c r="H248" s="216" t="s">
        <v>768</v>
      </c>
      <c r="I248" s="213">
        <v>1905</v>
      </c>
      <c r="J248" s="216" t="s">
        <v>1586</v>
      </c>
      <c r="K248" s="216" t="s">
        <v>1048</v>
      </c>
      <c r="L248" s="213">
        <v>1905025</v>
      </c>
      <c r="M248" s="216" t="s">
        <v>1142</v>
      </c>
      <c r="N248" s="213">
        <v>1905025</v>
      </c>
      <c r="O248" s="216" t="s">
        <v>1142</v>
      </c>
      <c r="P248" s="292">
        <v>190502500</v>
      </c>
      <c r="Q248" s="311" t="s">
        <v>1143</v>
      </c>
      <c r="R248" s="292">
        <v>190502500</v>
      </c>
      <c r="S248" s="311" t="s">
        <v>1143</v>
      </c>
      <c r="T248" s="236" t="s">
        <v>1671</v>
      </c>
      <c r="U248" s="76">
        <v>12</v>
      </c>
      <c r="V248" s="76">
        <v>12</v>
      </c>
      <c r="W248" s="236" t="s">
        <v>1144</v>
      </c>
      <c r="X248" s="214" t="s">
        <v>1145</v>
      </c>
      <c r="Y248" s="214" t="s">
        <v>1146</v>
      </c>
      <c r="Z248" s="289"/>
      <c r="AA248" s="289"/>
      <c r="AB248" s="289"/>
      <c r="AC248" s="289"/>
      <c r="AD248" s="289"/>
      <c r="AE248" s="289"/>
      <c r="AF248" s="289"/>
      <c r="AG248" s="289"/>
      <c r="AH248" s="289"/>
      <c r="AI248" s="289"/>
      <c r="AJ248" s="289"/>
      <c r="AK248" s="289"/>
      <c r="AL248" s="289">
        <v>84414100</v>
      </c>
      <c r="AM248" s="289">
        <v>82799499</v>
      </c>
      <c r="AN248" s="289">
        <v>82799499</v>
      </c>
      <c r="AO248" s="289"/>
      <c r="AP248" s="289"/>
      <c r="AQ248" s="289"/>
      <c r="AR248" s="289"/>
      <c r="AS248" s="289"/>
      <c r="AT248" s="289"/>
      <c r="AU248" s="289"/>
      <c r="AV248" s="289"/>
      <c r="AW248" s="289"/>
      <c r="AX248" s="289"/>
      <c r="AY248" s="289"/>
      <c r="AZ248" s="289"/>
      <c r="BA248" s="289"/>
      <c r="BB248" s="289"/>
      <c r="BC248" s="289"/>
      <c r="BD248" s="294"/>
      <c r="BE248" s="294"/>
      <c r="BF248" s="294"/>
      <c r="BG248" s="289"/>
      <c r="BH248" s="289"/>
      <c r="BI248" s="289"/>
      <c r="BJ248" s="289"/>
      <c r="BK248" s="289"/>
      <c r="BL248" s="289"/>
      <c r="BM248" s="289"/>
      <c r="BN248" s="289"/>
      <c r="BO248" s="289"/>
      <c r="BP248" s="273">
        <f t="shared" si="59"/>
        <v>84414100</v>
      </c>
      <c r="BQ248" s="273">
        <f t="shared" si="60"/>
        <v>82799499</v>
      </c>
      <c r="BR248" s="273">
        <f t="shared" si="61"/>
        <v>82799499</v>
      </c>
      <c r="BS248" s="246" t="s">
        <v>1655</v>
      </c>
      <c r="BT248" s="233"/>
    </row>
    <row r="249" spans="1:72" s="27" customFormat="1" ht="86.25" customHeight="1" x14ac:dyDescent="0.2">
      <c r="A249" s="217">
        <v>318</v>
      </c>
      <c r="B249" s="310" t="s">
        <v>1628</v>
      </c>
      <c r="C249" s="213">
        <v>1</v>
      </c>
      <c r="D249" s="287" t="s">
        <v>1614</v>
      </c>
      <c r="E249" s="213">
        <v>19</v>
      </c>
      <c r="F249" s="216" t="s">
        <v>147</v>
      </c>
      <c r="G249" s="213">
        <v>1905</v>
      </c>
      <c r="H249" s="216" t="s">
        <v>768</v>
      </c>
      <c r="I249" s="213">
        <v>1905</v>
      </c>
      <c r="J249" s="216" t="s">
        <v>1586</v>
      </c>
      <c r="K249" s="216" t="s">
        <v>1012</v>
      </c>
      <c r="L249" s="213">
        <v>1905015</v>
      </c>
      <c r="M249" s="216" t="s">
        <v>233</v>
      </c>
      <c r="N249" s="213">
        <v>1905015</v>
      </c>
      <c r="O249" s="216" t="s">
        <v>233</v>
      </c>
      <c r="P249" s="213">
        <v>190501503</v>
      </c>
      <c r="Q249" s="214" t="s">
        <v>1147</v>
      </c>
      <c r="R249" s="213">
        <v>190501503</v>
      </c>
      <c r="S249" s="214" t="s">
        <v>1147</v>
      </c>
      <c r="T249" s="236" t="s">
        <v>1671</v>
      </c>
      <c r="U249" s="76">
        <v>15</v>
      </c>
      <c r="V249" s="76">
        <v>12</v>
      </c>
      <c r="W249" s="236" t="s">
        <v>1148</v>
      </c>
      <c r="X249" s="214" t="s">
        <v>1149</v>
      </c>
      <c r="Y249" s="214" t="s">
        <v>1150</v>
      </c>
      <c r="Z249" s="289"/>
      <c r="AA249" s="289"/>
      <c r="AB249" s="289"/>
      <c r="AC249" s="289"/>
      <c r="AD249" s="289"/>
      <c r="AE249" s="289"/>
      <c r="AF249" s="289"/>
      <c r="AG249" s="289"/>
      <c r="AH249" s="289"/>
      <c r="AI249" s="289">
        <f>100000000-100000000</f>
        <v>0</v>
      </c>
      <c r="AJ249" s="289"/>
      <c r="AK249" s="289"/>
      <c r="AL249" s="322">
        <v>320000000</v>
      </c>
      <c r="AM249" s="322">
        <v>308460000</v>
      </c>
      <c r="AN249" s="322">
        <v>308460000</v>
      </c>
      <c r="AO249" s="289"/>
      <c r="AP249" s="289"/>
      <c r="AQ249" s="289"/>
      <c r="AR249" s="289"/>
      <c r="AS249" s="289"/>
      <c r="AT249" s="289"/>
      <c r="AU249" s="289"/>
      <c r="AV249" s="289"/>
      <c r="AW249" s="289"/>
      <c r="AX249" s="289"/>
      <c r="AY249" s="289"/>
      <c r="AZ249" s="289"/>
      <c r="BA249" s="289"/>
      <c r="BB249" s="289"/>
      <c r="BC249" s="289"/>
      <c r="BD249" s="294"/>
      <c r="BE249" s="294"/>
      <c r="BF249" s="294"/>
      <c r="BG249" s="289"/>
      <c r="BH249" s="289"/>
      <c r="BI249" s="289"/>
      <c r="BJ249" s="289"/>
      <c r="BK249" s="289"/>
      <c r="BL249" s="289"/>
      <c r="BM249" s="289"/>
      <c r="BN249" s="289"/>
      <c r="BO249" s="289"/>
      <c r="BP249" s="273">
        <f t="shared" si="59"/>
        <v>320000000</v>
      </c>
      <c r="BQ249" s="273">
        <f t="shared" si="60"/>
        <v>308460000</v>
      </c>
      <c r="BR249" s="273">
        <f t="shared" si="61"/>
        <v>308460000</v>
      </c>
      <c r="BS249" s="246" t="s">
        <v>1655</v>
      </c>
      <c r="BT249" s="233"/>
    </row>
    <row r="250" spans="1:72" s="27" customFormat="1" ht="63.75" customHeight="1" x14ac:dyDescent="0.2">
      <c r="A250" s="217">
        <v>318</v>
      </c>
      <c r="B250" s="310" t="s">
        <v>1628</v>
      </c>
      <c r="C250" s="213">
        <v>1</v>
      </c>
      <c r="D250" s="287" t="s">
        <v>1614</v>
      </c>
      <c r="E250" s="213">
        <v>19</v>
      </c>
      <c r="F250" s="216" t="s">
        <v>147</v>
      </c>
      <c r="G250" s="213">
        <v>1905</v>
      </c>
      <c r="H250" s="216" t="s">
        <v>768</v>
      </c>
      <c r="I250" s="213">
        <v>1905</v>
      </c>
      <c r="J250" s="216" t="s">
        <v>1586</v>
      </c>
      <c r="K250" s="216" t="s">
        <v>1151</v>
      </c>
      <c r="L250" s="213" t="s">
        <v>41</v>
      </c>
      <c r="M250" s="216" t="s">
        <v>1152</v>
      </c>
      <c r="N250" s="213" t="s">
        <v>1153</v>
      </c>
      <c r="O250" s="216" t="s">
        <v>1154</v>
      </c>
      <c r="P250" s="213" t="s">
        <v>41</v>
      </c>
      <c r="Q250" s="214" t="s">
        <v>1155</v>
      </c>
      <c r="R250" s="213" t="s">
        <v>1156</v>
      </c>
      <c r="S250" s="214" t="s">
        <v>1157</v>
      </c>
      <c r="T250" s="236" t="s">
        <v>1671</v>
      </c>
      <c r="U250" s="76">
        <v>1</v>
      </c>
      <c r="V250" s="76">
        <v>1</v>
      </c>
      <c r="W250" s="236" t="s">
        <v>1158</v>
      </c>
      <c r="X250" s="214" t="s">
        <v>1159</v>
      </c>
      <c r="Y250" s="214" t="s">
        <v>1160</v>
      </c>
      <c r="Z250" s="289"/>
      <c r="AA250" s="289"/>
      <c r="AB250" s="289"/>
      <c r="AC250" s="289"/>
      <c r="AD250" s="289"/>
      <c r="AE250" s="289"/>
      <c r="AF250" s="289"/>
      <c r="AG250" s="289"/>
      <c r="AH250" s="289"/>
      <c r="AI250" s="289"/>
      <c r="AJ250" s="289"/>
      <c r="AK250" s="289"/>
      <c r="AL250" s="289"/>
      <c r="AM250" s="289"/>
      <c r="AN250" s="289"/>
      <c r="AO250" s="356"/>
      <c r="AP250" s="356"/>
      <c r="AQ250" s="356"/>
      <c r="AR250" s="289"/>
      <c r="AS250" s="289"/>
      <c r="AT250" s="289"/>
      <c r="AU250" s="289"/>
      <c r="AV250" s="289"/>
      <c r="AW250" s="289"/>
      <c r="AX250" s="289"/>
      <c r="AY250" s="289"/>
      <c r="AZ250" s="289"/>
      <c r="BA250" s="289"/>
      <c r="BB250" s="289"/>
      <c r="BC250" s="289"/>
      <c r="BD250" s="294">
        <v>321904376</v>
      </c>
      <c r="BE250" s="294">
        <v>302979740</v>
      </c>
      <c r="BF250" s="294">
        <v>302979740</v>
      </c>
      <c r="BG250" s="289"/>
      <c r="BH250" s="289"/>
      <c r="BI250" s="289"/>
      <c r="BJ250" s="289"/>
      <c r="BK250" s="289"/>
      <c r="BL250" s="289"/>
      <c r="BM250" s="289"/>
      <c r="BN250" s="289"/>
      <c r="BO250" s="289"/>
      <c r="BP250" s="273">
        <f t="shared" si="59"/>
        <v>321904376</v>
      </c>
      <c r="BQ250" s="273">
        <f t="shared" si="60"/>
        <v>302979740</v>
      </c>
      <c r="BR250" s="273">
        <f t="shared" si="61"/>
        <v>302979740</v>
      </c>
      <c r="BS250" s="246" t="s">
        <v>1655</v>
      </c>
      <c r="BT250" s="233"/>
    </row>
    <row r="251" spans="1:72" s="27" customFormat="1" ht="88.5" customHeight="1" x14ac:dyDescent="0.2">
      <c r="A251" s="217">
        <v>318</v>
      </c>
      <c r="B251" s="310" t="s">
        <v>1628</v>
      </c>
      <c r="C251" s="213">
        <v>1</v>
      </c>
      <c r="D251" s="287" t="s">
        <v>1614</v>
      </c>
      <c r="E251" s="213">
        <v>19</v>
      </c>
      <c r="F251" s="216" t="s">
        <v>147</v>
      </c>
      <c r="G251" s="213">
        <v>1905</v>
      </c>
      <c r="H251" s="216" t="s">
        <v>768</v>
      </c>
      <c r="I251" s="213">
        <v>1905</v>
      </c>
      <c r="J251" s="216" t="s">
        <v>1586</v>
      </c>
      <c r="K251" s="216" t="s">
        <v>995</v>
      </c>
      <c r="L251" s="217">
        <v>1905031</v>
      </c>
      <c r="M251" s="216" t="s">
        <v>1067</v>
      </c>
      <c r="N251" s="217">
        <v>1905031</v>
      </c>
      <c r="O251" s="216" t="s">
        <v>1067</v>
      </c>
      <c r="P251" s="217">
        <v>190503100</v>
      </c>
      <c r="Q251" s="214" t="s">
        <v>1068</v>
      </c>
      <c r="R251" s="213">
        <v>190503100</v>
      </c>
      <c r="S251" s="214" t="s">
        <v>1068</v>
      </c>
      <c r="T251" s="236" t="s">
        <v>1671</v>
      </c>
      <c r="U251" s="76">
        <v>12</v>
      </c>
      <c r="V251" s="76">
        <v>11</v>
      </c>
      <c r="W251" s="236" t="s">
        <v>1161</v>
      </c>
      <c r="X251" s="214" t="s">
        <v>1162</v>
      </c>
      <c r="Y251" s="214" t="s">
        <v>1163</v>
      </c>
      <c r="Z251" s="289"/>
      <c r="AA251" s="289"/>
      <c r="AB251" s="289"/>
      <c r="AC251" s="289"/>
      <c r="AD251" s="289"/>
      <c r="AE251" s="289"/>
      <c r="AF251" s="289"/>
      <c r="AG251" s="289"/>
      <c r="AH251" s="289"/>
      <c r="AI251" s="289"/>
      <c r="AJ251" s="289"/>
      <c r="AK251" s="289"/>
      <c r="AL251" s="289">
        <f>1263850000+433334276.49+63682049</f>
        <v>1760866325.49</v>
      </c>
      <c r="AM251" s="289">
        <v>1199652532</v>
      </c>
      <c r="AN251" s="289">
        <v>1199652532</v>
      </c>
      <c r="AO251" s="289"/>
      <c r="AP251" s="289"/>
      <c r="AQ251" s="289"/>
      <c r="AR251" s="289"/>
      <c r="AS251" s="289"/>
      <c r="AT251" s="289"/>
      <c r="AU251" s="289"/>
      <c r="AV251" s="289"/>
      <c r="AW251" s="289"/>
      <c r="AX251" s="289"/>
      <c r="AY251" s="289"/>
      <c r="AZ251" s="289"/>
      <c r="BA251" s="289"/>
      <c r="BB251" s="289"/>
      <c r="BC251" s="289"/>
      <c r="BD251" s="294"/>
      <c r="BE251" s="294"/>
      <c r="BF251" s="294"/>
      <c r="BG251" s="289"/>
      <c r="BH251" s="289"/>
      <c r="BI251" s="289"/>
      <c r="BJ251" s="289"/>
      <c r="BK251" s="289"/>
      <c r="BL251" s="289"/>
      <c r="BM251" s="289"/>
      <c r="BN251" s="289"/>
      <c r="BO251" s="289"/>
      <c r="BP251" s="273">
        <f t="shared" si="59"/>
        <v>1760866325.49</v>
      </c>
      <c r="BQ251" s="273">
        <f t="shared" si="60"/>
        <v>1199652532</v>
      </c>
      <c r="BR251" s="273">
        <f t="shared" si="61"/>
        <v>1199652532</v>
      </c>
      <c r="BS251" s="246" t="s">
        <v>1655</v>
      </c>
      <c r="BT251" s="233"/>
    </row>
    <row r="252" spans="1:72" s="27" customFormat="1" ht="93" customHeight="1" x14ac:dyDescent="0.2">
      <c r="A252" s="217">
        <v>318</v>
      </c>
      <c r="B252" s="310" t="s">
        <v>1628</v>
      </c>
      <c r="C252" s="213">
        <v>1</v>
      </c>
      <c r="D252" s="287" t="s">
        <v>1614</v>
      </c>
      <c r="E252" s="213">
        <v>19</v>
      </c>
      <c r="F252" s="216" t="s">
        <v>147</v>
      </c>
      <c r="G252" s="213">
        <v>1906</v>
      </c>
      <c r="H252" s="216" t="s">
        <v>1557</v>
      </c>
      <c r="I252" s="213">
        <v>1906</v>
      </c>
      <c r="J252" s="216" t="s">
        <v>1558</v>
      </c>
      <c r="K252" s="216" t="s">
        <v>1048</v>
      </c>
      <c r="L252" s="213">
        <v>1906032</v>
      </c>
      <c r="M252" s="216" t="s">
        <v>1164</v>
      </c>
      <c r="N252" s="213">
        <v>1906032</v>
      </c>
      <c r="O252" s="216" t="s">
        <v>1164</v>
      </c>
      <c r="P252" s="292">
        <v>190603200</v>
      </c>
      <c r="Q252" s="214" t="s">
        <v>1165</v>
      </c>
      <c r="R252" s="292">
        <v>190603200</v>
      </c>
      <c r="S252" s="216" t="s">
        <v>1165</v>
      </c>
      <c r="T252" s="236" t="s">
        <v>1673</v>
      </c>
      <c r="U252" s="76">
        <v>1500</v>
      </c>
      <c r="V252" s="76">
        <v>21885</v>
      </c>
      <c r="W252" s="236" t="s">
        <v>1166</v>
      </c>
      <c r="X252" s="214" t="s">
        <v>1167</v>
      </c>
      <c r="Y252" s="214" t="s">
        <v>1168</v>
      </c>
      <c r="Z252" s="289"/>
      <c r="AA252" s="289"/>
      <c r="AB252" s="289"/>
      <c r="AC252" s="289"/>
      <c r="AD252" s="289"/>
      <c r="AE252" s="289"/>
      <c r="AF252" s="289"/>
      <c r="AG252" s="289"/>
      <c r="AH252" s="289"/>
      <c r="AI252" s="289"/>
      <c r="AJ252" s="289"/>
      <c r="AK252" s="289"/>
      <c r="AL252" s="289"/>
      <c r="AM252" s="289"/>
      <c r="AN252" s="289"/>
      <c r="AO252" s="322">
        <v>0</v>
      </c>
      <c r="AP252" s="322"/>
      <c r="AQ252" s="322"/>
      <c r="AR252" s="289"/>
      <c r="AS252" s="289"/>
      <c r="AT252" s="289"/>
      <c r="AU252" s="289"/>
      <c r="AV252" s="289"/>
      <c r="AW252" s="289"/>
      <c r="AX252" s="289"/>
      <c r="AY252" s="289"/>
      <c r="AZ252" s="289"/>
      <c r="BA252" s="289"/>
      <c r="BB252" s="289"/>
      <c r="BC252" s="289"/>
      <c r="BD252" s="294"/>
      <c r="BE252" s="294"/>
      <c r="BF252" s="294"/>
      <c r="BG252" s="289"/>
      <c r="BH252" s="289"/>
      <c r="BI252" s="289"/>
      <c r="BJ252" s="289"/>
      <c r="BK252" s="289"/>
      <c r="BL252" s="289"/>
      <c r="BM252" s="289"/>
      <c r="BN252" s="289"/>
      <c r="BO252" s="289"/>
      <c r="BP252" s="273">
        <f t="shared" si="59"/>
        <v>0</v>
      </c>
      <c r="BQ252" s="273">
        <f t="shared" ref="BQ252:BQ261" si="62">+AA252+AD252+AG252+AJ252+AM252+AP252+AS252+AV252+AY252+BB252+BE252+BH252+BK252</f>
        <v>0</v>
      </c>
      <c r="BR252" s="273">
        <f t="shared" ref="BR252:BR261" si="63">+AB252+AE252+AH252+AK252+AN252+AQ252+AT252+AW252+AZ252+BC252+BF252+BI252+BL252</f>
        <v>0</v>
      </c>
      <c r="BS252" s="246" t="s">
        <v>1655</v>
      </c>
      <c r="BT252" s="233"/>
    </row>
    <row r="253" spans="1:72" s="27" customFormat="1" ht="87.75" customHeight="1" x14ac:dyDescent="0.2">
      <c r="A253" s="217">
        <v>318</v>
      </c>
      <c r="B253" s="310" t="s">
        <v>1628</v>
      </c>
      <c r="C253" s="213">
        <v>1</v>
      </c>
      <c r="D253" s="287" t="s">
        <v>1614</v>
      </c>
      <c r="E253" s="213">
        <v>19</v>
      </c>
      <c r="F253" s="216" t="s">
        <v>147</v>
      </c>
      <c r="G253" s="213">
        <v>1906</v>
      </c>
      <c r="H253" s="216" t="s">
        <v>1557</v>
      </c>
      <c r="I253" s="213">
        <v>1906</v>
      </c>
      <c r="J253" s="216" t="s">
        <v>1558</v>
      </c>
      <c r="K253" s="216" t="s">
        <v>1169</v>
      </c>
      <c r="L253" s="213" t="s">
        <v>41</v>
      </c>
      <c r="M253" s="216" t="s">
        <v>1170</v>
      </c>
      <c r="N253" s="213">
        <v>1906023</v>
      </c>
      <c r="O253" s="216" t="s">
        <v>1171</v>
      </c>
      <c r="P253" s="213" t="s">
        <v>41</v>
      </c>
      <c r="Q253" s="214" t="s">
        <v>1172</v>
      </c>
      <c r="R253" s="213">
        <v>190602300</v>
      </c>
      <c r="S253" s="216" t="s">
        <v>1173</v>
      </c>
      <c r="T253" s="236" t="s">
        <v>1671</v>
      </c>
      <c r="U253" s="76">
        <v>19899</v>
      </c>
      <c r="V253" s="76">
        <v>249405</v>
      </c>
      <c r="W253" s="236" t="s">
        <v>1166</v>
      </c>
      <c r="X253" s="214" t="s">
        <v>1167</v>
      </c>
      <c r="Y253" s="214" t="s">
        <v>1168</v>
      </c>
      <c r="Z253" s="289"/>
      <c r="AA253" s="289"/>
      <c r="AB253" s="289"/>
      <c r="AC253" s="289"/>
      <c r="AD253" s="289"/>
      <c r="AE253" s="289"/>
      <c r="AF253" s="289"/>
      <c r="AG253" s="289"/>
      <c r="AH253" s="289"/>
      <c r="AI253" s="289"/>
      <c r="AJ253" s="289"/>
      <c r="AK253" s="289"/>
      <c r="AL253" s="289"/>
      <c r="AM253" s="289"/>
      <c r="AN253" s="289"/>
      <c r="AO253" s="322">
        <f>31408028135-56769013+473448217.47+3249295760.63</f>
        <v>35074003100.099998</v>
      </c>
      <c r="AP253" s="322">
        <v>35074003100.099998</v>
      </c>
      <c r="AQ253" s="322">
        <v>35074003100.099998</v>
      </c>
      <c r="AR253" s="289"/>
      <c r="AS253" s="289"/>
      <c r="AT253" s="289"/>
      <c r="AU253" s="289"/>
      <c r="AV253" s="289"/>
      <c r="AW253" s="289"/>
      <c r="AX253" s="289"/>
      <c r="AY253" s="289"/>
      <c r="AZ253" s="289"/>
      <c r="BA253" s="289"/>
      <c r="BB253" s="289"/>
      <c r="BC253" s="289"/>
      <c r="BD253" s="294">
        <v>0</v>
      </c>
      <c r="BE253" s="294"/>
      <c r="BF253" s="294"/>
      <c r="BG253" s="289"/>
      <c r="BH253" s="289"/>
      <c r="BI253" s="289"/>
      <c r="BJ253" s="289"/>
      <c r="BK253" s="289"/>
      <c r="BL253" s="289"/>
      <c r="BM253" s="289"/>
      <c r="BN253" s="289"/>
      <c r="BO253" s="289"/>
      <c r="BP253" s="273">
        <f>+Z253+AC253+AF253+AI253+AL253+AO253+AR253+AU253+AX253+BA253+BD253+BG253+BJ253</f>
        <v>35074003100.099998</v>
      </c>
      <c r="BQ253" s="273">
        <f t="shared" si="62"/>
        <v>35074003100.099998</v>
      </c>
      <c r="BR253" s="273">
        <f t="shared" si="63"/>
        <v>35074003100.099998</v>
      </c>
      <c r="BS253" s="246" t="s">
        <v>1655</v>
      </c>
      <c r="BT253" s="233"/>
    </row>
    <row r="254" spans="1:72" s="27" customFormat="1" ht="83.25" customHeight="1" x14ac:dyDescent="0.2">
      <c r="A254" s="217">
        <v>318</v>
      </c>
      <c r="B254" s="310" t="s">
        <v>1628</v>
      </c>
      <c r="C254" s="213">
        <v>1</v>
      </c>
      <c r="D254" s="287" t="s">
        <v>1614</v>
      </c>
      <c r="E254" s="213">
        <v>19</v>
      </c>
      <c r="F254" s="216" t="s">
        <v>147</v>
      </c>
      <c r="G254" s="213">
        <v>1906</v>
      </c>
      <c r="H254" s="216" t="s">
        <v>1557</v>
      </c>
      <c r="I254" s="213">
        <v>1906</v>
      </c>
      <c r="J254" s="216" t="s">
        <v>1558</v>
      </c>
      <c r="K254" s="216" t="s">
        <v>1169</v>
      </c>
      <c r="L254" s="213" t="s">
        <v>41</v>
      </c>
      <c r="M254" s="216" t="s">
        <v>1174</v>
      </c>
      <c r="N254" s="213">
        <v>1906023</v>
      </c>
      <c r="O254" s="216" t="s">
        <v>1171</v>
      </c>
      <c r="P254" s="213" t="s">
        <v>41</v>
      </c>
      <c r="Q254" s="214" t="s">
        <v>1175</v>
      </c>
      <c r="R254" s="292">
        <v>190602301</v>
      </c>
      <c r="S254" s="311" t="s">
        <v>1176</v>
      </c>
      <c r="T254" s="236" t="s">
        <v>1671</v>
      </c>
      <c r="U254" s="76">
        <v>60</v>
      </c>
      <c r="V254" s="76">
        <v>51</v>
      </c>
      <c r="W254" s="236" t="s">
        <v>1177</v>
      </c>
      <c r="X254" s="214" t="s">
        <v>1660</v>
      </c>
      <c r="Y254" s="214" t="s">
        <v>1178</v>
      </c>
      <c r="Z254" s="289"/>
      <c r="AA254" s="289"/>
      <c r="AB254" s="289"/>
      <c r="AC254" s="289"/>
      <c r="AD254" s="289"/>
      <c r="AE254" s="289"/>
      <c r="AF254" s="289"/>
      <c r="AG254" s="289"/>
      <c r="AH254" s="289"/>
      <c r="AI254" s="289"/>
      <c r="AJ254" s="289"/>
      <c r="AK254" s="289"/>
      <c r="AL254" s="289"/>
      <c r="AM254" s="289"/>
      <c r="AN254" s="289"/>
      <c r="AO254" s="322">
        <f>115688008-54899687</f>
        <v>60788321</v>
      </c>
      <c r="AP254" s="322"/>
      <c r="AQ254" s="322"/>
      <c r="AR254" s="289"/>
      <c r="AS254" s="289"/>
      <c r="AT254" s="289"/>
      <c r="AU254" s="289"/>
      <c r="AV254" s="289"/>
      <c r="AW254" s="289"/>
      <c r="AX254" s="289"/>
      <c r="AY254" s="289"/>
      <c r="AZ254" s="289"/>
      <c r="BA254" s="289"/>
      <c r="BB254" s="289"/>
      <c r="BC254" s="289"/>
      <c r="BD254" s="294">
        <v>1449459132</v>
      </c>
      <c r="BE254" s="294">
        <v>1380978948</v>
      </c>
      <c r="BF254" s="294">
        <v>1380978948</v>
      </c>
      <c r="BG254" s="289"/>
      <c r="BH254" s="289"/>
      <c r="BI254" s="289"/>
      <c r="BJ254" s="289">
        <f>1361612640+709077292</f>
        <v>2070689932</v>
      </c>
      <c r="BK254" s="289">
        <v>1747904004</v>
      </c>
      <c r="BL254" s="289">
        <v>1747904004</v>
      </c>
      <c r="BM254" s="289"/>
      <c r="BN254" s="289"/>
      <c r="BO254" s="289"/>
      <c r="BP254" s="273">
        <f t="shared" si="59"/>
        <v>3580937385</v>
      </c>
      <c r="BQ254" s="273">
        <f>+AA254+AD254+AG254+AJ254+AM254+AP254+AS254+AV254+AY254+BB254+BE254+BH254+BK254</f>
        <v>3128882952</v>
      </c>
      <c r="BR254" s="273">
        <f t="shared" si="63"/>
        <v>3128882952</v>
      </c>
      <c r="BS254" s="246" t="s">
        <v>1655</v>
      </c>
      <c r="BT254" s="233"/>
    </row>
    <row r="255" spans="1:72" s="27" customFormat="1" ht="147" customHeight="1" x14ac:dyDescent="0.2">
      <c r="A255" s="217">
        <v>318</v>
      </c>
      <c r="B255" s="310" t="s">
        <v>1628</v>
      </c>
      <c r="C255" s="213">
        <v>1</v>
      </c>
      <c r="D255" s="287" t="s">
        <v>1614</v>
      </c>
      <c r="E255" s="213">
        <v>19</v>
      </c>
      <c r="F255" s="216" t="s">
        <v>147</v>
      </c>
      <c r="G255" s="213">
        <v>1906</v>
      </c>
      <c r="H255" s="216" t="s">
        <v>1557</v>
      </c>
      <c r="I255" s="213">
        <v>1906</v>
      </c>
      <c r="J255" s="216" t="s">
        <v>1558</v>
      </c>
      <c r="K255" s="216" t="s">
        <v>1169</v>
      </c>
      <c r="L255" s="213" t="s">
        <v>41</v>
      </c>
      <c r="M255" s="216" t="s">
        <v>1179</v>
      </c>
      <c r="N255" s="213">
        <v>1906025</v>
      </c>
      <c r="O255" s="216" t="s">
        <v>1180</v>
      </c>
      <c r="P255" s="213" t="s">
        <v>41</v>
      </c>
      <c r="Q255" s="214" t="s">
        <v>1181</v>
      </c>
      <c r="R255" s="213">
        <v>190602500</v>
      </c>
      <c r="S255" s="216" t="s">
        <v>1182</v>
      </c>
      <c r="T255" s="236" t="s">
        <v>1671</v>
      </c>
      <c r="U255" s="76">
        <v>100</v>
      </c>
      <c r="V255" s="76">
        <v>100</v>
      </c>
      <c r="W255" s="236" t="s">
        <v>1177</v>
      </c>
      <c r="X255" s="214" t="s">
        <v>1660</v>
      </c>
      <c r="Y255" s="214" t="s">
        <v>1178</v>
      </c>
      <c r="Z255" s="289"/>
      <c r="AA255" s="289"/>
      <c r="AB255" s="289"/>
      <c r="AC255" s="289"/>
      <c r="AD255" s="289"/>
      <c r="AE255" s="289"/>
      <c r="AF255" s="289"/>
      <c r="AG255" s="289"/>
      <c r="AH255" s="289"/>
      <c r="AI255" s="373">
        <f>100000000+300000000+400000000-400000000-400000000</f>
        <v>0</v>
      </c>
      <c r="AJ255" s="289">
        <v>0</v>
      </c>
      <c r="AK255" s="289">
        <v>0</v>
      </c>
      <c r="AL255" s="289">
        <f>2224028029+3434211.2+3039348.21-3434211.2-3039348.21-489634735</f>
        <v>1734393294</v>
      </c>
      <c r="AM255" s="289">
        <v>1583722600</v>
      </c>
      <c r="AN255" s="289">
        <v>1583722600</v>
      </c>
      <c r="AO255" s="326"/>
      <c r="AP255" s="326"/>
      <c r="AQ255" s="326"/>
      <c r="AR255" s="289"/>
      <c r="AS255" s="289"/>
      <c r="AT255" s="289"/>
      <c r="AU255" s="289"/>
      <c r="AV255" s="289"/>
      <c r="AW255" s="289"/>
      <c r="AX255" s="289"/>
      <c r="AY255" s="289"/>
      <c r="AZ255" s="289"/>
      <c r="BA255" s="289"/>
      <c r="BB255" s="289"/>
      <c r="BC255" s="289"/>
      <c r="BD255" s="294"/>
      <c r="BE255" s="294"/>
      <c r="BF255" s="294"/>
      <c r="BG255" s="289"/>
      <c r="BH255" s="289"/>
      <c r="BI255" s="289"/>
      <c r="BJ255" s="289"/>
      <c r="BK255" s="289"/>
      <c r="BL255" s="289"/>
      <c r="BM255" s="289"/>
      <c r="BN255" s="289"/>
      <c r="BO255" s="289"/>
      <c r="BP255" s="273">
        <f t="shared" si="59"/>
        <v>1734393294</v>
      </c>
      <c r="BQ255" s="273">
        <f t="shared" si="62"/>
        <v>1583722600</v>
      </c>
      <c r="BR255" s="273">
        <f t="shared" si="63"/>
        <v>1583722600</v>
      </c>
      <c r="BS255" s="246" t="s">
        <v>1655</v>
      </c>
      <c r="BT255" s="233"/>
    </row>
    <row r="256" spans="1:72" s="27" customFormat="1" ht="95.25" customHeight="1" x14ac:dyDescent="0.2">
      <c r="A256" s="217">
        <v>318</v>
      </c>
      <c r="B256" s="310" t="s">
        <v>1628</v>
      </c>
      <c r="C256" s="213">
        <v>1</v>
      </c>
      <c r="D256" s="287" t="s">
        <v>1614</v>
      </c>
      <c r="E256" s="213">
        <v>19</v>
      </c>
      <c r="F256" s="216" t="s">
        <v>147</v>
      </c>
      <c r="G256" s="213">
        <v>1906</v>
      </c>
      <c r="H256" s="216" t="s">
        <v>1557</v>
      </c>
      <c r="I256" s="213">
        <v>1906</v>
      </c>
      <c r="J256" s="216" t="s">
        <v>1558</v>
      </c>
      <c r="K256" s="216" t="s">
        <v>1169</v>
      </c>
      <c r="L256" s="213" t="s">
        <v>41</v>
      </c>
      <c r="M256" s="216" t="s">
        <v>1183</v>
      </c>
      <c r="N256" s="213">
        <v>1906025</v>
      </c>
      <c r="O256" s="216" t="s">
        <v>1180</v>
      </c>
      <c r="P256" s="213" t="s">
        <v>41</v>
      </c>
      <c r="Q256" s="214" t="s">
        <v>1184</v>
      </c>
      <c r="R256" s="213">
        <v>190602500</v>
      </c>
      <c r="S256" s="311" t="s">
        <v>1182</v>
      </c>
      <c r="T256" s="236" t="s">
        <v>1671</v>
      </c>
      <c r="U256" s="76">
        <v>100</v>
      </c>
      <c r="V256" s="76">
        <v>94</v>
      </c>
      <c r="W256" s="236" t="s">
        <v>1177</v>
      </c>
      <c r="X256" s="214" t="s">
        <v>1660</v>
      </c>
      <c r="Y256" s="214" t="s">
        <v>1178</v>
      </c>
      <c r="Z256" s="289"/>
      <c r="AA256" s="289"/>
      <c r="AB256" s="289"/>
      <c r="AC256" s="289"/>
      <c r="AD256" s="289"/>
      <c r="AE256" s="289"/>
      <c r="AF256" s="289"/>
      <c r="AG256" s="289"/>
      <c r="AH256" s="289"/>
      <c r="AI256" s="373">
        <f>400000000+400000000</f>
        <v>800000000</v>
      </c>
      <c r="AJ256" s="373">
        <f t="shared" ref="AJ256:AK256" si="64">400000000+400000000</f>
        <v>800000000</v>
      </c>
      <c r="AK256" s="373">
        <f t="shared" si="64"/>
        <v>800000000</v>
      </c>
      <c r="AL256" s="289">
        <f>3434211.2+3039348.21</f>
        <v>6473559.4100000001</v>
      </c>
      <c r="AM256" s="289">
        <v>3434211.2</v>
      </c>
      <c r="AN256" s="289">
        <v>3434211.2</v>
      </c>
      <c r="AO256" s="322">
        <f>3684809425+33937548.72+1216600524.1+22221326.62+712647104.86+2028035496</f>
        <v>7698251425.2999992</v>
      </c>
      <c r="AP256" s="289">
        <v>7187824705.7199993</v>
      </c>
      <c r="AQ256" s="289">
        <v>7187824705.7199993</v>
      </c>
      <c r="AR256" s="289"/>
      <c r="AS256" s="289"/>
      <c r="AT256" s="289"/>
      <c r="AU256" s="289"/>
      <c r="AV256" s="289"/>
      <c r="AW256" s="289"/>
      <c r="AX256" s="289"/>
      <c r="AY256" s="289"/>
      <c r="AZ256" s="289"/>
      <c r="BA256" s="289"/>
      <c r="BB256" s="289"/>
      <c r="BC256" s="289"/>
      <c r="BD256" s="366">
        <v>4720000000</v>
      </c>
      <c r="BE256" s="294">
        <v>4720000000</v>
      </c>
      <c r="BF256" s="294">
        <v>4720000000</v>
      </c>
      <c r="BG256" s="289"/>
      <c r="BH256" s="289"/>
      <c r="BI256" s="289"/>
      <c r="BJ256" s="373">
        <v>8702487605</v>
      </c>
      <c r="BK256" s="289">
        <v>8702487605</v>
      </c>
      <c r="BL256" s="289">
        <v>8702487605</v>
      </c>
      <c r="BM256" s="289"/>
      <c r="BN256" s="289"/>
      <c r="BO256" s="289"/>
      <c r="BP256" s="273">
        <f t="shared" si="59"/>
        <v>21927212589.709999</v>
      </c>
      <c r="BQ256" s="273">
        <f t="shared" si="62"/>
        <v>21413746521.919998</v>
      </c>
      <c r="BR256" s="273">
        <f>+AB256+AE256+AH256+AK256+AN256+AQ256+AT256+AW256+AZ256+BC256+BF256+BI256+BL256</f>
        <v>21413746521.919998</v>
      </c>
      <c r="BS256" s="246" t="s">
        <v>1655</v>
      </c>
      <c r="BT256" s="233"/>
    </row>
    <row r="257" spans="1:72" s="27" customFormat="1" ht="95.25" customHeight="1" x14ac:dyDescent="0.2">
      <c r="A257" s="217">
        <v>318</v>
      </c>
      <c r="B257" s="310" t="s">
        <v>1628</v>
      </c>
      <c r="C257" s="213">
        <v>1</v>
      </c>
      <c r="D257" s="287" t="s">
        <v>1614</v>
      </c>
      <c r="E257" s="213">
        <v>19</v>
      </c>
      <c r="F257" s="216" t="s">
        <v>147</v>
      </c>
      <c r="G257" s="213">
        <v>1906</v>
      </c>
      <c r="H257" s="216" t="s">
        <v>1557</v>
      </c>
      <c r="I257" s="213">
        <v>1906</v>
      </c>
      <c r="J257" s="216" t="s">
        <v>1558</v>
      </c>
      <c r="K257" s="216" t="s">
        <v>1185</v>
      </c>
      <c r="L257" s="213">
        <v>1906029</v>
      </c>
      <c r="M257" s="216" t="s">
        <v>1186</v>
      </c>
      <c r="N257" s="213">
        <v>1906029</v>
      </c>
      <c r="O257" s="216" t="s">
        <v>1186</v>
      </c>
      <c r="P257" s="292">
        <v>190602900</v>
      </c>
      <c r="Q257" s="214" t="s">
        <v>1187</v>
      </c>
      <c r="R257" s="292">
        <v>190602900</v>
      </c>
      <c r="S257" s="311" t="s">
        <v>1187</v>
      </c>
      <c r="T257" s="236" t="s">
        <v>1671</v>
      </c>
      <c r="U257" s="76">
        <v>40</v>
      </c>
      <c r="V257" s="76">
        <v>35</v>
      </c>
      <c r="W257" s="236" t="s">
        <v>1188</v>
      </c>
      <c r="X257" s="214" t="s">
        <v>1189</v>
      </c>
      <c r="Y257" s="214" t="s">
        <v>1190</v>
      </c>
      <c r="Z257" s="289"/>
      <c r="AA257" s="289"/>
      <c r="AB257" s="289"/>
      <c r="AC257" s="289"/>
      <c r="AD257" s="289"/>
      <c r="AE257" s="289"/>
      <c r="AF257" s="289"/>
      <c r="AG257" s="289"/>
      <c r="AH257" s="289"/>
      <c r="AI257" s="289"/>
      <c r="AJ257" s="289"/>
      <c r="AK257" s="289"/>
      <c r="AL257" s="289"/>
      <c r="AM257" s="289"/>
      <c r="AN257" s="289"/>
      <c r="AO257" s="322">
        <v>468599154.12</v>
      </c>
      <c r="AP257" s="322"/>
      <c r="AQ257" s="322">
        <v>0</v>
      </c>
      <c r="AR257" s="289"/>
      <c r="AS257" s="289"/>
      <c r="AT257" s="289"/>
      <c r="AU257" s="289"/>
      <c r="AV257" s="289"/>
      <c r="AW257" s="289"/>
      <c r="AX257" s="289"/>
      <c r="AY257" s="289"/>
      <c r="AZ257" s="289"/>
      <c r="BA257" s="289"/>
      <c r="BB257" s="289"/>
      <c r="BC257" s="289"/>
      <c r="BD257" s="366">
        <f>150390000+74000000+100000000+1014540868+473184457.21</f>
        <v>1812115325.21</v>
      </c>
      <c r="BE257" s="294">
        <v>1804273676.21</v>
      </c>
      <c r="BF257" s="294">
        <v>1804273676.21</v>
      </c>
      <c r="BG257" s="289"/>
      <c r="BH257" s="289"/>
      <c r="BI257" s="289"/>
      <c r="BJ257" s="289">
        <v>308966733</v>
      </c>
      <c r="BK257" s="289">
        <v>159438968</v>
      </c>
      <c r="BL257" s="289">
        <v>159438968</v>
      </c>
      <c r="BM257" s="289"/>
      <c r="BN257" s="289"/>
      <c r="BO257" s="289"/>
      <c r="BP257" s="273">
        <f t="shared" ref="BP257:BP262" si="65">+Z257+AC257+AF257+AI257+AL257+AO257+AR257+AU257+AX257+BA257+BD257+BG257+BJ257</f>
        <v>2589681212.3299999</v>
      </c>
      <c r="BQ257" s="273">
        <f t="shared" si="62"/>
        <v>1963712644.21</v>
      </c>
      <c r="BR257" s="273">
        <f t="shared" si="63"/>
        <v>1963712644.21</v>
      </c>
      <c r="BS257" s="246" t="s">
        <v>1655</v>
      </c>
      <c r="BT257" s="233"/>
    </row>
    <row r="258" spans="1:72" s="27" customFormat="1" ht="87.75" customHeight="1" x14ac:dyDescent="0.2">
      <c r="A258" s="217">
        <v>318</v>
      </c>
      <c r="B258" s="310" t="s">
        <v>1628</v>
      </c>
      <c r="C258" s="213">
        <v>1</v>
      </c>
      <c r="D258" s="287" t="s">
        <v>1614</v>
      </c>
      <c r="E258" s="213">
        <v>19</v>
      </c>
      <c r="F258" s="216" t="s">
        <v>147</v>
      </c>
      <c r="G258" s="213">
        <v>1906</v>
      </c>
      <c r="H258" s="216" t="s">
        <v>1557</v>
      </c>
      <c r="I258" s="213">
        <v>1906</v>
      </c>
      <c r="J258" s="216" t="s">
        <v>1558</v>
      </c>
      <c r="K258" s="216" t="s">
        <v>1048</v>
      </c>
      <c r="L258" s="213">
        <v>1906032</v>
      </c>
      <c r="M258" s="216" t="s">
        <v>1164</v>
      </c>
      <c r="N258" s="213">
        <v>1906032</v>
      </c>
      <c r="O258" s="216" t="s">
        <v>1164</v>
      </c>
      <c r="P258" s="292">
        <v>190603200</v>
      </c>
      <c r="Q258" s="214" t="s">
        <v>1165</v>
      </c>
      <c r="R258" s="292">
        <v>190603200</v>
      </c>
      <c r="S258" s="216" t="s">
        <v>1165</v>
      </c>
      <c r="T258" s="236" t="s">
        <v>1673</v>
      </c>
      <c r="U258" s="76">
        <v>1500</v>
      </c>
      <c r="V258" s="76">
        <v>21885</v>
      </c>
      <c r="W258" s="236" t="s">
        <v>1188</v>
      </c>
      <c r="X258" s="214" t="s">
        <v>1189</v>
      </c>
      <c r="Y258" s="214" t="s">
        <v>1190</v>
      </c>
      <c r="Z258" s="289"/>
      <c r="AA258" s="289"/>
      <c r="AB258" s="289"/>
      <c r="AC258" s="289"/>
      <c r="AD258" s="289"/>
      <c r="AE258" s="289"/>
      <c r="AF258" s="289"/>
      <c r="AG258" s="289"/>
      <c r="AH258" s="289"/>
      <c r="AI258" s="289"/>
      <c r="AJ258" s="289"/>
      <c r="AK258" s="289"/>
      <c r="AL258" s="289"/>
      <c r="AM258" s="289"/>
      <c r="AN258" s="289"/>
      <c r="AO258" s="322"/>
      <c r="AP258" s="322"/>
      <c r="AQ258" s="322"/>
      <c r="AR258" s="289"/>
      <c r="AS258" s="289"/>
      <c r="AT258" s="289"/>
      <c r="AU258" s="289"/>
      <c r="AV258" s="289"/>
      <c r="AW258" s="289"/>
      <c r="AX258" s="289"/>
      <c r="AY258" s="289"/>
      <c r="AZ258" s="289"/>
      <c r="BA258" s="289"/>
      <c r="BB258" s="289"/>
      <c r="BC258" s="289"/>
      <c r="BD258" s="294">
        <v>20000000</v>
      </c>
      <c r="BE258" s="294">
        <v>19906500</v>
      </c>
      <c r="BF258" s="294">
        <v>19906500</v>
      </c>
      <c r="BG258" s="289"/>
      <c r="BH258" s="289"/>
      <c r="BI258" s="289"/>
      <c r="BJ258" s="289"/>
      <c r="BK258" s="289"/>
      <c r="BL258" s="289"/>
      <c r="BM258" s="289"/>
      <c r="BN258" s="289"/>
      <c r="BO258" s="289"/>
      <c r="BP258" s="273">
        <f t="shared" si="65"/>
        <v>20000000</v>
      </c>
      <c r="BQ258" s="273">
        <f t="shared" si="62"/>
        <v>19906500</v>
      </c>
      <c r="BR258" s="273">
        <f t="shared" si="63"/>
        <v>19906500</v>
      </c>
      <c r="BS258" s="246" t="s">
        <v>1655</v>
      </c>
      <c r="BT258" s="233"/>
    </row>
    <row r="259" spans="1:72" s="27" customFormat="1" ht="119.25" customHeight="1" x14ac:dyDescent="0.2">
      <c r="A259" s="217">
        <v>318</v>
      </c>
      <c r="B259" s="310" t="s">
        <v>1628</v>
      </c>
      <c r="C259" s="213">
        <v>1</v>
      </c>
      <c r="D259" s="287" t="s">
        <v>1614</v>
      </c>
      <c r="E259" s="213">
        <v>19</v>
      </c>
      <c r="F259" s="216" t="s">
        <v>147</v>
      </c>
      <c r="G259" s="213">
        <v>1906</v>
      </c>
      <c r="H259" s="216" t="s">
        <v>1557</v>
      </c>
      <c r="I259" s="213">
        <v>1906</v>
      </c>
      <c r="J259" s="216" t="s">
        <v>1558</v>
      </c>
      <c r="K259" s="216" t="s">
        <v>1191</v>
      </c>
      <c r="L259" s="213">
        <v>1906005</v>
      </c>
      <c r="M259" s="216" t="s">
        <v>1192</v>
      </c>
      <c r="N259" s="213">
        <v>1906005</v>
      </c>
      <c r="O259" s="216" t="s">
        <v>1192</v>
      </c>
      <c r="P259" s="292">
        <v>190600500</v>
      </c>
      <c r="Q259" s="214" t="s">
        <v>1192</v>
      </c>
      <c r="R259" s="292">
        <v>190600500</v>
      </c>
      <c r="S259" s="311" t="s">
        <v>1192</v>
      </c>
      <c r="T259" s="236" t="s">
        <v>1673</v>
      </c>
      <c r="U259" s="76">
        <v>2</v>
      </c>
      <c r="V259" s="76">
        <v>0</v>
      </c>
      <c r="W259" s="236" t="s">
        <v>1188</v>
      </c>
      <c r="X259" s="214" t="s">
        <v>1189</v>
      </c>
      <c r="Y259" s="214" t="s">
        <v>1190</v>
      </c>
      <c r="Z259" s="289"/>
      <c r="AA259" s="289"/>
      <c r="AB259" s="289"/>
      <c r="AC259" s="289"/>
      <c r="AD259" s="289"/>
      <c r="AE259" s="289"/>
      <c r="AF259" s="289"/>
      <c r="AG259" s="289"/>
      <c r="AH259" s="289"/>
      <c r="AI259" s="289"/>
      <c r="AJ259" s="289"/>
      <c r="AK259" s="289"/>
      <c r="AL259" s="289"/>
      <c r="AM259" s="289"/>
      <c r="AN259" s="289"/>
      <c r="AO259" s="322"/>
      <c r="AP259" s="322"/>
      <c r="AQ259" s="322"/>
      <c r="AR259" s="289"/>
      <c r="AS259" s="289"/>
      <c r="AT259" s="289"/>
      <c r="AU259" s="289"/>
      <c r="AV259" s="289"/>
      <c r="AW259" s="289"/>
      <c r="AX259" s="289"/>
      <c r="AY259" s="289"/>
      <c r="AZ259" s="289"/>
      <c r="BA259" s="289"/>
      <c r="BB259" s="289"/>
      <c r="BC259" s="289"/>
      <c r="BD259" s="294">
        <v>20000000</v>
      </c>
      <c r="BE259" s="294"/>
      <c r="BF259" s="294"/>
      <c r="BG259" s="289"/>
      <c r="BH259" s="289"/>
      <c r="BI259" s="289"/>
      <c r="BJ259" s="289"/>
      <c r="BK259" s="289"/>
      <c r="BL259" s="289"/>
      <c r="BM259" s="289"/>
      <c r="BN259" s="289"/>
      <c r="BO259" s="289"/>
      <c r="BP259" s="273">
        <f t="shared" si="65"/>
        <v>20000000</v>
      </c>
      <c r="BQ259" s="273">
        <f t="shared" si="62"/>
        <v>0</v>
      </c>
      <c r="BR259" s="273">
        <f t="shared" si="63"/>
        <v>0</v>
      </c>
      <c r="BS259" s="246" t="s">
        <v>1655</v>
      </c>
      <c r="BT259" s="233"/>
    </row>
    <row r="260" spans="1:72" s="27" customFormat="1" ht="96.75" customHeight="1" x14ac:dyDescent="0.2">
      <c r="A260" s="217">
        <v>318</v>
      </c>
      <c r="B260" s="310" t="s">
        <v>1628</v>
      </c>
      <c r="C260" s="213">
        <v>1</v>
      </c>
      <c r="D260" s="287" t="s">
        <v>1614</v>
      </c>
      <c r="E260" s="213">
        <v>19</v>
      </c>
      <c r="F260" s="216" t="s">
        <v>147</v>
      </c>
      <c r="G260" s="213">
        <v>1906</v>
      </c>
      <c r="H260" s="216" t="s">
        <v>1557</v>
      </c>
      <c r="I260" s="213">
        <v>1906</v>
      </c>
      <c r="J260" s="216" t="s">
        <v>1558</v>
      </c>
      <c r="K260" s="216" t="s">
        <v>995</v>
      </c>
      <c r="L260" s="213">
        <v>1906022</v>
      </c>
      <c r="M260" s="216" t="s">
        <v>1193</v>
      </c>
      <c r="N260" s="213">
        <v>1906022</v>
      </c>
      <c r="O260" s="216" t="s">
        <v>1193</v>
      </c>
      <c r="P260" s="292">
        <v>190602200</v>
      </c>
      <c r="Q260" s="214" t="s">
        <v>1194</v>
      </c>
      <c r="R260" s="292">
        <v>190602200</v>
      </c>
      <c r="S260" s="311" t="s">
        <v>1194</v>
      </c>
      <c r="T260" s="236" t="s">
        <v>1673</v>
      </c>
      <c r="U260" s="76">
        <v>1</v>
      </c>
      <c r="V260" s="76">
        <v>0</v>
      </c>
      <c r="W260" s="236" t="s">
        <v>1188</v>
      </c>
      <c r="X260" s="214" t="s">
        <v>1189</v>
      </c>
      <c r="Y260" s="214" t="s">
        <v>1190</v>
      </c>
      <c r="Z260" s="289"/>
      <c r="AA260" s="289"/>
      <c r="AB260" s="289"/>
      <c r="AC260" s="289"/>
      <c r="AD260" s="289"/>
      <c r="AE260" s="289"/>
      <c r="AF260" s="289"/>
      <c r="AG260" s="289"/>
      <c r="AH260" s="289"/>
      <c r="AI260" s="289"/>
      <c r="AJ260" s="289"/>
      <c r="AK260" s="289"/>
      <c r="AL260" s="289"/>
      <c r="AM260" s="289"/>
      <c r="AN260" s="289"/>
      <c r="AO260" s="322"/>
      <c r="AP260" s="322"/>
      <c r="AQ260" s="322"/>
      <c r="AR260" s="289"/>
      <c r="AS260" s="289"/>
      <c r="AT260" s="289"/>
      <c r="AU260" s="289"/>
      <c r="AV260" s="289"/>
      <c r="AW260" s="289"/>
      <c r="AX260" s="289"/>
      <c r="AY260" s="289"/>
      <c r="AZ260" s="289"/>
      <c r="BA260" s="289"/>
      <c r="BB260" s="289"/>
      <c r="BC260" s="289"/>
      <c r="BD260" s="294">
        <v>20000000</v>
      </c>
      <c r="BE260" s="294"/>
      <c r="BF260" s="294"/>
      <c r="BG260" s="289"/>
      <c r="BH260" s="289"/>
      <c r="BI260" s="289"/>
      <c r="BJ260" s="289"/>
      <c r="BK260" s="289"/>
      <c r="BL260" s="289"/>
      <c r="BM260" s="289"/>
      <c r="BN260" s="289"/>
      <c r="BO260" s="289"/>
      <c r="BP260" s="273">
        <f t="shared" si="65"/>
        <v>20000000</v>
      </c>
      <c r="BQ260" s="273">
        <f t="shared" si="62"/>
        <v>0</v>
      </c>
      <c r="BR260" s="273">
        <f t="shared" si="63"/>
        <v>0</v>
      </c>
      <c r="BS260" s="246" t="s">
        <v>1655</v>
      </c>
      <c r="BT260" s="233"/>
    </row>
    <row r="261" spans="1:72" s="27" customFormat="1" ht="94.5" customHeight="1" x14ac:dyDescent="0.2">
      <c r="A261" s="217">
        <v>318</v>
      </c>
      <c r="B261" s="310" t="s">
        <v>1628</v>
      </c>
      <c r="C261" s="213">
        <v>1</v>
      </c>
      <c r="D261" s="287" t="s">
        <v>1614</v>
      </c>
      <c r="E261" s="213">
        <v>19</v>
      </c>
      <c r="F261" s="216" t="s">
        <v>147</v>
      </c>
      <c r="G261" s="213">
        <v>1906</v>
      </c>
      <c r="H261" s="216" t="s">
        <v>1557</v>
      </c>
      <c r="I261" s="213">
        <v>1906</v>
      </c>
      <c r="J261" s="216" t="s">
        <v>1558</v>
      </c>
      <c r="K261" s="216" t="s">
        <v>1169</v>
      </c>
      <c r="L261" s="213" t="s">
        <v>41</v>
      </c>
      <c r="M261" s="216" t="s">
        <v>1174</v>
      </c>
      <c r="N261" s="213">
        <v>1906023</v>
      </c>
      <c r="O261" s="216" t="s">
        <v>1195</v>
      </c>
      <c r="P261" s="213" t="s">
        <v>41</v>
      </c>
      <c r="Q261" s="214" t="s">
        <v>1196</v>
      </c>
      <c r="R261" s="292">
        <v>190602301</v>
      </c>
      <c r="S261" s="311" t="s">
        <v>1176</v>
      </c>
      <c r="T261" s="236" t="s">
        <v>1671</v>
      </c>
      <c r="U261" s="76">
        <v>40</v>
      </c>
      <c r="V261" s="76">
        <v>0</v>
      </c>
      <c r="W261" s="236" t="s">
        <v>1188</v>
      </c>
      <c r="X261" s="214" t="s">
        <v>1189</v>
      </c>
      <c r="Y261" s="214" t="s">
        <v>1190</v>
      </c>
      <c r="Z261" s="289"/>
      <c r="AA261" s="289"/>
      <c r="AB261" s="289"/>
      <c r="AC261" s="289"/>
      <c r="AD261" s="289"/>
      <c r="AE261" s="289"/>
      <c r="AF261" s="289"/>
      <c r="AG261" s="289"/>
      <c r="AH261" s="289"/>
      <c r="AI261" s="289"/>
      <c r="AJ261" s="289"/>
      <c r="AK261" s="289"/>
      <c r="AL261" s="289"/>
      <c r="AM261" s="289"/>
      <c r="AN261" s="289"/>
      <c r="AO261" s="322"/>
      <c r="AP261" s="322"/>
      <c r="AQ261" s="322"/>
      <c r="AR261" s="289"/>
      <c r="AS261" s="289"/>
      <c r="AT261" s="289"/>
      <c r="AU261" s="289"/>
      <c r="AV261" s="289"/>
      <c r="AW261" s="289"/>
      <c r="AX261" s="289"/>
      <c r="AY261" s="289"/>
      <c r="AZ261" s="289"/>
      <c r="BA261" s="289"/>
      <c r="BB261" s="289"/>
      <c r="BC261" s="289"/>
      <c r="BD261" s="294">
        <v>20000000</v>
      </c>
      <c r="BE261" s="294"/>
      <c r="BF261" s="294"/>
      <c r="BG261" s="289"/>
      <c r="BH261" s="289"/>
      <c r="BI261" s="289"/>
      <c r="BJ261" s="289"/>
      <c r="BK261" s="289"/>
      <c r="BL261" s="289"/>
      <c r="BM261" s="289"/>
      <c r="BN261" s="289"/>
      <c r="BO261" s="289"/>
      <c r="BP261" s="273">
        <f t="shared" si="65"/>
        <v>20000000</v>
      </c>
      <c r="BQ261" s="273">
        <f t="shared" si="62"/>
        <v>0</v>
      </c>
      <c r="BR261" s="273">
        <f t="shared" si="63"/>
        <v>0</v>
      </c>
      <c r="BS261" s="246" t="s">
        <v>1655</v>
      </c>
      <c r="BT261" s="233"/>
    </row>
    <row r="262" spans="1:72" s="27" customFormat="1" ht="75" customHeight="1" x14ac:dyDescent="0.2">
      <c r="A262" s="217">
        <v>324</v>
      </c>
      <c r="B262" s="287" t="s">
        <v>1659</v>
      </c>
      <c r="C262" s="213">
        <v>1</v>
      </c>
      <c r="D262" s="287" t="s">
        <v>1614</v>
      </c>
      <c r="E262" s="213">
        <v>23</v>
      </c>
      <c r="F262" s="216" t="s">
        <v>1198</v>
      </c>
      <c r="G262" s="213">
        <v>2301</v>
      </c>
      <c r="H262" s="216" t="s">
        <v>1561</v>
      </c>
      <c r="I262" s="213">
        <v>2301</v>
      </c>
      <c r="J262" s="216" t="s">
        <v>1562</v>
      </c>
      <c r="K262" s="216" t="s">
        <v>1200</v>
      </c>
      <c r="L262" s="213">
        <v>2301024</v>
      </c>
      <c r="M262" s="358" t="s">
        <v>1201</v>
      </c>
      <c r="N262" s="213">
        <v>2301024</v>
      </c>
      <c r="O262" s="358" t="s">
        <v>1201</v>
      </c>
      <c r="P262" s="292">
        <v>230102401</v>
      </c>
      <c r="Q262" s="216" t="s">
        <v>1202</v>
      </c>
      <c r="R262" s="292">
        <v>230102401</v>
      </c>
      <c r="S262" s="216" t="s">
        <v>1202</v>
      </c>
      <c r="T262" s="236" t="s">
        <v>1671</v>
      </c>
      <c r="U262" s="76">
        <v>15</v>
      </c>
      <c r="V262" s="76">
        <v>15</v>
      </c>
      <c r="W262" s="236" t="s">
        <v>1203</v>
      </c>
      <c r="X262" s="214" t="s">
        <v>1204</v>
      </c>
      <c r="Y262" s="214" t="s">
        <v>1205</v>
      </c>
      <c r="Z262" s="289"/>
      <c r="AA262" s="289"/>
      <c r="AB262" s="289"/>
      <c r="AC262" s="289"/>
      <c r="AD262" s="289"/>
      <c r="AE262" s="289"/>
      <c r="AF262" s="289"/>
      <c r="AG262" s="289"/>
      <c r="AH262" s="289"/>
      <c r="AI262" s="273"/>
      <c r="AJ262" s="273"/>
      <c r="AK262" s="273"/>
      <c r="AL262" s="273"/>
      <c r="AM262" s="273"/>
      <c r="AN262" s="273"/>
      <c r="AO262" s="273"/>
      <c r="AP262" s="273"/>
      <c r="AQ262" s="273"/>
      <c r="AR262" s="273"/>
      <c r="AS262" s="273"/>
      <c r="AT262" s="273"/>
      <c r="AU262" s="273"/>
      <c r="AV262" s="273"/>
      <c r="AW262" s="273"/>
      <c r="AX262" s="273"/>
      <c r="AY262" s="273"/>
      <c r="AZ262" s="273"/>
      <c r="BA262" s="273"/>
      <c r="BB262" s="273"/>
      <c r="BC262" s="273"/>
      <c r="BD262" s="273">
        <v>18000000</v>
      </c>
      <c r="BE262" s="273">
        <f>BD262</f>
        <v>18000000</v>
      </c>
      <c r="BF262" s="273">
        <f>BE262</f>
        <v>18000000</v>
      </c>
      <c r="BG262" s="273"/>
      <c r="BH262" s="273"/>
      <c r="BI262" s="273"/>
      <c r="BJ262" s="273"/>
      <c r="BK262" s="273"/>
      <c r="BL262" s="273"/>
      <c r="BM262" s="273"/>
      <c r="BN262" s="273"/>
      <c r="BO262" s="273"/>
      <c r="BP262" s="273">
        <f t="shared" si="65"/>
        <v>18000000</v>
      </c>
      <c r="BQ262" s="273">
        <f>+AA262+AD262+AG262+AJ262+AM262+AP262+AS262+AV262+AY262+BB262+BE262+BH262+BK262</f>
        <v>18000000</v>
      </c>
      <c r="BR262" s="273">
        <f>+AB262+AE262+AH262+AK262+AN262+AQ262+AT262+AW262+AZ262+BC262+BF262+BI262+BL262</f>
        <v>18000000</v>
      </c>
      <c r="BS262" s="246" t="s">
        <v>1656</v>
      </c>
      <c r="BT262" s="233"/>
    </row>
    <row r="263" spans="1:72" s="27" customFormat="1" ht="75" customHeight="1" x14ac:dyDescent="0.2">
      <c r="A263" s="217">
        <v>324</v>
      </c>
      <c r="B263" s="287" t="s">
        <v>1659</v>
      </c>
      <c r="C263" s="213">
        <v>1</v>
      </c>
      <c r="D263" s="287" t="s">
        <v>1614</v>
      </c>
      <c r="E263" s="213">
        <v>23</v>
      </c>
      <c r="F263" s="216" t="s">
        <v>1198</v>
      </c>
      <c r="G263" s="213">
        <v>2301</v>
      </c>
      <c r="H263" s="216" t="s">
        <v>1561</v>
      </c>
      <c r="I263" s="213">
        <v>2301</v>
      </c>
      <c r="J263" s="216" t="s">
        <v>1562</v>
      </c>
      <c r="K263" s="216" t="s">
        <v>1200</v>
      </c>
      <c r="L263" s="213">
        <v>2301024</v>
      </c>
      <c r="M263" s="358" t="s">
        <v>1201</v>
      </c>
      <c r="N263" s="213">
        <v>2301024</v>
      </c>
      <c r="O263" s="358" t="s">
        <v>1201</v>
      </c>
      <c r="P263" s="292">
        <v>230102404</v>
      </c>
      <c r="Q263" s="216" t="s">
        <v>1206</v>
      </c>
      <c r="R263" s="292">
        <v>230102404</v>
      </c>
      <c r="S263" s="216" t="s">
        <v>1206</v>
      </c>
      <c r="T263" s="236" t="s">
        <v>1673</v>
      </c>
      <c r="U263" s="76">
        <v>3</v>
      </c>
      <c r="V263" s="76">
        <v>3</v>
      </c>
      <c r="W263" s="236" t="s">
        <v>1203</v>
      </c>
      <c r="X263" s="214" t="s">
        <v>1204</v>
      </c>
      <c r="Y263" s="214" t="s">
        <v>1205</v>
      </c>
      <c r="Z263" s="289"/>
      <c r="AA263" s="289"/>
      <c r="AB263" s="289"/>
      <c r="AC263" s="289"/>
      <c r="AD263" s="289"/>
      <c r="AE263" s="289"/>
      <c r="AF263" s="289"/>
      <c r="AG263" s="289"/>
      <c r="AH263" s="289"/>
      <c r="AI263" s="273"/>
      <c r="AJ263" s="273"/>
      <c r="AK263" s="273"/>
      <c r="AL263" s="273"/>
      <c r="AM263" s="273"/>
      <c r="AN263" s="273"/>
      <c r="AO263" s="273"/>
      <c r="AP263" s="273"/>
      <c r="AQ263" s="273"/>
      <c r="AR263" s="273"/>
      <c r="AS263" s="273"/>
      <c r="AT263" s="273"/>
      <c r="AU263" s="273"/>
      <c r="AV263" s="273"/>
      <c r="AW263" s="273"/>
      <c r="AX263" s="273"/>
      <c r="AY263" s="273"/>
      <c r="AZ263" s="273"/>
      <c r="BA263" s="273"/>
      <c r="BB263" s="273"/>
      <c r="BC263" s="273"/>
      <c r="BD263" s="273">
        <f>100000000+77460000+50000000+80000000</f>
        <v>307460000</v>
      </c>
      <c r="BE263" s="273">
        <v>256223114.42000002</v>
      </c>
      <c r="BF263" s="273">
        <v>256223114.42000002</v>
      </c>
      <c r="BG263" s="273"/>
      <c r="BH263" s="273"/>
      <c r="BI263" s="273"/>
      <c r="BJ263" s="273"/>
      <c r="BK263" s="273"/>
      <c r="BL263" s="273"/>
      <c r="BM263" s="273"/>
      <c r="BN263" s="273"/>
      <c r="BO263" s="273"/>
      <c r="BP263" s="273">
        <f t="shared" ref="BP263:BP270" si="66">+Z263+AC263+AF263+AI263+AL263+AO263+AR263+AU263+AX263+BA263+BD263+BG263+BJ263</f>
        <v>307460000</v>
      </c>
      <c r="BQ263" s="273">
        <f t="shared" ref="BQ263:BR270" si="67">+AA263+AD263+AG263+AJ263+AM263+AP263+AS263+AV263+AY263+BB263+BE263+BH263+BK263</f>
        <v>256223114.42000002</v>
      </c>
      <c r="BR263" s="273">
        <f t="shared" si="67"/>
        <v>256223114.42000002</v>
      </c>
      <c r="BS263" s="246" t="s">
        <v>1656</v>
      </c>
      <c r="BT263" s="233"/>
    </row>
    <row r="264" spans="1:72" s="27" customFormat="1" ht="103.5" customHeight="1" x14ac:dyDescent="0.2">
      <c r="A264" s="217">
        <v>324</v>
      </c>
      <c r="B264" s="287" t="s">
        <v>1659</v>
      </c>
      <c r="C264" s="213">
        <v>1</v>
      </c>
      <c r="D264" s="287" t="s">
        <v>1614</v>
      </c>
      <c r="E264" s="213">
        <v>23</v>
      </c>
      <c r="F264" s="216" t="s">
        <v>1198</v>
      </c>
      <c r="G264" s="213">
        <v>2301</v>
      </c>
      <c r="H264" s="216" t="s">
        <v>1561</v>
      </c>
      <c r="I264" s="213">
        <v>2301</v>
      </c>
      <c r="J264" s="216" t="s">
        <v>1562</v>
      </c>
      <c r="K264" s="216" t="s">
        <v>1200</v>
      </c>
      <c r="L264" s="76">
        <v>2301012</v>
      </c>
      <c r="M264" s="216" t="s">
        <v>1207</v>
      </c>
      <c r="N264" s="213">
        <v>2301079</v>
      </c>
      <c r="O264" s="216" t="s">
        <v>1208</v>
      </c>
      <c r="P264" s="76">
        <v>230101204</v>
      </c>
      <c r="Q264" s="216" t="s">
        <v>1209</v>
      </c>
      <c r="R264" s="292">
        <v>230107902</v>
      </c>
      <c r="S264" s="216" t="s">
        <v>1210</v>
      </c>
      <c r="T264" s="236" t="s">
        <v>1673</v>
      </c>
      <c r="U264" s="76">
        <v>13</v>
      </c>
      <c r="V264" s="76">
        <v>0</v>
      </c>
      <c r="W264" s="236" t="s">
        <v>1203</v>
      </c>
      <c r="X264" s="214" t="s">
        <v>1204</v>
      </c>
      <c r="Y264" s="214" t="s">
        <v>1205</v>
      </c>
      <c r="Z264" s="289"/>
      <c r="AA264" s="289"/>
      <c r="AB264" s="289"/>
      <c r="AC264" s="289"/>
      <c r="AD264" s="289"/>
      <c r="AE264" s="289"/>
      <c r="AF264" s="289"/>
      <c r="AG264" s="289"/>
      <c r="AH264" s="289"/>
      <c r="AI264" s="273"/>
      <c r="AJ264" s="273"/>
      <c r="AK264" s="273"/>
      <c r="AL264" s="273"/>
      <c r="AM264" s="273"/>
      <c r="AN264" s="273"/>
      <c r="AO264" s="273"/>
      <c r="AP264" s="273"/>
      <c r="AQ264" s="273"/>
      <c r="AR264" s="273"/>
      <c r="AS264" s="273"/>
      <c r="AT264" s="273"/>
      <c r="AU264" s="273"/>
      <c r="AV264" s="273"/>
      <c r="AW264" s="273"/>
      <c r="AX264" s="273"/>
      <c r="AY264" s="273"/>
      <c r="AZ264" s="273"/>
      <c r="BA264" s="273"/>
      <c r="BB264" s="273"/>
      <c r="BC264" s="273"/>
      <c r="BD264" s="273">
        <f>80000000-80000000</f>
        <v>0</v>
      </c>
      <c r="BE264" s="273"/>
      <c r="BF264" s="273"/>
      <c r="BG264" s="273"/>
      <c r="BH264" s="273"/>
      <c r="BI264" s="273"/>
      <c r="BJ264" s="273"/>
      <c r="BK264" s="273"/>
      <c r="BL264" s="273"/>
      <c r="BM264" s="273"/>
      <c r="BN264" s="273"/>
      <c r="BO264" s="273"/>
      <c r="BP264" s="273">
        <f t="shared" si="66"/>
        <v>0</v>
      </c>
      <c r="BQ264" s="273">
        <f t="shared" si="67"/>
        <v>0</v>
      </c>
      <c r="BR264" s="273">
        <f t="shared" si="67"/>
        <v>0</v>
      </c>
      <c r="BS264" s="246" t="s">
        <v>1656</v>
      </c>
      <c r="BT264" s="233"/>
    </row>
    <row r="265" spans="1:72" s="27" customFormat="1" ht="96.75" customHeight="1" x14ac:dyDescent="0.2">
      <c r="A265" s="217">
        <v>324</v>
      </c>
      <c r="B265" s="287" t="s">
        <v>1659</v>
      </c>
      <c r="C265" s="213">
        <v>1</v>
      </c>
      <c r="D265" s="287" t="s">
        <v>1614</v>
      </c>
      <c r="E265" s="213">
        <v>23</v>
      </c>
      <c r="F265" s="216" t="s">
        <v>1198</v>
      </c>
      <c r="G265" s="213">
        <v>2301</v>
      </c>
      <c r="H265" s="216" t="s">
        <v>1561</v>
      </c>
      <c r="I265" s="213">
        <v>2301</v>
      </c>
      <c r="J265" s="216" t="s">
        <v>1562</v>
      </c>
      <c r="K265" s="216" t="s">
        <v>1200</v>
      </c>
      <c r="L265" s="213">
        <v>2301062</v>
      </c>
      <c r="M265" s="216" t="s">
        <v>1211</v>
      </c>
      <c r="N265" s="213">
        <v>2301062</v>
      </c>
      <c r="O265" s="216" t="s">
        <v>1211</v>
      </c>
      <c r="P265" s="292">
        <v>230106201</v>
      </c>
      <c r="Q265" s="216" t="s">
        <v>1212</v>
      </c>
      <c r="R265" s="292">
        <v>230106201</v>
      </c>
      <c r="S265" s="216" t="s">
        <v>1212</v>
      </c>
      <c r="T265" s="236" t="s">
        <v>1661</v>
      </c>
      <c r="U265" s="76">
        <v>9</v>
      </c>
      <c r="V265" s="76">
        <v>5</v>
      </c>
      <c r="W265" s="236" t="s">
        <v>1203</v>
      </c>
      <c r="X265" s="214" t="s">
        <v>1204</v>
      </c>
      <c r="Y265" s="214" t="s">
        <v>1205</v>
      </c>
      <c r="Z265" s="289"/>
      <c r="AA265" s="289"/>
      <c r="AB265" s="289"/>
      <c r="AC265" s="289"/>
      <c r="AD265" s="289"/>
      <c r="AE265" s="289"/>
      <c r="AF265" s="289"/>
      <c r="AG265" s="289"/>
      <c r="AH265" s="289"/>
      <c r="AI265" s="273"/>
      <c r="AJ265" s="273"/>
      <c r="AK265" s="273"/>
      <c r="AL265" s="273"/>
      <c r="AM265" s="273"/>
      <c r="AN265" s="273"/>
      <c r="AO265" s="273"/>
      <c r="AP265" s="273"/>
      <c r="AQ265" s="273"/>
      <c r="AR265" s="273"/>
      <c r="AS265" s="273"/>
      <c r="AT265" s="273"/>
      <c r="AU265" s="273"/>
      <c r="AV265" s="273"/>
      <c r="AW265" s="273"/>
      <c r="AX265" s="273"/>
      <c r="AY265" s="273"/>
      <c r="AZ265" s="273"/>
      <c r="BA265" s="273"/>
      <c r="BB265" s="273"/>
      <c r="BC265" s="273"/>
      <c r="BD265" s="273">
        <v>0</v>
      </c>
      <c r="BE265" s="273"/>
      <c r="BF265" s="273"/>
      <c r="BG265" s="273"/>
      <c r="BH265" s="273"/>
      <c r="BI265" s="273"/>
      <c r="BJ265" s="273"/>
      <c r="BK265" s="273"/>
      <c r="BL265" s="273"/>
      <c r="BM265" s="273"/>
      <c r="BN265" s="273"/>
      <c r="BO265" s="273"/>
      <c r="BP265" s="273">
        <f t="shared" si="66"/>
        <v>0</v>
      </c>
      <c r="BQ265" s="273">
        <f t="shared" si="67"/>
        <v>0</v>
      </c>
      <c r="BR265" s="273">
        <f t="shared" si="67"/>
        <v>0</v>
      </c>
      <c r="BS265" s="246" t="s">
        <v>1656</v>
      </c>
      <c r="BT265" s="233"/>
    </row>
    <row r="266" spans="1:72" s="27" customFormat="1" ht="102" customHeight="1" x14ac:dyDescent="0.2">
      <c r="A266" s="217">
        <v>324</v>
      </c>
      <c r="B266" s="287" t="s">
        <v>1659</v>
      </c>
      <c r="C266" s="213">
        <v>1</v>
      </c>
      <c r="D266" s="287" t="s">
        <v>1614</v>
      </c>
      <c r="E266" s="213">
        <v>23</v>
      </c>
      <c r="F266" s="216" t="s">
        <v>1198</v>
      </c>
      <c r="G266" s="213">
        <v>2301</v>
      </c>
      <c r="H266" s="216" t="s">
        <v>1561</v>
      </c>
      <c r="I266" s="213">
        <v>2301</v>
      </c>
      <c r="J266" s="216" t="s">
        <v>1562</v>
      </c>
      <c r="K266" s="216" t="s">
        <v>1213</v>
      </c>
      <c r="L266" s="213">
        <v>2301030</v>
      </c>
      <c r="M266" s="216" t="s">
        <v>1214</v>
      </c>
      <c r="N266" s="213">
        <v>2301030</v>
      </c>
      <c r="O266" s="216" t="s">
        <v>1214</v>
      </c>
      <c r="P266" s="292">
        <v>230103000</v>
      </c>
      <c r="Q266" s="216" t="s">
        <v>1215</v>
      </c>
      <c r="R266" s="292">
        <v>230103000</v>
      </c>
      <c r="S266" s="216" t="s">
        <v>1215</v>
      </c>
      <c r="T266" s="236" t="s">
        <v>1673</v>
      </c>
      <c r="U266" s="76">
        <v>2500</v>
      </c>
      <c r="V266" s="76">
        <v>3571</v>
      </c>
      <c r="W266" s="324" t="s">
        <v>1216</v>
      </c>
      <c r="X266" s="214" t="s">
        <v>1217</v>
      </c>
      <c r="Y266" s="320" t="s">
        <v>1218</v>
      </c>
      <c r="Z266" s="289"/>
      <c r="AA266" s="289"/>
      <c r="AB266" s="289"/>
      <c r="AC266" s="289"/>
      <c r="AD266" s="289"/>
      <c r="AE266" s="289"/>
      <c r="AF266" s="289"/>
      <c r="AG266" s="289"/>
      <c r="AH266" s="289"/>
      <c r="AI266" s="273"/>
      <c r="AJ266" s="273"/>
      <c r="AK266" s="273"/>
      <c r="AL266" s="273"/>
      <c r="AM266" s="273"/>
      <c r="AN266" s="273"/>
      <c r="AO266" s="273"/>
      <c r="AP266" s="273"/>
      <c r="AQ266" s="273"/>
      <c r="AR266" s="273"/>
      <c r="AS266" s="273"/>
      <c r="AT266" s="273"/>
      <c r="AU266" s="273"/>
      <c r="AV266" s="273"/>
      <c r="AW266" s="273"/>
      <c r="AX266" s="273"/>
      <c r="AY266" s="273"/>
      <c r="AZ266" s="273"/>
      <c r="BA266" s="273"/>
      <c r="BB266" s="273"/>
      <c r="BC266" s="273"/>
      <c r="BD266" s="273">
        <f>36000000+222540000</f>
        <v>258540000</v>
      </c>
      <c r="BE266" s="273">
        <v>252752401</v>
      </c>
      <c r="BF266" s="273">
        <v>252752401</v>
      </c>
      <c r="BG266" s="273"/>
      <c r="BH266" s="273"/>
      <c r="BI266" s="273"/>
      <c r="BJ266" s="273"/>
      <c r="BK266" s="273"/>
      <c r="BL266" s="273"/>
      <c r="BM266" s="273"/>
      <c r="BN266" s="273"/>
      <c r="BO266" s="273"/>
      <c r="BP266" s="273">
        <f t="shared" si="66"/>
        <v>258540000</v>
      </c>
      <c r="BQ266" s="273">
        <f t="shared" si="67"/>
        <v>252752401</v>
      </c>
      <c r="BR266" s="273">
        <f t="shared" si="67"/>
        <v>252752401</v>
      </c>
      <c r="BS266" s="246" t="s">
        <v>1656</v>
      </c>
      <c r="BT266" s="233"/>
    </row>
    <row r="267" spans="1:72" s="27" customFormat="1" ht="91.5" customHeight="1" x14ac:dyDescent="0.2">
      <c r="A267" s="217">
        <v>324</v>
      </c>
      <c r="B267" s="287" t="s">
        <v>1659</v>
      </c>
      <c r="C267" s="213">
        <v>1</v>
      </c>
      <c r="D267" s="287" t="s">
        <v>1614</v>
      </c>
      <c r="E267" s="213">
        <v>23</v>
      </c>
      <c r="F267" s="216" t="s">
        <v>1198</v>
      </c>
      <c r="G267" s="213">
        <v>2301</v>
      </c>
      <c r="H267" s="216" t="s">
        <v>1561</v>
      </c>
      <c r="I267" s="213">
        <v>2301</v>
      </c>
      <c r="J267" s="216" t="s">
        <v>1562</v>
      </c>
      <c r="K267" s="216" t="s">
        <v>1213</v>
      </c>
      <c r="L267" s="213">
        <v>2301015</v>
      </c>
      <c r="M267" s="216" t="s">
        <v>1219</v>
      </c>
      <c r="N267" s="213">
        <v>2301015</v>
      </c>
      <c r="O267" s="216" t="s">
        <v>1219</v>
      </c>
      <c r="P267" s="292">
        <v>230101500</v>
      </c>
      <c r="Q267" s="216" t="s">
        <v>1220</v>
      </c>
      <c r="R267" s="292">
        <v>230101500</v>
      </c>
      <c r="S267" s="216" t="s">
        <v>1220</v>
      </c>
      <c r="T267" s="236" t="s">
        <v>1671</v>
      </c>
      <c r="U267" s="76">
        <v>3</v>
      </c>
      <c r="V267" s="76">
        <v>3</v>
      </c>
      <c r="W267" s="324" t="s">
        <v>1216</v>
      </c>
      <c r="X267" s="214" t="s">
        <v>1217</v>
      </c>
      <c r="Y267" s="320" t="s">
        <v>1218</v>
      </c>
      <c r="Z267" s="289"/>
      <c r="AA267" s="289"/>
      <c r="AB267" s="289"/>
      <c r="AC267" s="289"/>
      <c r="AD267" s="289"/>
      <c r="AE267" s="289"/>
      <c r="AF267" s="289"/>
      <c r="AG267" s="289"/>
      <c r="AH267" s="289"/>
      <c r="AI267" s="273"/>
      <c r="AJ267" s="273"/>
      <c r="AK267" s="273"/>
      <c r="AL267" s="273"/>
      <c r="AM267" s="273"/>
      <c r="AN267" s="273"/>
      <c r="AO267" s="273"/>
      <c r="AP267" s="273"/>
      <c r="AQ267" s="273"/>
      <c r="AR267" s="273"/>
      <c r="AS267" s="273"/>
      <c r="AT267" s="273"/>
      <c r="AU267" s="273"/>
      <c r="AV267" s="273"/>
      <c r="AW267" s="273"/>
      <c r="AX267" s="273"/>
      <c r="AY267" s="273"/>
      <c r="AZ267" s="273"/>
      <c r="BA267" s="273"/>
      <c r="BB267" s="273"/>
      <c r="BC267" s="273"/>
      <c r="BD267" s="273">
        <v>18000000</v>
      </c>
      <c r="BE267" s="273">
        <v>15465000</v>
      </c>
      <c r="BF267" s="273">
        <v>15465000</v>
      </c>
      <c r="BG267" s="273"/>
      <c r="BH267" s="273"/>
      <c r="BI267" s="273"/>
      <c r="BJ267" s="273"/>
      <c r="BK267" s="273"/>
      <c r="BL267" s="273"/>
      <c r="BM267" s="273"/>
      <c r="BN267" s="273"/>
      <c r="BO267" s="273"/>
      <c r="BP267" s="273">
        <f t="shared" si="66"/>
        <v>18000000</v>
      </c>
      <c r="BQ267" s="273">
        <f t="shared" si="67"/>
        <v>15465000</v>
      </c>
      <c r="BR267" s="273">
        <f t="shared" si="67"/>
        <v>15465000</v>
      </c>
      <c r="BS267" s="246" t="s">
        <v>1656</v>
      </c>
      <c r="BT267" s="233"/>
    </row>
    <row r="268" spans="1:72" s="27" customFormat="1" ht="99.75" customHeight="1" x14ac:dyDescent="0.2">
      <c r="A268" s="217">
        <v>324</v>
      </c>
      <c r="B268" s="287" t="s">
        <v>1659</v>
      </c>
      <c r="C268" s="213">
        <v>1</v>
      </c>
      <c r="D268" s="287" t="s">
        <v>1614</v>
      </c>
      <c r="E268" s="213">
        <v>23</v>
      </c>
      <c r="F268" s="216" t="s">
        <v>1198</v>
      </c>
      <c r="G268" s="213">
        <v>2301</v>
      </c>
      <c r="H268" s="216" t="s">
        <v>1561</v>
      </c>
      <c r="I268" s="213">
        <v>2301</v>
      </c>
      <c r="J268" s="216" t="s">
        <v>1562</v>
      </c>
      <c r="K268" s="216" t="s">
        <v>1213</v>
      </c>
      <c r="L268" s="213">
        <v>2301004</v>
      </c>
      <c r="M268" s="216" t="s">
        <v>233</v>
      </c>
      <c r="N268" s="213">
        <v>2301004</v>
      </c>
      <c r="O268" s="216" t="s">
        <v>233</v>
      </c>
      <c r="P268" s="76">
        <v>230200400</v>
      </c>
      <c r="Q268" s="216" t="s">
        <v>235</v>
      </c>
      <c r="R268" s="292">
        <v>230100400</v>
      </c>
      <c r="S268" s="216" t="s">
        <v>235</v>
      </c>
      <c r="T268" s="236" t="s">
        <v>1671</v>
      </c>
      <c r="U268" s="76">
        <v>1</v>
      </c>
      <c r="V268" s="76">
        <v>1</v>
      </c>
      <c r="W268" s="324" t="s">
        <v>1216</v>
      </c>
      <c r="X268" s="214" t="s">
        <v>1217</v>
      </c>
      <c r="Y268" s="320" t="s">
        <v>1218</v>
      </c>
      <c r="Z268" s="289"/>
      <c r="AA268" s="289"/>
      <c r="AB268" s="289"/>
      <c r="AC268" s="289"/>
      <c r="AD268" s="289"/>
      <c r="AE268" s="289"/>
      <c r="AF268" s="289"/>
      <c r="AG268" s="289"/>
      <c r="AH268" s="289"/>
      <c r="AI268" s="273"/>
      <c r="AJ268" s="273"/>
      <c r="AK268" s="273"/>
      <c r="AL268" s="273"/>
      <c r="AM268" s="273"/>
      <c r="AN268" s="273"/>
      <c r="AO268" s="273"/>
      <c r="AP268" s="273"/>
      <c r="AQ268" s="273"/>
      <c r="AR268" s="273"/>
      <c r="AS268" s="273"/>
      <c r="AT268" s="273"/>
      <c r="AU268" s="273"/>
      <c r="AV268" s="273"/>
      <c r="AW268" s="273"/>
      <c r="AX268" s="273"/>
      <c r="AY268" s="273"/>
      <c r="AZ268" s="273"/>
      <c r="BA268" s="273"/>
      <c r="BB268" s="273"/>
      <c r="BC268" s="273"/>
      <c r="BD268" s="273">
        <v>18000000</v>
      </c>
      <c r="BE268" s="273">
        <v>16617600</v>
      </c>
      <c r="BF268" s="273">
        <v>16617600</v>
      </c>
      <c r="BG268" s="273"/>
      <c r="BH268" s="273"/>
      <c r="BI268" s="273"/>
      <c r="BJ268" s="273"/>
      <c r="BK268" s="273"/>
      <c r="BL268" s="273"/>
      <c r="BM268" s="273"/>
      <c r="BN268" s="273"/>
      <c r="BO268" s="273"/>
      <c r="BP268" s="273">
        <f t="shared" si="66"/>
        <v>18000000</v>
      </c>
      <c r="BQ268" s="273">
        <f t="shared" si="67"/>
        <v>16617600</v>
      </c>
      <c r="BR268" s="273">
        <f t="shared" si="67"/>
        <v>16617600</v>
      </c>
      <c r="BS268" s="246" t="s">
        <v>1656</v>
      </c>
      <c r="BT268" s="233"/>
    </row>
    <row r="269" spans="1:72" s="27" customFormat="1" ht="103.5" customHeight="1" x14ac:dyDescent="0.2">
      <c r="A269" s="217">
        <v>324</v>
      </c>
      <c r="B269" s="287" t="s">
        <v>1659</v>
      </c>
      <c r="C269" s="213">
        <v>1</v>
      </c>
      <c r="D269" s="287" t="s">
        <v>1614</v>
      </c>
      <c r="E269" s="213">
        <v>23</v>
      </c>
      <c r="F269" s="216" t="s">
        <v>1198</v>
      </c>
      <c r="G269" s="213">
        <v>2301</v>
      </c>
      <c r="H269" s="216" t="s">
        <v>1561</v>
      </c>
      <c r="I269" s="213">
        <v>2301</v>
      </c>
      <c r="J269" s="216" t="s">
        <v>1562</v>
      </c>
      <c r="K269" s="216" t="s">
        <v>1213</v>
      </c>
      <c r="L269" s="213">
        <v>2301035</v>
      </c>
      <c r="M269" s="216" t="s">
        <v>1221</v>
      </c>
      <c r="N269" s="213">
        <v>2301035</v>
      </c>
      <c r="O269" s="216" t="s">
        <v>1221</v>
      </c>
      <c r="P269" s="292">
        <v>230103500</v>
      </c>
      <c r="Q269" s="216" t="s">
        <v>1222</v>
      </c>
      <c r="R269" s="292">
        <v>230103500</v>
      </c>
      <c r="S269" s="216" t="s">
        <v>1222</v>
      </c>
      <c r="T269" s="236" t="s">
        <v>1673</v>
      </c>
      <c r="U269" s="76">
        <v>20</v>
      </c>
      <c r="V269" s="76">
        <v>60</v>
      </c>
      <c r="W269" s="324" t="s">
        <v>1216</v>
      </c>
      <c r="X269" s="214" t="s">
        <v>1217</v>
      </c>
      <c r="Y269" s="320" t="s">
        <v>1218</v>
      </c>
      <c r="Z269" s="289"/>
      <c r="AA269" s="289"/>
      <c r="AB269" s="289"/>
      <c r="AC269" s="289"/>
      <c r="AD269" s="289"/>
      <c r="AE269" s="289"/>
      <c r="AF269" s="289"/>
      <c r="AG269" s="289"/>
      <c r="AH269" s="289"/>
      <c r="AI269" s="273"/>
      <c r="AJ269" s="273"/>
      <c r="AK269" s="273"/>
      <c r="AL269" s="273"/>
      <c r="AM269" s="273"/>
      <c r="AN269" s="273"/>
      <c r="AO269" s="273"/>
      <c r="AP269" s="273"/>
      <c r="AQ269" s="273"/>
      <c r="AR269" s="273"/>
      <c r="AS269" s="273"/>
      <c r="AT269" s="273"/>
      <c r="AU269" s="273"/>
      <c r="AV269" s="273"/>
      <c r="AW269" s="273"/>
      <c r="AX269" s="273"/>
      <c r="AY269" s="273"/>
      <c r="AZ269" s="273"/>
      <c r="BA269" s="273"/>
      <c r="BB269" s="273"/>
      <c r="BC269" s="273"/>
      <c r="BD269" s="273">
        <v>36000000</v>
      </c>
      <c r="BE269" s="273">
        <v>25080000</v>
      </c>
      <c r="BF269" s="273">
        <v>25080000</v>
      </c>
      <c r="BG269" s="273"/>
      <c r="BH269" s="273"/>
      <c r="BI269" s="273"/>
      <c r="BJ269" s="273"/>
      <c r="BK269" s="273"/>
      <c r="BL269" s="273"/>
      <c r="BM269" s="273"/>
      <c r="BN269" s="273"/>
      <c r="BO269" s="273"/>
      <c r="BP269" s="273">
        <f t="shared" si="66"/>
        <v>36000000</v>
      </c>
      <c r="BQ269" s="273">
        <f t="shared" si="67"/>
        <v>25080000</v>
      </c>
      <c r="BR269" s="273">
        <f t="shared" si="67"/>
        <v>25080000</v>
      </c>
      <c r="BS269" s="246" t="s">
        <v>1656</v>
      </c>
      <c r="BT269" s="233"/>
    </row>
    <row r="270" spans="1:72" s="27" customFormat="1" ht="103.5" customHeight="1" x14ac:dyDescent="0.2">
      <c r="A270" s="217">
        <v>324</v>
      </c>
      <c r="B270" s="287" t="s">
        <v>1659</v>
      </c>
      <c r="C270" s="213">
        <v>1</v>
      </c>
      <c r="D270" s="287" t="s">
        <v>1614</v>
      </c>
      <c r="E270" s="213">
        <v>23</v>
      </c>
      <c r="F270" s="216" t="s">
        <v>1198</v>
      </c>
      <c r="G270" s="213">
        <v>2301</v>
      </c>
      <c r="H270" s="216" t="s">
        <v>1561</v>
      </c>
      <c r="I270" s="213">
        <v>2301</v>
      </c>
      <c r="J270" s="216" t="s">
        <v>1562</v>
      </c>
      <c r="K270" s="216" t="s">
        <v>1213</v>
      </c>
      <c r="L270" s="213">
        <v>2301042</v>
      </c>
      <c r="M270" s="216" t="s">
        <v>1223</v>
      </c>
      <c r="N270" s="213">
        <v>2301042</v>
      </c>
      <c r="O270" s="216" t="s">
        <v>1223</v>
      </c>
      <c r="P270" s="292">
        <v>230104201</v>
      </c>
      <c r="Q270" s="216" t="s">
        <v>1224</v>
      </c>
      <c r="R270" s="292">
        <v>230104201</v>
      </c>
      <c r="S270" s="216" t="s">
        <v>1224</v>
      </c>
      <c r="T270" s="236" t="s">
        <v>1671</v>
      </c>
      <c r="U270" s="76">
        <v>1</v>
      </c>
      <c r="V270" s="76">
        <v>0</v>
      </c>
      <c r="W270" s="324" t="s">
        <v>1216</v>
      </c>
      <c r="X270" s="214" t="s">
        <v>1217</v>
      </c>
      <c r="Y270" s="320" t="s">
        <v>1218</v>
      </c>
      <c r="Z270" s="289"/>
      <c r="AA270" s="289"/>
      <c r="AB270" s="289"/>
      <c r="AC270" s="289"/>
      <c r="AD270" s="289"/>
      <c r="AE270" s="289"/>
      <c r="AF270" s="289"/>
      <c r="AG270" s="289"/>
      <c r="AH270" s="289"/>
      <c r="AI270" s="273"/>
      <c r="AJ270" s="273"/>
      <c r="AK270" s="273"/>
      <c r="AL270" s="273"/>
      <c r="AM270" s="273"/>
      <c r="AN270" s="273"/>
      <c r="AO270" s="273"/>
      <c r="AP270" s="273"/>
      <c r="AQ270" s="273"/>
      <c r="AR270" s="273"/>
      <c r="AS270" s="273"/>
      <c r="AT270" s="273"/>
      <c r="AU270" s="273"/>
      <c r="AV270" s="273"/>
      <c r="AW270" s="273"/>
      <c r="AX270" s="273"/>
      <c r="AY270" s="273"/>
      <c r="AZ270" s="273"/>
      <c r="BA270" s="273"/>
      <c r="BB270" s="273"/>
      <c r="BC270" s="273"/>
      <c r="BD270" s="273">
        <v>18000000</v>
      </c>
      <c r="BE270" s="273"/>
      <c r="BF270" s="273"/>
      <c r="BG270" s="273"/>
      <c r="BH270" s="273"/>
      <c r="BI270" s="273"/>
      <c r="BJ270" s="273"/>
      <c r="BK270" s="273"/>
      <c r="BL270" s="273"/>
      <c r="BM270" s="273"/>
      <c r="BN270" s="273"/>
      <c r="BO270" s="273"/>
      <c r="BP270" s="273">
        <f t="shared" si="66"/>
        <v>18000000</v>
      </c>
      <c r="BQ270" s="273">
        <f t="shared" si="67"/>
        <v>0</v>
      </c>
      <c r="BR270" s="273">
        <f t="shared" si="67"/>
        <v>0</v>
      </c>
      <c r="BS270" s="246" t="s">
        <v>1656</v>
      </c>
      <c r="BT270" s="233"/>
    </row>
    <row r="271" spans="1:72" s="27" customFormat="1" ht="104.25" customHeight="1" x14ac:dyDescent="0.2">
      <c r="A271" s="217">
        <v>324</v>
      </c>
      <c r="B271" s="287" t="s">
        <v>1659</v>
      </c>
      <c r="C271" s="213">
        <v>1</v>
      </c>
      <c r="D271" s="287" t="s">
        <v>1614</v>
      </c>
      <c r="E271" s="213">
        <v>23</v>
      </c>
      <c r="F271" s="216" t="s">
        <v>1198</v>
      </c>
      <c r="G271" s="213">
        <v>2302</v>
      </c>
      <c r="H271" s="216" t="s">
        <v>1588</v>
      </c>
      <c r="I271" s="213">
        <v>2302</v>
      </c>
      <c r="J271" s="216" t="s">
        <v>1589</v>
      </c>
      <c r="K271" s="216" t="s">
        <v>1200</v>
      </c>
      <c r="L271" s="213">
        <v>2302042</v>
      </c>
      <c r="M271" s="216" t="s">
        <v>1225</v>
      </c>
      <c r="N271" s="213">
        <v>2302042</v>
      </c>
      <c r="O271" s="216" t="s">
        <v>1225</v>
      </c>
      <c r="P271" s="292">
        <v>230204200</v>
      </c>
      <c r="Q271" s="216" t="s">
        <v>1226</v>
      </c>
      <c r="R271" s="292">
        <v>230204200</v>
      </c>
      <c r="S271" s="216" t="s">
        <v>1226</v>
      </c>
      <c r="T271" s="236" t="s">
        <v>1673</v>
      </c>
      <c r="U271" s="76">
        <v>1</v>
      </c>
      <c r="V271" s="76">
        <v>1</v>
      </c>
      <c r="W271" s="324" t="s">
        <v>1227</v>
      </c>
      <c r="X271" s="214" t="s">
        <v>1228</v>
      </c>
      <c r="Y271" s="320" t="s">
        <v>1229</v>
      </c>
      <c r="Z271" s="289"/>
      <c r="AA271" s="289"/>
      <c r="AB271" s="289"/>
      <c r="AC271" s="289"/>
      <c r="AD271" s="289"/>
      <c r="AE271" s="289"/>
      <c r="AF271" s="289"/>
      <c r="AG271" s="289"/>
      <c r="AH271" s="289"/>
      <c r="AI271" s="273"/>
      <c r="AJ271" s="273"/>
      <c r="AK271" s="273"/>
      <c r="AL271" s="273"/>
      <c r="AM271" s="273"/>
      <c r="AN271" s="273"/>
      <c r="AO271" s="273"/>
      <c r="AP271" s="273"/>
      <c r="AQ271" s="273"/>
      <c r="AR271" s="273"/>
      <c r="AS271" s="273"/>
      <c r="AT271" s="273"/>
      <c r="AU271" s="273"/>
      <c r="AV271" s="273"/>
      <c r="AW271" s="273"/>
      <c r="AX271" s="273"/>
      <c r="AY271" s="273"/>
      <c r="AZ271" s="273"/>
      <c r="BA271" s="273"/>
      <c r="BB271" s="273"/>
      <c r="BC271" s="273"/>
      <c r="BD271" s="273">
        <v>20000000</v>
      </c>
      <c r="BE271" s="273">
        <v>18407000</v>
      </c>
      <c r="BF271" s="273">
        <v>18407000</v>
      </c>
      <c r="BG271" s="273"/>
      <c r="BH271" s="273"/>
      <c r="BI271" s="273"/>
      <c r="BJ271" s="273"/>
      <c r="BK271" s="273"/>
      <c r="BL271" s="273"/>
      <c r="BM271" s="273"/>
      <c r="BN271" s="273"/>
      <c r="BO271" s="273"/>
      <c r="BP271" s="273">
        <f t="shared" ref="BP271:BR275" si="68">+Z271+AC271+AF271+AI271+AL271+AO271+AR271+AU271+AX271+BA271+BD271+BG271+BJ271</f>
        <v>20000000</v>
      </c>
      <c r="BQ271" s="273">
        <f t="shared" si="68"/>
        <v>18407000</v>
      </c>
      <c r="BR271" s="273">
        <f t="shared" si="68"/>
        <v>18407000</v>
      </c>
      <c r="BS271" s="246" t="s">
        <v>1656</v>
      </c>
      <c r="BT271" s="233"/>
    </row>
    <row r="272" spans="1:72" s="27" customFormat="1" ht="103.5" customHeight="1" x14ac:dyDescent="0.2">
      <c r="A272" s="217">
        <v>324</v>
      </c>
      <c r="B272" s="287" t="s">
        <v>1659</v>
      </c>
      <c r="C272" s="213">
        <v>1</v>
      </c>
      <c r="D272" s="287" t="s">
        <v>1614</v>
      </c>
      <c r="E272" s="213">
        <v>23</v>
      </c>
      <c r="F272" s="216" t="s">
        <v>1198</v>
      </c>
      <c r="G272" s="213">
        <v>2302</v>
      </c>
      <c r="H272" s="216" t="s">
        <v>1588</v>
      </c>
      <c r="I272" s="213">
        <v>2302</v>
      </c>
      <c r="J272" s="216" t="s">
        <v>1589</v>
      </c>
      <c r="K272" s="216" t="s">
        <v>1200</v>
      </c>
      <c r="L272" s="213">
        <v>2302022</v>
      </c>
      <c r="M272" s="216" t="s">
        <v>1230</v>
      </c>
      <c r="N272" s="213">
        <v>2302022</v>
      </c>
      <c r="O272" s="216" t="s">
        <v>1230</v>
      </c>
      <c r="P272" s="292">
        <v>230202200</v>
      </c>
      <c r="Q272" s="216" t="s">
        <v>1231</v>
      </c>
      <c r="R272" s="292">
        <v>230202200</v>
      </c>
      <c r="S272" s="216" t="s">
        <v>1231</v>
      </c>
      <c r="T272" s="236" t="s">
        <v>1673</v>
      </c>
      <c r="U272" s="76">
        <v>20</v>
      </c>
      <c r="V272" s="76">
        <v>20</v>
      </c>
      <c r="W272" s="324" t="s">
        <v>1227</v>
      </c>
      <c r="X272" s="214" t="s">
        <v>1228</v>
      </c>
      <c r="Y272" s="320" t="s">
        <v>1229</v>
      </c>
      <c r="Z272" s="289"/>
      <c r="AA272" s="289"/>
      <c r="AB272" s="289"/>
      <c r="AC272" s="289"/>
      <c r="AD272" s="289"/>
      <c r="AE272" s="289"/>
      <c r="AF272" s="289"/>
      <c r="AG272" s="289"/>
      <c r="AH272" s="289"/>
      <c r="AI272" s="273"/>
      <c r="AJ272" s="273"/>
      <c r="AK272" s="273"/>
      <c r="AL272" s="273"/>
      <c r="AM272" s="273"/>
      <c r="AN272" s="273"/>
      <c r="AO272" s="273"/>
      <c r="AP272" s="273"/>
      <c r="AQ272" s="273"/>
      <c r="AR272" s="273"/>
      <c r="AS272" s="273"/>
      <c r="AT272" s="273"/>
      <c r="AU272" s="273"/>
      <c r="AV272" s="273"/>
      <c r="AW272" s="273"/>
      <c r="AX272" s="273"/>
      <c r="AY272" s="273"/>
      <c r="AZ272" s="273"/>
      <c r="BA272" s="273"/>
      <c r="BB272" s="273"/>
      <c r="BC272" s="273"/>
      <c r="BD272" s="273">
        <v>36000000</v>
      </c>
      <c r="BE272" s="273">
        <v>23300000</v>
      </c>
      <c r="BF272" s="273">
        <v>23300000</v>
      </c>
      <c r="BG272" s="273"/>
      <c r="BH272" s="273"/>
      <c r="BI272" s="273"/>
      <c r="BJ272" s="273"/>
      <c r="BK272" s="273"/>
      <c r="BL272" s="273"/>
      <c r="BM272" s="273"/>
      <c r="BN272" s="273"/>
      <c r="BO272" s="273"/>
      <c r="BP272" s="273">
        <f t="shared" si="68"/>
        <v>36000000</v>
      </c>
      <c r="BQ272" s="273">
        <f t="shared" si="68"/>
        <v>23300000</v>
      </c>
      <c r="BR272" s="273">
        <f t="shared" si="68"/>
        <v>23300000</v>
      </c>
      <c r="BS272" s="246" t="s">
        <v>1656</v>
      </c>
      <c r="BT272" s="233"/>
    </row>
    <row r="273" spans="1:72" s="27" customFormat="1" ht="84" customHeight="1" x14ac:dyDescent="0.2">
      <c r="A273" s="217">
        <v>324</v>
      </c>
      <c r="B273" s="287" t="s">
        <v>1659</v>
      </c>
      <c r="C273" s="213">
        <v>1</v>
      </c>
      <c r="D273" s="287" t="s">
        <v>1614</v>
      </c>
      <c r="E273" s="213">
        <v>23</v>
      </c>
      <c r="F273" s="216" t="s">
        <v>1198</v>
      </c>
      <c r="G273" s="213">
        <v>2302</v>
      </c>
      <c r="H273" s="216" t="s">
        <v>1588</v>
      </c>
      <c r="I273" s="213">
        <v>2302</v>
      </c>
      <c r="J273" s="216" t="s">
        <v>1589</v>
      </c>
      <c r="K273" s="216" t="s">
        <v>1213</v>
      </c>
      <c r="L273" s="213">
        <v>2302021</v>
      </c>
      <c r="M273" s="216" t="s">
        <v>1232</v>
      </c>
      <c r="N273" s="213">
        <v>2302021</v>
      </c>
      <c r="O273" s="216" t="s">
        <v>1232</v>
      </c>
      <c r="P273" s="292">
        <v>230202100</v>
      </c>
      <c r="Q273" s="216" t="s">
        <v>1233</v>
      </c>
      <c r="R273" s="292">
        <v>230202100</v>
      </c>
      <c r="S273" s="216" t="s">
        <v>1233</v>
      </c>
      <c r="T273" s="236" t="s">
        <v>1673</v>
      </c>
      <c r="U273" s="76">
        <v>8</v>
      </c>
      <c r="V273" s="76">
        <v>8</v>
      </c>
      <c r="W273" s="324" t="s">
        <v>1227</v>
      </c>
      <c r="X273" s="214" t="s">
        <v>1228</v>
      </c>
      <c r="Y273" s="320" t="s">
        <v>1229</v>
      </c>
      <c r="Z273" s="289"/>
      <c r="AA273" s="289"/>
      <c r="AB273" s="289"/>
      <c r="AC273" s="289"/>
      <c r="AD273" s="289"/>
      <c r="AE273" s="289"/>
      <c r="AF273" s="289"/>
      <c r="AG273" s="289"/>
      <c r="AH273" s="289"/>
      <c r="AI273" s="273"/>
      <c r="AJ273" s="273"/>
      <c r="AK273" s="273"/>
      <c r="AL273" s="273"/>
      <c r="AM273" s="273"/>
      <c r="AN273" s="273"/>
      <c r="AO273" s="273"/>
      <c r="AP273" s="273"/>
      <c r="AQ273" s="273"/>
      <c r="AR273" s="273"/>
      <c r="AS273" s="273"/>
      <c r="AT273" s="273"/>
      <c r="AU273" s="273"/>
      <c r="AV273" s="273"/>
      <c r="AW273" s="273"/>
      <c r="AX273" s="273"/>
      <c r="AY273" s="273"/>
      <c r="AZ273" s="273"/>
      <c r="BA273" s="273"/>
      <c r="BB273" s="273"/>
      <c r="BC273" s="273"/>
      <c r="BD273" s="273">
        <v>50000000</v>
      </c>
      <c r="BE273" s="273">
        <v>49093500</v>
      </c>
      <c r="BF273" s="273">
        <v>49093500</v>
      </c>
      <c r="BG273" s="273"/>
      <c r="BH273" s="273"/>
      <c r="BI273" s="273"/>
      <c r="BJ273" s="273"/>
      <c r="BK273" s="273"/>
      <c r="BL273" s="273"/>
      <c r="BM273" s="273"/>
      <c r="BN273" s="273"/>
      <c r="BO273" s="273"/>
      <c r="BP273" s="273">
        <f t="shared" si="68"/>
        <v>50000000</v>
      </c>
      <c r="BQ273" s="273">
        <f t="shared" si="68"/>
        <v>49093500</v>
      </c>
      <c r="BR273" s="273">
        <f t="shared" si="68"/>
        <v>49093500</v>
      </c>
      <c r="BS273" s="246" t="s">
        <v>1656</v>
      </c>
      <c r="BT273" s="233"/>
    </row>
    <row r="274" spans="1:72" s="27" customFormat="1" ht="114" customHeight="1" x14ac:dyDescent="0.2">
      <c r="A274" s="217">
        <v>324</v>
      </c>
      <c r="B274" s="287" t="s">
        <v>1659</v>
      </c>
      <c r="C274" s="213">
        <v>1</v>
      </c>
      <c r="D274" s="287" t="s">
        <v>1614</v>
      </c>
      <c r="E274" s="213">
        <v>23</v>
      </c>
      <c r="F274" s="216" t="s">
        <v>1198</v>
      </c>
      <c r="G274" s="213">
        <v>2302</v>
      </c>
      <c r="H274" s="216" t="s">
        <v>1588</v>
      </c>
      <c r="I274" s="213">
        <v>2302</v>
      </c>
      <c r="J274" s="216" t="s">
        <v>1589</v>
      </c>
      <c r="K274" s="216" t="s">
        <v>1234</v>
      </c>
      <c r="L274" s="213">
        <v>2302058</v>
      </c>
      <c r="M274" s="216" t="s">
        <v>1235</v>
      </c>
      <c r="N274" s="213">
        <v>2302058</v>
      </c>
      <c r="O274" s="216" t="s">
        <v>1235</v>
      </c>
      <c r="P274" s="292">
        <v>230205800</v>
      </c>
      <c r="Q274" s="216" t="s">
        <v>1236</v>
      </c>
      <c r="R274" s="292">
        <v>230205800</v>
      </c>
      <c r="S274" s="216" t="s">
        <v>1236</v>
      </c>
      <c r="T274" s="236" t="s">
        <v>1673</v>
      </c>
      <c r="U274" s="76">
        <v>300</v>
      </c>
      <c r="V274" s="76">
        <v>300</v>
      </c>
      <c r="W274" s="324" t="s">
        <v>1227</v>
      </c>
      <c r="X274" s="214" t="s">
        <v>1228</v>
      </c>
      <c r="Y274" s="320" t="s">
        <v>1229</v>
      </c>
      <c r="Z274" s="289"/>
      <c r="AA274" s="289"/>
      <c r="AB274" s="289"/>
      <c r="AC274" s="289"/>
      <c r="AD274" s="289"/>
      <c r="AE274" s="289"/>
      <c r="AF274" s="289"/>
      <c r="AG274" s="289"/>
      <c r="AH274" s="289"/>
      <c r="AI274" s="273"/>
      <c r="AJ274" s="273"/>
      <c r="AK274" s="273"/>
      <c r="AL274" s="273"/>
      <c r="AM274" s="273"/>
      <c r="AN274" s="273"/>
      <c r="AO274" s="273"/>
      <c r="AP274" s="273"/>
      <c r="AQ274" s="273"/>
      <c r="AR274" s="273"/>
      <c r="AS274" s="273"/>
      <c r="AT274" s="273"/>
      <c r="AU274" s="273"/>
      <c r="AV274" s="273"/>
      <c r="AW274" s="273"/>
      <c r="AX274" s="273"/>
      <c r="AY274" s="273"/>
      <c r="AZ274" s="273"/>
      <c r="BA274" s="273"/>
      <c r="BB274" s="273"/>
      <c r="BC274" s="273"/>
      <c r="BD274" s="273">
        <v>20000000</v>
      </c>
      <c r="BE274" s="273">
        <v>20000000</v>
      </c>
      <c r="BF274" s="273">
        <v>20000000</v>
      </c>
      <c r="BG274" s="273"/>
      <c r="BH274" s="273"/>
      <c r="BI274" s="273"/>
      <c r="BJ274" s="273"/>
      <c r="BK274" s="273"/>
      <c r="BL274" s="273"/>
      <c r="BM274" s="273"/>
      <c r="BN274" s="273"/>
      <c r="BO274" s="273"/>
      <c r="BP274" s="273">
        <f t="shared" si="68"/>
        <v>20000000</v>
      </c>
      <c r="BQ274" s="273">
        <f t="shared" si="68"/>
        <v>20000000</v>
      </c>
      <c r="BR274" s="273">
        <f t="shared" si="68"/>
        <v>20000000</v>
      </c>
      <c r="BS274" s="246" t="s">
        <v>1656</v>
      </c>
      <c r="BT274" s="233"/>
    </row>
    <row r="275" spans="1:72" s="27" customFormat="1" ht="112.5" customHeight="1" x14ac:dyDescent="0.2">
      <c r="A275" s="217">
        <v>324</v>
      </c>
      <c r="B275" s="287" t="s">
        <v>1659</v>
      </c>
      <c r="C275" s="213">
        <v>1</v>
      </c>
      <c r="D275" s="287" t="s">
        <v>1614</v>
      </c>
      <c r="E275" s="213">
        <v>23</v>
      </c>
      <c r="F275" s="216" t="s">
        <v>1198</v>
      </c>
      <c r="G275" s="213">
        <v>2302</v>
      </c>
      <c r="H275" s="216" t="s">
        <v>1588</v>
      </c>
      <c r="I275" s="213">
        <v>2302</v>
      </c>
      <c r="J275" s="216" t="s">
        <v>1589</v>
      </c>
      <c r="K275" s="216" t="s">
        <v>1234</v>
      </c>
      <c r="L275" s="213">
        <v>2302068</v>
      </c>
      <c r="M275" s="216" t="s">
        <v>1237</v>
      </c>
      <c r="N275" s="213">
        <v>2302068</v>
      </c>
      <c r="O275" s="216" t="s">
        <v>1237</v>
      </c>
      <c r="P275" s="292">
        <v>230206800</v>
      </c>
      <c r="Q275" s="216" t="s">
        <v>1238</v>
      </c>
      <c r="R275" s="292">
        <v>230206800</v>
      </c>
      <c r="S275" s="216" t="s">
        <v>1238</v>
      </c>
      <c r="T275" s="236" t="s">
        <v>1673</v>
      </c>
      <c r="U275" s="76">
        <v>60</v>
      </c>
      <c r="V275" s="76">
        <v>60</v>
      </c>
      <c r="W275" s="324" t="s">
        <v>1227</v>
      </c>
      <c r="X275" s="214" t="s">
        <v>1228</v>
      </c>
      <c r="Y275" s="320" t="s">
        <v>1229</v>
      </c>
      <c r="Z275" s="289"/>
      <c r="AA275" s="289"/>
      <c r="AB275" s="289"/>
      <c r="AC275" s="289"/>
      <c r="AD275" s="289"/>
      <c r="AE275" s="289"/>
      <c r="AF275" s="289"/>
      <c r="AG275" s="289"/>
      <c r="AH275" s="289"/>
      <c r="AI275" s="273"/>
      <c r="AJ275" s="273"/>
      <c r="AK275" s="273"/>
      <c r="AL275" s="273"/>
      <c r="AM275" s="273"/>
      <c r="AN275" s="273"/>
      <c r="AO275" s="273"/>
      <c r="AP275" s="273"/>
      <c r="AQ275" s="273"/>
      <c r="AR275" s="273"/>
      <c r="AS275" s="273"/>
      <c r="AT275" s="273"/>
      <c r="AU275" s="273"/>
      <c r="AV275" s="273"/>
      <c r="AW275" s="273"/>
      <c r="AX275" s="273"/>
      <c r="AY275" s="273"/>
      <c r="AZ275" s="273"/>
      <c r="BA275" s="273"/>
      <c r="BB275" s="273"/>
      <c r="BC275" s="273"/>
      <c r="BD275" s="273">
        <v>20000000</v>
      </c>
      <c r="BE275" s="273">
        <v>19810334</v>
      </c>
      <c r="BF275" s="273">
        <v>19810334</v>
      </c>
      <c r="BG275" s="273"/>
      <c r="BH275" s="273"/>
      <c r="BI275" s="273"/>
      <c r="BJ275" s="273"/>
      <c r="BK275" s="273"/>
      <c r="BL275" s="273"/>
      <c r="BM275" s="273"/>
      <c r="BN275" s="273"/>
      <c r="BO275" s="273"/>
      <c r="BP275" s="273">
        <f t="shared" si="68"/>
        <v>20000000</v>
      </c>
      <c r="BQ275" s="273">
        <f t="shared" si="68"/>
        <v>19810334</v>
      </c>
      <c r="BR275" s="273">
        <f t="shared" si="68"/>
        <v>19810334</v>
      </c>
      <c r="BS275" s="246" t="s">
        <v>1656</v>
      </c>
      <c r="BT275" s="233"/>
    </row>
    <row r="276" spans="1:72" s="27" customFormat="1" ht="69.75" customHeight="1" x14ac:dyDescent="0.2">
      <c r="A276" s="217">
        <v>324</v>
      </c>
      <c r="B276" s="287" t="s">
        <v>1659</v>
      </c>
      <c r="C276" s="213">
        <v>2</v>
      </c>
      <c r="D276" s="216" t="s">
        <v>1621</v>
      </c>
      <c r="E276" s="213">
        <v>39</v>
      </c>
      <c r="F276" s="311" t="s">
        <v>1483</v>
      </c>
      <c r="G276" s="213">
        <v>3903</v>
      </c>
      <c r="H276" s="311" t="s">
        <v>1240</v>
      </c>
      <c r="I276" s="213">
        <v>3903</v>
      </c>
      <c r="J276" s="311" t="s">
        <v>1240</v>
      </c>
      <c r="K276" s="311" t="s">
        <v>1241</v>
      </c>
      <c r="L276" s="74">
        <v>3903005</v>
      </c>
      <c r="M276" s="311" t="s">
        <v>1242</v>
      </c>
      <c r="N276" s="74">
        <v>3903005</v>
      </c>
      <c r="O276" s="311" t="s">
        <v>1242</v>
      </c>
      <c r="P276" s="74" t="s">
        <v>1243</v>
      </c>
      <c r="Q276" s="311" t="s">
        <v>1244</v>
      </c>
      <c r="R276" s="74" t="s">
        <v>1243</v>
      </c>
      <c r="S276" s="311" t="s">
        <v>1244</v>
      </c>
      <c r="T276" s="236" t="s">
        <v>1671</v>
      </c>
      <c r="U276" s="76">
        <v>1</v>
      </c>
      <c r="V276" s="76">
        <v>1</v>
      </c>
      <c r="W276" s="324" t="s">
        <v>1245</v>
      </c>
      <c r="X276" s="214" t="s">
        <v>1246</v>
      </c>
      <c r="Y276" s="320" t="s">
        <v>1247</v>
      </c>
      <c r="Z276" s="289"/>
      <c r="AA276" s="289"/>
      <c r="AB276" s="289"/>
      <c r="AC276" s="289"/>
      <c r="AD276" s="289"/>
      <c r="AE276" s="289"/>
      <c r="AF276" s="289"/>
      <c r="AG276" s="289"/>
      <c r="AH276" s="289"/>
      <c r="AI276" s="273"/>
      <c r="AJ276" s="273"/>
      <c r="AK276" s="273"/>
      <c r="AL276" s="273"/>
      <c r="AM276" s="273"/>
      <c r="AN276" s="273"/>
      <c r="AO276" s="273"/>
      <c r="AP276" s="273"/>
      <c r="AQ276" s="273"/>
      <c r="AR276" s="273"/>
      <c r="AS276" s="273"/>
      <c r="AT276" s="273"/>
      <c r="AU276" s="273"/>
      <c r="AV276" s="273"/>
      <c r="AW276" s="273"/>
      <c r="AX276" s="273"/>
      <c r="AY276" s="273"/>
      <c r="AZ276" s="273"/>
      <c r="BA276" s="273"/>
      <c r="BB276" s="273"/>
      <c r="BC276" s="273"/>
      <c r="BD276" s="273">
        <f>20000000-10000000</f>
        <v>10000000</v>
      </c>
      <c r="BE276" s="273">
        <v>9809000</v>
      </c>
      <c r="BF276" s="273">
        <v>9809000</v>
      </c>
      <c r="BG276" s="273"/>
      <c r="BH276" s="273"/>
      <c r="BI276" s="273"/>
      <c r="BJ276" s="273"/>
      <c r="BK276" s="273"/>
      <c r="BL276" s="273"/>
      <c r="BM276" s="273"/>
      <c r="BN276" s="273"/>
      <c r="BO276" s="273"/>
      <c r="BP276" s="273">
        <f t="shared" ref="BP276:BR278" si="69">+Z276+AC276+AF276+AI276+AL276+AO276+AR276+AU276+AX276+BA276+BD276+BG276+BJ276</f>
        <v>10000000</v>
      </c>
      <c r="BQ276" s="273">
        <f t="shared" si="69"/>
        <v>9809000</v>
      </c>
      <c r="BR276" s="273">
        <f t="shared" si="69"/>
        <v>9809000</v>
      </c>
      <c r="BS276" s="246" t="s">
        <v>1656</v>
      </c>
      <c r="BT276" s="233"/>
    </row>
    <row r="277" spans="1:72" s="27" customFormat="1" ht="69.75" customHeight="1" x14ac:dyDescent="0.2">
      <c r="A277" s="217">
        <v>324</v>
      </c>
      <c r="B277" s="287" t="s">
        <v>1659</v>
      </c>
      <c r="C277" s="213">
        <v>2</v>
      </c>
      <c r="D277" s="216" t="s">
        <v>1621</v>
      </c>
      <c r="E277" s="213">
        <v>39</v>
      </c>
      <c r="F277" s="311" t="s">
        <v>1483</v>
      </c>
      <c r="G277" s="213">
        <v>3903</v>
      </c>
      <c r="H277" s="311" t="s">
        <v>1240</v>
      </c>
      <c r="I277" s="213">
        <v>3903</v>
      </c>
      <c r="J277" s="311" t="s">
        <v>1240</v>
      </c>
      <c r="K277" s="311" t="s">
        <v>1241</v>
      </c>
      <c r="L277" s="74">
        <v>3903005</v>
      </c>
      <c r="M277" s="311" t="s">
        <v>1242</v>
      </c>
      <c r="N277" s="74">
        <v>3903005</v>
      </c>
      <c r="O277" s="311" t="s">
        <v>1242</v>
      </c>
      <c r="P277" s="74" t="s">
        <v>1248</v>
      </c>
      <c r="Q277" s="216" t="s">
        <v>1249</v>
      </c>
      <c r="R277" s="74" t="s">
        <v>1248</v>
      </c>
      <c r="S277" s="216" t="s">
        <v>1249</v>
      </c>
      <c r="T277" s="236" t="s">
        <v>1673</v>
      </c>
      <c r="U277" s="76">
        <v>50</v>
      </c>
      <c r="V277" s="76">
        <v>50</v>
      </c>
      <c r="W277" s="324" t="s">
        <v>1245</v>
      </c>
      <c r="X277" s="214" t="s">
        <v>1246</v>
      </c>
      <c r="Y277" s="320" t="s">
        <v>1247</v>
      </c>
      <c r="Z277" s="289"/>
      <c r="AA277" s="289"/>
      <c r="AB277" s="289"/>
      <c r="AC277" s="289"/>
      <c r="AD277" s="289"/>
      <c r="AE277" s="289"/>
      <c r="AF277" s="289"/>
      <c r="AG277" s="289"/>
      <c r="AH277" s="289"/>
      <c r="AI277" s="273"/>
      <c r="AJ277" s="273"/>
      <c r="AK277" s="273"/>
      <c r="AL277" s="273"/>
      <c r="AM277" s="273"/>
      <c r="AN277" s="273"/>
      <c r="AO277" s="273"/>
      <c r="AP277" s="273"/>
      <c r="AQ277" s="273"/>
      <c r="AR277" s="273"/>
      <c r="AS277" s="273"/>
      <c r="AT277" s="273"/>
      <c r="AU277" s="273"/>
      <c r="AV277" s="273"/>
      <c r="AW277" s="273"/>
      <c r="AX277" s="273"/>
      <c r="AY277" s="273"/>
      <c r="AZ277" s="273"/>
      <c r="BA277" s="273"/>
      <c r="BB277" s="273"/>
      <c r="BC277" s="273"/>
      <c r="BD277" s="273">
        <f>20000000+10000000</f>
        <v>30000000</v>
      </c>
      <c r="BE277" s="273">
        <v>28676899</v>
      </c>
      <c r="BF277" s="273">
        <v>28676899</v>
      </c>
      <c r="BG277" s="273"/>
      <c r="BH277" s="273"/>
      <c r="BI277" s="273"/>
      <c r="BJ277" s="273"/>
      <c r="BK277" s="273"/>
      <c r="BL277" s="273"/>
      <c r="BM277" s="273"/>
      <c r="BN277" s="273"/>
      <c r="BO277" s="273"/>
      <c r="BP277" s="273">
        <f t="shared" si="69"/>
        <v>30000000</v>
      </c>
      <c r="BQ277" s="273">
        <f t="shared" si="69"/>
        <v>28676899</v>
      </c>
      <c r="BR277" s="273">
        <f t="shared" si="69"/>
        <v>28676899</v>
      </c>
      <c r="BS277" s="246" t="s">
        <v>1656</v>
      </c>
      <c r="BT277" s="233"/>
    </row>
    <row r="278" spans="1:72" s="27" customFormat="1" ht="78" customHeight="1" x14ac:dyDescent="0.2">
      <c r="A278" s="217">
        <v>324</v>
      </c>
      <c r="B278" s="287" t="s">
        <v>1659</v>
      </c>
      <c r="C278" s="213">
        <v>2</v>
      </c>
      <c r="D278" s="216" t="s">
        <v>1621</v>
      </c>
      <c r="E278" s="213">
        <v>39</v>
      </c>
      <c r="F278" s="311" t="s">
        <v>1483</v>
      </c>
      <c r="G278" s="213">
        <v>3903</v>
      </c>
      <c r="H278" s="311" t="s">
        <v>1240</v>
      </c>
      <c r="I278" s="213">
        <v>3903</v>
      </c>
      <c r="J278" s="311" t="s">
        <v>1240</v>
      </c>
      <c r="K278" s="311" t="s">
        <v>1241</v>
      </c>
      <c r="L278" s="74">
        <v>3903005</v>
      </c>
      <c r="M278" s="311" t="s">
        <v>1242</v>
      </c>
      <c r="N278" s="74">
        <v>3903005</v>
      </c>
      <c r="O278" s="311" t="s">
        <v>1242</v>
      </c>
      <c r="P278" s="74" t="s">
        <v>1250</v>
      </c>
      <c r="Q278" s="311" t="s">
        <v>1251</v>
      </c>
      <c r="R278" s="74" t="s">
        <v>1250</v>
      </c>
      <c r="S278" s="311" t="s">
        <v>1251</v>
      </c>
      <c r="T278" s="236" t="s">
        <v>1673</v>
      </c>
      <c r="U278" s="76">
        <v>50</v>
      </c>
      <c r="V278" s="76">
        <v>60</v>
      </c>
      <c r="W278" s="324" t="s">
        <v>1245</v>
      </c>
      <c r="X278" s="214" t="s">
        <v>1246</v>
      </c>
      <c r="Y278" s="320" t="s">
        <v>1247</v>
      </c>
      <c r="Z278" s="289"/>
      <c r="AA278" s="289"/>
      <c r="AB278" s="289"/>
      <c r="AC278" s="289"/>
      <c r="AD278" s="289"/>
      <c r="AE278" s="289"/>
      <c r="AF278" s="289"/>
      <c r="AG278" s="289"/>
      <c r="AH278" s="289"/>
      <c r="AI278" s="273"/>
      <c r="AJ278" s="273"/>
      <c r="AK278" s="273"/>
      <c r="AL278" s="273"/>
      <c r="AM278" s="273"/>
      <c r="AN278" s="273"/>
      <c r="AO278" s="273"/>
      <c r="AP278" s="273"/>
      <c r="AQ278" s="273"/>
      <c r="AR278" s="273"/>
      <c r="AS278" s="273"/>
      <c r="AT278" s="273"/>
      <c r="AU278" s="273"/>
      <c r="AV278" s="273"/>
      <c r="AW278" s="273"/>
      <c r="AX278" s="273"/>
      <c r="AY278" s="273"/>
      <c r="AZ278" s="273"/>
      <c r="BA278" s="273"/>
      <c r="BB278" s="273"/>
      <c r="BC278" s="273"/>
      <c r="BD278" s="273">
        <v>20000000</v>
      </c>
      <c r="BE278" s="273">
        <v>19694933</v>
      </c>
      <c r="BF278" s="273">
        <v>19694933</v>
      </c>
      <c r="BG278" s="273"/>
      <c r="BH278" s="273"/>
      <c r="BI278" s="273"/>
      <c r="BJ278" s="273"/>
      <c r="BK278" s="273"/>
      <c r="BL278" s="273"/>
      <c r="BM278" s="273"/>
      <c r="BN278" s="273"/>
      <c r="BO278" s="273"/>
      <c r="BP278" s="273">
        <f t="shared" si="69"/>
        <v>20000000</v>
      </c>
      <c r="BQ278" s="273">
        <f t="shared" si="69"/>
        <v>19694933</v>
      </c>
      <c r="BR278" s="273">
        <f t="shared" si="69"/>
        <v>19694933</v>
      </c>
      <c r="BS278" s="246" t="s">
        <v>1656</v>
      </c>
      <c r="BT278" s="233"/>
    </row>
    <row r="279" spans="1:72" s="27" customFormat="1" ht="94.5" customHeight="1" x14ac:dyDescent="0.2">
      <c r="A279" s="217">
        <v>324</v>
      </c>
      <c r="B279" s="287" t="s">
        <v>1659</v>
      </c>
      <c r="C279" s="213">
        <v>2</v>
      </c>
      <c r="D279" s="216" t="s">
        <v>1621</v>
      </c>
      <c r="E279" s="213">
        <v>39</v>
      </c>
      <c r="F279" s="311" t="s">
        <v>1483</v>
      </c>
      <c r="G279" s="213">
        <v>3904</v>
      </c>
      <c r="H279" s="216" t="s">
        <v>1602</v>
      </c>
      <c r="I279" s="213">
        <v>3904</v>
      </c>
      <c r="J279" s="216" t="s">
        <v>1602</v>
      </c>
      <c r="K279" s="216" t="s">
        <v>1252</v>
      </c>
      <c r="L279" s="213">
        <v>3904018</v>
      </c>
      <c r="M279" s="216" t="s">
        <v>1253</v>
      </c>
      <c r="N279" s="213">
        <v>3904018</v>
      </c>
      <c r="O279" s="216" t="s">
        <v>1253</v>
      </c>
      <c r="P279" s="74">
        <v>390401809</v>
      </c>
      <c r="Q279" s="216" t="s">
        <v>1254</v>
      </c>
      <c r="R279" s="74">
        <v>390401809</v>
      </c>
      <c r="S279" s="216" t="s">
        <v>1254</v>
      </c>
      <c r="T279" s="236" t="s">
        <v>1673</v>
      </c>
      <c r="U279" s="76">
        <f>6+1</f>
        <v>7</v>
      </c>
      <c r="V279" s="76">
        <v>0</v>
      </c>
      <c r="W279" s="324" t="s">
        <v>1255</v>
      </c>
      <c r="X279" s="214" t="s">
        <v>1256</v>
      </c>
      <c r="Y279" s="214" t="s">
        <v>1257</v>
      </c>
      <c r="Z279" s="289"/>
      <c r="AA279" s="289"/>
      <c r="AB279" s="289"/>
      <c r="AC279" s="289"/>
      <c r="AD279" s="289"/>
      <c r="AE279" s="289"/>
      <c r="AF279" s="289"/>
      <c r="AG279" s="289"/>
      <c r="AH279" s="289"/>
      <c r="AI279" s="273"/>
      <c r="AJ279" s="273"/>
      <c r="AK279" s="273"/>
      <c r="AL279" s="273"/>
      <c r="AM279" s="273"/>
      <c r="AN279" s="273"/>
      <c r="AO279" s="273"/>
      <c r="AP279" s="273"/>
      <c r="AQ279" s="273"/>
      <c r="AR279" s="273"/>
      <c r="AS279" s="273"/>
      <c r="AT279" s="273"/>
      <c r="AU279" s="273"/>
      <c r="AV279" s="273"/>
      <c r="AW279" s="273"/>
      <c r="AX279" s="273"/>
      <c r="AY279" s="273"/>
      <c r="AZ279" s="273"/>
      <c r="BA279" s="273"/>
      <c r="BB279" s="273"/>
      <c r="BC279" s="273"/>
      <c r="BD279" s="273">
        <v>18000000</v>
      </c>
      <c r="BE279" s="273">
        <v>6600000</v>
      </c>
      <c r="BF279" s="273">
        <v>6600000</v>
      </c>
      <c r="BG279" s="273"/>
      <c r="BH279" s="273"/>
      <c r="BI279" s="273"/>
      <c r="BJ279" s="273"/>
      <c r="BK279" s="273"/>
      <c r="BL279" s="273"/>
      <c r="BM279" s="273"/>
      <c r="BN279" s="273"/>
      <c r="BO279" s="273"/>
      <c r="BP279" s="273">
        <f>+Z279+AC279+AF279+AI279+AL279+AO279+AR279+AU279+AX279+BA279+BD279+BG279+BJ279</f>
        <v>18000000</v>
      </c>
      <c r="BQ279" s="273">
        <f>+AA279+AD279+AG279+AJ279+AM279+AP279+AS279+AV279+AY279+BB279+BE279+BH279+BK279</f>
        <v>6600000</v>
      </c>
      <c r="BR279" s="273">
        <f>+AB279+AE279+AH279+AK279+AN279+AQ279+AT279+AW279+AZ279+BC279+BF279+BI279+BL279</f>
        <v>6600000</v>
      </c>
      <c r="BS279" s="246" t="s">
        <v>1656</v>
      </c>
      <c r="BT279" s="233"/>
    </row>
    <row r="280" spans="1:72" s="27" customFormat="1" ht="109.5" customHeight="1" x14ac:dyDescent="0.2">
      <c r="A280" s="217">
        <v>324</v>
      </c>
      <c r="B280" s="287" t="s">
        <v>1659</v>
      </c>
      <c r="C280" s="213">
        <v>4</v>
      </c>
      <c r="D280" s="216" t="s">
        <v>1612</v>
      </c>
      <c r="E280" s="213">
        <v>23</v>
      </c>
      <c r="F280" s="216" t="s">
        <v>1198</v>
      </c>
      <c r="G280" s="213">
        <v>2302</v>
      </c>
      <c r="H280" s="216" t="s">
        <v>1588</v>
      </c>
      <c r="I280" s="213">
        <v>2302</v>
      </c>
      <c r="J280" s="216" t="s">
        <v>1589</v>
      </c>
      <c r="K280" s="216" t="s">
        <v>1258</v>
      </c>
      <c r="L280" s="213">
        <v>2302003</v>
      </c>
      <c r="M280" s="216" t="s">
        <v>1259</v>
      </c>
      <c r="N280" s="213">
        <v>2302003</v>
      </c>
      <c r="O280" s="216" t="s">
        <v>1259</v>
      </c>
      <c r="P280" s="74">
        <v>230200300</v>
      </c>
      <c r="Q280" s="216" t="s">
        <v>1260</v>
      </c>
      <c r="R280" s="74">
        <v>230200300</v>
      </c>
      <c r="S280" s="216" t="s">
        <v>1260</v>
      </c>
      <c r="T280" s="236" t="s">
        <v>1673</v>
      </c>
      <c r="U280" s="76">
        <v>2</v>
      </c>
      <c r="V280" s="76">
        <v>3</v>
      </c>
      <c r="W280" s="324" t="s">
        <v>1261</v>
      </c>
      <c r="X280" s="214" t="s">
        <v>1262</v>
      </c>
      <c r="Y280" s="214" t="s">
        <v>1263</v>
      </c>
      <c r="Z280" s="289"/>
      <c r="AA280" s="289"/>
      <c r="AB280" s="289"/>
      <c r="AC280" s="289"/>
      <c r="AD280" s="289"/>
      <c r="AE280" s="289"/>
      <c r="AF280" s="289"/>
      <c r="AG280" s="289"/>
      <c r="AH280" s="289"/>
      <c r="AI280" s="273"/>
      <c r="AJ280" s="273"/>
      <c r="AK280" s="273"/>
      <c r="AL280" s="273"/>
      <c r="AM280" s="273"/>
      <c r="AN280" s="273"/>
      <c r="AO280" s="273"/>
      <c r="AP280" s="273"/>
      <c r="AQ280" s="273"/>
      <c r="AR280" s="273"/>
      <c r="AS280" s="273"/>
      <c r="AT280" s="273"/>
      <c r="AU280" s="273"/>
      <c r="AV280" s="273"/>
      <c r="AW280" s="273"/>
      <c r="AX280" s="273"/>
      <c r="AY280" s="273"/>
      <c r="AZ280" s="273"/>
      <c r="BA280" s="273"/>
      <c r="BB280" s="273"/>
      <c r="BC280" s="273"/>
      <c r="BD280" s="273">
        <v>120000000</v>
      </c>
      <c r="BE280" s="273">
        <v>101332999.5</v>
      </c>
      <c r="BF280" s="273">
        <v>101332999.5</v>
      </c>
      <c r="BG280" s="273"/>
      <c r="BH280" s="273"/>
      <c r="BI280" s="273"/>
      <c r="BJ280" s="273"/>
      <c r="BK280" s="273"/>
      <c r="BL280" s="273"/>
      <c r="BM280" s="273"/>
      <c r="BN280" s="273"/>
      <c r="BO280" s="273"/>
      <c r="BP280" s="273">
        <f t="shared" ref="BP280:BP285" si="70">+Z280+AC280+AF280+AI280+AL280+AO280+AR280+AU280+AX280+BA280+BD280+BG280+BJ280</f>
        <v>120000000</v>
      </c>
      <c r="BQ280" s="273">
        <f t="shared" ref="BQ280:BQ285" si="71">+AA280+AD280+AG280+AJ280+AM280+AP280+AS280+AV280+AY280+BB280+BE280+BH280+BK280</f>
        <v>101332999.5</v>
      </c>
      <c r="BR280" s="273">
        <f t="shared" ref="BR280:BR285" si="72">+AB280+AE280+AH280+AK280+AN280+AQ280+AT280+AW280+AZ280+BC280+BF280+BI280+BL280</f>
        <v>101332999.5</v>
      </c>
      <c r="BS280" s="246" t="s">
        <v>1656</v>
      </c>
      <c r="BT280" s="233"/>
    </row>
    <row r="281" spans="1:72" s="27" customFormat="1" ht="93" customHeight="1" x14ac:dyDescent="0.2">
      <c r="A281" s="217">
        <v>324</v>
      </c>
      <c r="B281" s="287" t="s">
        <v>1659</v>
      </c>
      <c r="C281" s="213">
        <v>4</v>
      </c>
      <c r="D281" s="216" t="s">
        <v>1612</v>
      </c>
      <c r="E281" s="213">
        <v>23</v>
      </c>
      <c r="F281" s="216" t="s">
        <v>1198</v>
      </c>
      <c r="G281" s="213">
        <v>2302</v>
      </c>
      <c r="H281" s="216" t="s">
        <v>1588</v>
      </c>
      <c r="I281" s="213">
        <v>2302</v>
      </c>
      <c r="J281" s="216" t="s">
        <v>1589</v>
      </c>
      <c r="K281" s="216" t="s">
        <v>1258</v>
      </c>
      <c r="L281" s="213">
        <v>2302033</v>
      </c>
      <c r="M281" s="216" t="s">
        <v>1264</v>
      </c>
      <c r="N281" s="213">
        <v>2302033</v>
      </c>
      <c r="O281" s="216" t="s">
        <v>1264</v>
      </c>
      <c r="P281" s="74">
        <v>230203300</v>
      </c>
      <c r="Q281" s="216" t="s">
        <v>1265</v>
      </c>
      <c r="R281" s="74">
        <v>230203300</v>
      </c>
      <c r="S281" s="216" t="s">
        <v>1265</v>
      </c>
      <c r="T281" s="236" t="s">
        <v>1671</v>
      </c>
      <c r="U281" s="76">
        <v>100</v>
      </c>
      <c r="V281" s="76">
        <v>100</v>
      </c>
      <c r="W281" s="324" t="s">
        <v>1261</v>
      </c>
      <c r="X281" s="214" t="s">
        <v>1262</v>
      </c>
      <c r="Y281" s="214" t="s">
        <v>1263</v>
      </c>
      <c r="Z281" s="289"/>
      <c r="AA281" s="289"/>
      <c r="AB281" s="289"/>
      <c r="AC281" s="289"/>
      <c r="AD281" s="289"/>
      <c r="AE281" s="289"/>
      <c r="AF281" s="289"/>
      <c r="AG281" s="289"/>
      <c r="AH281" s="289"/>
      <c r="AI281" s="273"/>
      <c r="AJ281" s="273"/>
      <c r="AK281" s="273"/>
      <c r="AL281" s="273"/>
      <c r="AM281" s="273"/>
      <c r="AN281" s="273"/>
      <c r="AO281" s="273"/>
      <c r="AP281" s="273"/>
      <c r="AQ281" s="273"/>
      <c r="AR281" s="273"/>
      <c r="AS281" s="273"/>
      <c r="AT281" s="273"/>
      <c r="AU281" s="273"/>
      <c r="AV281" s="273"/>
      <c r="AW281" s="273"/>
      <c r="AX281" s="273"/>
      <c r="AY281" s="273"/>
      <c r="AZ281" s="273"/>
      <c r="BA281" s="273"/>
      <c r="BB281" s="273"/>
      <c r="BC281" s="273"/>
      <c r="BD281" s="273">
        <v>50000000</v>
      </c>
      <c r="BE281" s="273">
        <v>49914500</v>
      </c>
      <c r="BF281" s="273">
        <v>49914500</v>
      </c>
      <c r="BG281" s="273"/>
      <c r="BH281" s="273"/>
      <c r="BI281" s="273"/>
      <c r="BJ281" s="273"/>
      <c r="BK281" s="273"/>
      <c r="BL281" s="273"/>
      <c r="BM281" s="273"/>
      <c r="BN281" s="273"/>
      <c r="BO281" s="273"/>
      <c r="BP281" s="273">
        <f t="shared" si="70"/>
        <v>50000000</v>
      </c>
      <c r="BQ281" s="273">
        <f t="shared" si="71"/>
        <v>49914500</v>
      </c>
      <c r="BR281" s="273">
        <f t="shared" si="72"/>
        <v>49914500</v>
      </c>
      <c r="BS281" s="246" t="s">
        <v>1656</v>
      </c>
      <c r="BT281" s="233"/>
    </row>
    <row r="282" spans="1:72" s="27" customFormat="1" ht="132" customHeight="1" x14ac:dyDescent="0.2">
      <c r="A282" s="217">
        <v>324</v>
      </c>
      <c r="B282" s="287" t="s">
        <v>1659</v>
      </c>
      <c r="C282" s="213">
        <v>4</v>
      </c>
      <c r="D282" s="216" t="s">
        <v>1612</v>
      </c>
      <c r="E282" s="213">
        <v>23</v>
      </c>
      <c r="F282" s="216" t="s">
        <v>1198</v>
      </c>
      <c r="G282" s="213">
        <v>2302</v>
      </c>
      <c r="H282" s="216" t="s">
        <v>1588</v>
      </c>
      <c r="I282" s="213">
        <v>2302</v>
      </c>
      <c r="J282" s="216" t="s">
        <v>1589</v>
      </c>
      <c r="K282" s="216" t="s">
        <v>1258</v>
      </c>
      <c r="L282" s="213">
        <v>2302066</v>
      </c>
      <c r="M282" s="216" t="s">
        <v>1266</v>
      </c>
      <c r="N282" s="213">
        <v>2302066</v>
      </c>
      <c r="O282" s="216" t="s">
        <v>1266</v>
      </c>
      <c r="P282" s="74">
        <v>230206600</v>
      </c>
      <c r="Q282" s="216" t="s">
        <v>1267</v>
      </c>
      <c r="R282" s="74">
        <v>230206600</v>
      </c>
      <c r="S282" s="216" t="s">
        <v>1267</v>
      </c>
      <c r="T282" s="236" t="s">
        <v>1673</v>
      </c>
      <c r="U282" s="76">
        <v>50</v>
      </c>
      <c r="V282" s="76">
        <v>60</v>
      </c>
      <c r="W282" s="324" t="s">
        <v>1261</v>
      </c>
      <c r="X282" s="214" t="s">
        <v>1262</v>
      </c>
      <c r="Y282" s="214" t="s">
        <v>1263</v>
      </c>
      <c r="Z282" s="289"/>
      <c r="AA282" s="289"/>
      <c r="AB282" s="289"/>
      <c r="AC282" s="289"/>
      <c r="AD282" s="289"/>
      <c r="AE282" s="289"/>
      <c r="AF282" s="289"/>
      <c r="AG282" s="289"/>
      <c r="AH282" s="289"/>
      <c r="AI282" s="273"/>
      <c r="AJ282" s="273"/>
      <c r="AK282" s="273"/>
      <c r="AL282" s="273"/>
      <c r="AM282" s="273"/>
      <c r="AN282" s="273"/>
      <c r="AO282" s="273"/>
      <c r="AP282" s="273"/>
      <c r="AQ282" s="273"/>
      <c r="AR282" s="273"/>
      <c r="AS282" s="273"/>
      <c r="AT282" s="273"/>
      <c r="AU282" s="273"/>
      <c r="AV282" s="273"/>
      <c r="AW282" s="273"/>
      <c r="AX282" s="273"/>
      <c r="AY282" s="273"/>
      <c r="AZ282" s="273"/>
      <c r="BA282" s="273"/>
      <c r="BB282" s="273"/>
      <c r="BC282" s="273"/>
      <c r="BD282" s="273">
        <v>60000000</v>
      </c>
      <c r="BE282" s="273">
        <v>58568833</v>
      </c>
      <c r="BF282" s="273">
        <v>58568833</v>
      </c>
      <c r="BG282" s="273"/>
      <c r="BH282" s="273"/>
      <c r="BI282" s="273"/>
      <c r="BJ282" s="273"/>
      <c r="BK282" s="273"/>
      <c r="BL282" s="273"/>
      <c r="BM282" s="273"/>
      <c r="BN282" s="273"/>
      <c r="BO282" s="273"/>
      <c r="BP282" s="273">
        <f t="shared" si="70"/>
        <v>60000000</v>
      </c>
      <c r="BQ282" s="273">
        <f t="shared" si="71"/>
        <v>58568833</v>
      </c>
      <c r="BR282" s="273">
        <f t="shared" si="72"/>
        <v>58568833</v>
      </c>
      <c r="BS282" s="246" t="s">
        <v>1656</v>
      </c>
      <c r="BT282" s="233"/>
    </row>
    <row r="283" spans="1:72" s="27" customFormat="1" ht="108" customHeight="1" x14ac:dyDescent="0.2">
      <c r="A283" s="217">
        <v>324</v>
      </c>
      <c r="B283" s="287" t="s">
        <v>1659</v>
      </c>
      <c r="C283" s="213">
        <v>4</v>
      </c>
      <c r="D283" s="216" t="s">
        <v>1612</v>
      </c>
      <c r="E283" s="213">
        <v>23</v>
      </c>
      <c r="F283" s="216" t="s">
        <v>1198</v>
      </c>
      <c r="G283" s="213">
        <v>2302</v>
      </c>
      <c r="H283" s="216" t="s">
        <v>1588</v>
      </c>
      <c r="I283" s="213">
        <v>2302</v>
      </c>
      <c r="J283" s="216" t="s">
        <v>1589</v>
      </c>
      <c r="K283" s="216" t="s">
        <v>1258</v>
      </c>
      <c r="L283" s="213">
        <v>2302004</v>
      </c>
      <c r="M283" s="216" t="s">
        <v>1268</v>
      </c>
      <c r="N283" s="213">
        <v>2302004</v>
      </c>
      <c r="O283" s="216" t="s">
        <v>1268</v>
      </c>
      <c r="P283" s="74">
        <v>230200403</v>
      </c>
      <c r="Q283" s="216" t="s">
        <v>1269</v>
      </c>
      <c r="R283" s="74">
        <v>230200403</v>
      </c>
      <c r="S283" s="216" t="s">
        <v>1269</v>
      </c>
      <c r="T283" s="236" t="s">
        <v>1673</v>
      </c>
      <c r="U283" s="76">
        <v>1</v>
      </c>
      <c r="V283" s="76">
        <v>1</v>
      </c>
      <c r="W283" s="324" t="s">
        <v>1261</v>
      </c>
      <c r="X283" s="214" t="s">
        <v>1262</v>
      </c>
      <c r="Y283" s="214" t="s">
        <v>1263</v>
      </c>
      <c r="Z283" s="289"/>
      <c r="AA283" s="289"/>
      <c r="AB283" s="289"/>
      <c r="AC283" s="289"/>
      <c r="AD283" s="289"/>
      <c r="AE283" s="289"/>
      <c r="AF283" s="289"/>
      <c r="AG283" s="289"/>
      <c r="AH283" s="289"/>
      <c r="AI283" s="273"/>
      <c r="AJ283" s="273"/>
      <c r="AK283" s="273"/>
      <c r="AL283" s="273"/>
      <c r="AM283" s="273"/>
      <c r="AN283" s="273"/>
      <c r="AO283" s="273"/>
      <c r="AP283" s="273"/>
      <c r="AQ283" s="273"/>
      <c r="AR283" s="273"/>
      <c r="AS283" s="273"/>
      <c r="AT283" s="273"/>
      <c r="AU283" s="273"/>
      <c r="AV283" s="273"/>
      <c r="AW283" s="273"/>
      <c r="AX283" s="273"/>
      <c r="AY283" s="273"/>
      <c r="AZ283" s="273"/>
      <c r="BA283" s="273"/>
      <c r="BB283" s="273"/>
      <c r="BC283" s="273"/>
      <c r="BD283" s="273">
        <v>25000000</v>
      </c>
      <c r="BE283" s="273">
        <v>25000000</v>
      </c>
      <c r="BF283" s="273">
        <v>25000000</v>
      </c>
      <c r="BG283" s="273"/>
      <c r="BH283" s="273"/>
      <c r="BI283" s="273"/>
      <c r="BJ283" s="273"/>
      <c r="BK283" s="273"/>
      <c r="BL283" s="273"/>
      <c r="BM283" s="273"/>
      <c r="BN283" s="273"/>
      <c r="BO283" s="273"/>
      <c r="BP283" s="273">
        <f t="shared" si="70"/>
        <v>25000000</v>
      </c>
      <c r="BQ283" s="273">
        <f t="shared" si="71"/>
        <v>25000000</v>
      </c>
      <c r="BR283" s="273">
        <f t="shared" si="72"/>
        <v>25000000</v>
      </c>
      <c r="BS283" s="246" t="s">
        <v>1656</v>
      </c>
      <c r="BT283" s="233"/>
    </row>
    <row r="284" spans="1:72" s="27" customFormat="1" ht="105" customHeight="1" x14ac:dyDescent="0.2">
      <c r="A284" s="217">
        <v>324</v>
      </c>
      <c r="B284" s="287" t="s">
        <v>1659</v>
      </c>
      <c r="C284" s="213">
        <v>4</v>
      </c>
      <c r="D284" s="216" t="s">
        <v>1612</v>
      </c>
      <c r="E284" s="213">
        <v>23</v>
      </c>
      <c r="F284" s="216" t="s">
        <v>1198</v>
      </c>
      <c r="G284" s="213">
        <v>2302</v>
      </c>
      <c r="H284" s="216" t="s">
        <v>1588</v>
      </c>
      <c r="I284" s="213">
        <v>2302</v>
      </c>
      <c r="J284" s="216" t="s">
        <v>1589</v>
      </c>
      <c r="K284" s="216" t="s">
        <v>1258</v>
      </c>
      <c r="L284" s="74">
        <v>2302007</v>
      </c>
      <c r="M284" s="216" t="s">
        <v>1270</v>
      </c>
      <c r="N284" s="213">
        <v>2302007</v>
      </c>
      <c r="O284" s="216" t="s">
        <v>1270</v>
      </c>
      <c r="P284" s="74">
        <v>230200701</v>
      </c>
      <c r="Q284" s="216" t="s">
        <v>1271</v>
      </c>
      <c r="R284" s="74">
        <v>230200701</v>
      </c>
      <c r="S284" s="216" t="s">
        <v>1271</v>
      </c>
      <c r="T284" s="236" t="s">
        <v>1673</v>
      </c>
      <c r="U284" s="76">
        <v>1</v>
      </c>
      <c r="V284" s="76">
        <v>1</v>
      </c>
      <c r="W284" s="324" t="s">
        <v>1261</v>
      </c>
      <c r="X284" s="214" t="s">
        <v>1262</v>
      </c>
      <c r="Y284" s="214" t="s">
        <v>1263</v>
      </c>
      <c r="Z284" s="289"/>
      <c r="AA284" s="289"/>
      <c r="AB284" s="289"/>
      <c r="AC284" s="289"/>
      <c r="AD284" s="289"/>
      <c r="AE284" s="289"/>
      <c r="AF284" s="289"/>
      <c r="AG284" s="289"/>
      <c r="AH284" s="289"/>
      <c r="AI284" s="273"/>
      <c r="AJ284" s="273"/>
      <c r="AK284" s="273"/>
      <c r="AL284" s="273"/>
      <c r="AM284" s="273"/>
      <c r="AN284" s="273"/>
      <c r="AO284" s="273"/>
      <c r="AP284" s="273"/>
      <c r="AQ284" s="273"/>
      <c r="AR284" s="273"/>
      <c r="AS284" s="273"/>
      <c r="AT284" s="273"/>
      <c r="AU284" s="273"/>
      <c r="AV284" s="273"/>
      <c r="AW284" s="273"/>
      <c r="AX284" s="273"/>
      <c r="AY284" s="273"/>
      <c r="AZ284" s="273"/>
      <c r="BA284" s="273"/>
      <c r="BB284" s="273"/>
      <c r="BC284" s="273"/>
      <c r="BD284" s="273">
        <v>25000000</v>
      </c>
      <c r="BE284" s="273">
        <v>25000000</v>
      </c>
      <c r="BF284" s="273">
        <v>25000000</v>
      </c>
      <c r="BG284" s="273"/>
      <c r="BH284" s="273"/>
      <c r="BI284" s="273"/>
      <c r="BJ284" s="273"/>
      <c r="BK284" s="273"/>
      <c r="BL284" s="273"/>
      <c r="BM284" s="273"/>
      <c r="BN284" s="273"/>
      <c r="BO284" s="273"/>
      <c r="BP284" s="273">
        <f t="shared" si="70"/>
        <v>25000000</v>
      </c>
      <c r="BQ284" s="273">
        <f t="shared" si="71"/>
        <v>25000000</v>
      </c>
      <c r="BR284" s="273">
        <f t="shared" si="72"/>
        <v>25000000</v>
      </c>
      <c r="BS284" s="246" t="s">
        <v>1656</v>
      </c>
      <c r="BT284" s="233"/>
    </row>
    <row r="285" spans="1:72" s="27" customFormat="1" ht="97.5" customHeight="1" x14ac:dyDescent="0.2">
      <c r="A285" s="217">
        <v>324</v>
      </c>
      <c r="B285" s="287" t="s">
        <v>1659</v>
      </c>
      <c r="C285" s="213">
        <v>4</v>
      </c>
      <c r="D285" s="216" t="s">
        <v>1612</v>
      </c>
      <c r="E285" s="213">
        <v>23</v>
      </c>
      <c r="F285" s="216" t="s">
        <v>1198</v>
      </c>
      <c r="G285" s="213">
        <v>2302</v>
      </c>
      <c r="H285" s="216" t="s">
        <v>1588</v>
      </c>
      <c r="I285" s="213">
        <v>2302</v>
      </c>
      <c r="J285" s="216" t="s">
        <v>1589</v>
      </c>
      <c r="K285" s="216" t="s">
        <v>1258</v>
      </c>
      <c r="L285" s="213">
        <v>2302083</v>
      </c>
      <c r="M285" s="216" t="s">
        <v>84</v>
      </c>
      <c r="N285" s="213">
        <v>2302083</v>
      </c>
      <c r="O285" s="216" t="s">
        <v>84</v>
      </c>
      <c r="P285" s="74">
        <v>230208300</v>
      </c>
      <c r="Q285" s="216" t="s">
        <v>532</v>
      </c>
      <c r="R285" s="74">
        <v>230208300</v>
      </c>
      <c r="S285" s="216" t="s">
        <v>532</v>
      </c>
      <c r="T285" s="236" t="s">
        <v>1673</v>
      </c>
      <c r="U285" s="76">
        <v>1</v>
      </c>
      <c r="V285" s="76">
        <v>1</v>
      </c>
      <c r="W285" s="324" t="s">
        <v>1261</v>
      </c>
      <c r="X285" s="214" t="s">
        <v>1262</v>
      </c>
      <c r="Y285" s="214" t="s">
        <v>1263</v>
      </c>
      <c r="Z285" s="289"/>
      <c r="AA285" s="289"/>
      <c r="AB285" s="289"/>
      <c r="AC285" s="289"/>
      <c r="AD285" s="289"/>
      <c r="AE285" s="289"/>
      <c r="AF285" s="289"/>
      <c r="AG285" s="289"/>
      <c r="AH285" s="289"/>
      <c r="AI285" s="273"/>
      <c r="AJ285" s="273"/>
      <c r="AK285" s="273"/>
      <c r="AL285" s="273"/>
      <c r="AM285" s="273"/>
      <c r="AN285" s="273"/>
      <c r="AO285" s="273"/>
      <c r="AP285" s="273"/>
      <c r="AQ285" s="273"/>
      <c r="AR285" s="273"/>
      <c r="AS285" s="273"/>
      <c r="AT285" s="273"/>
      <c r="AU285" s="273"/>
      <c r="AV285" s="273"/>
      <c r="AW285" s="273"/>
      <c r="AX285" s="273"/>
      <c r="AY285" s="273"/>
      <c r="AZ285" s="273"/>
      <c r="BA285" s="273"/>
      <c r="BB285" s="273"/>
      <c r="BC285" s="273"/>
      <c r="BD285" s="273">
        <v>18000000</v>
      </c>
      <c r="BE285" s="273">
        <v>17760833</v>
      </c>
      <c r="BF285" s="273">
        <v>17760833</v>
      </c>
      <c r="BG285" s="273"/>
      <c r="BH285" s="273"/>
      <c r="BI285" s="273"/>
      <c r="BJ285" s="273"/>
      <c r="BK285" s="273"/>
      <c r="BL285" s="273"/>
      <c r="BM285" s="273"/>
      <c r="BN285" s="273"/>
      <c r="BO285" s="273"/>
      <c r="BP285" s="273">
        <f t="shared" si="70"/>
        <v>18000000</v>
      </c>
      <c r="BQ285" s="273">
        <f t="shared" si="71"/>
        <v>17760833</v>
      </c>
      <c r="BR285" s="273">
        <f t="shared" si="72"/>
        <v>17760833</v>
      </c>
      <c r="BS285" s="246" t="s">
        <v>1656</v>
      </c>
      <c r="BT285" s="233"/>
    </row>
    <row r="286" spans="1:72" s="27" customFormat="1" ht="140.25" customHeight="1" x14ac:dyDescent="0.2">
      <c r="A286" s="217">
        <v>319</v>
      </c>
      <c r="B286" s="311" t="s">
        <v>1629</v>
      </c>
      <c r="C286" s="213">
        <v>1</v>
      </c>
      <c r="D286" s="287" t="s">
        <v>1614</v>
      </c>
      <c r="E286" s="213">
        <v>43</v>
      </c>
      <c r="F286" s="216" t="s">
        <v>176</v>
      </c>
      <c r="G286" s="213">
        <v>4301</v>
      </c>
      <c r="H286" s="311" t="s">
        <v>1564</v>
      </c>
      <c r="I286" s="213">
        <v>4301</v>
      </c>
      <c r="J286" s="311" t="s">
        <v>1565</v>
      </c>
      <c r="K286" s="311" t="s">
        <v>1274</v>
      </c>
      <c r="L286" s="213">
        <v>4301007</v>
      </c>
      <c r="M286" s="216" t="s">
        <v>1275</v>
      </c>
      <c r="N286" s="213">
        <v>4301007</v>
      </c>
      <c r="O286" s="216" t="s">
        <v>1275</v>
      </c>
      <c r="P286" s="213">
        <v>430100701</v>
      </c>
      <c r="Q286" s="216" t="s">
        <v>1276</v>
      </c>
      <c r="R286" s="213">
        <v>430100701</v>
      </c>
      <c r="S286" s="216" t="s">
        <v>1276</v>
      </c>
      <c r="T286" s="236" t="s">
        <v>1671</v>
      </c>
      <c r="U286" s="76">
        <v>12</v>
      </c>
      <c r="V286" s="76">
        <v>12</v>
      </c>
      <c r="W286" s="363">
        <v>2020003630009</v>
      </c>
      <c r="X286" s="214" t="s">
        <v>1277</v>
      </c>
      <c r="Y286" s="320" t="s">
        <v>1278</v>
      </c>
      <c r="Z286" s="235">
        <v>42000000</v>
      </c>
      <c r="AA286" s="289"/>
      <c r="AB286" s="289"/>
      <c r="AC286" s="289"/>
      <c r="AD286" s="289"/>
      <c r="AE286" s="289"/>
      <c r="AF286" s="289"/>
      <c r="AG286" s="289"/>
      <c r="AH286" s="289"/>
      <c r="AI286" s="289"/>
      <c r="AJ286" s="289"/>
      <c r="AK286" s="289"/>
      <c r="AL286" s="289"/>
      <c r="AM286" s="289"/>
      <c r="AN286" s="289"/>
      <c r="AO286" s="359"/>
      <c r="AP286" s="359"/>
      <c r="AQ286" s="359"/>
      <c r="AR286" s="289"/>
      <c r="AS286" s="289"/>
      <c r="AT286" s="289"/>
      <c r="AU286" s="289"/>
      <c r="AV286" s="289"/>
      <c r="AW286" s="289"/>
      <c r="AX286" s="289"/>
      <c r="AY286" s="289"/>
      <c r="AZ286" s="289"/>
      <c r="BA286" s="289"/>
      <c r="BB286" s="289"/>
      <c r="BC286" s="289"/>
      <c r="BD286" s="235"/>
      <c r="BE286" s="235"/>
      <c r="BF286" s="235"/>
      <c r="BG286" s="235">
        <f>843746501.24+460056673.81</f>
        <v>1303803175.05</v>
      </c>
      <c r="BH286" s="235">
        <v>1094074234.1300001</v>
      </c>
      <c r="BI286" s="235">
        <v>1094074234.1299999</v>
      </c>
      <c r="BJ286" s="289">
        <f>240000000-121800000</f>
        <v>118200000</v>
      </c>
      <c r="BK286" s="289">
        <v>115599998</v>
      </c>
      <c r="BL286" s="289">
        <v>115599998</v>
      </c>
      <c r="BM286" s="289"/>
      <c r="BN286" s="289"/>
      <c r="BO286" s="289"/>
      <c r="BP286" s="273">
        <f t="shared" ref="BP286:BR289" si="73">+Z286+AC286+AF286+AI286+AL286+AO286+AR286+AU286+AX286+BA286+BD286+BG286+BJ286</f>
        <v>1464003175.05</v>
      </c>
      <c r="BQ286" s="273">
        <f>+AA286+AD286+AG286+AJ286+AM286+AP286+AS286+AV286+AY286+BB286+BE286+BH286+BK286</f>
        <v>1209674232.1300001</v>
      </c>
      <c r="BR286" s="273">
        <f t="shared" si="73"/>
        <v>1209674232.1299999</v>
      </c>
      <c r="BS286" s="246" t="s">
        <v>1657</v>
      </c>
      <c r="BT286" s="233"/>
    </row>
    <row r="287" spans="1:72" s="27" customFormat="1" ht="140.25" customHeight="1" x14ac:dyDescent="0.2">
      <c r="A287" s="217">
        <v>319</v>
      </c>
      <c r="B287" s="311" t="s">
        <v>1629</v>
      </c>
      <c r="C287" s="213">
        <v>1</v>
      </c>
      <c r="D287" s="287" t="s">
        <v>1614</v>
      </c>
      <c r="E287" s="213">
        <v>43</v>
      </c>
      <c r="F287" s="216" t="s">
        <v>176</v>
      </c>
      <c r="G287" s="213">
        <v>4301</v>
      </c>
      <c r="H287" s="311" t="s">
        <v>1564</v>
      </c>
      <c r="I287" s="213">
        <v>4301</v>
      </c>
      <c r="J287" s="311" t="s">
        <v>1565</v>
      </c>
      <c r="K287" s="311" t="s">
        <v>1274</v>
      </c>
      <c r="L287" s="213">
        <v>4301037</v>
      </c>
      <c r="M287" s="216" t="s">
        <v>1279</v>
      </c>
      <c r="N287" s="213">
        <v>4301037</v>
      </c>
      <c r="O287" s="216" t="s">
        <v>1279</v>
      </c>
      <c r="P287" s="213">
        <v>430103701</v>
      </c>
      <c r="Q287" s="216" t="s">
        <v>1280</v>
      </c>
      <c r="R287" s="213">
        <v>430103701</v>
      </c>
      <c r="S287" s="216" t="s">
        <v>1280</v>
      </c>
      <c r="T287" s="236" t="s">
        <v>1671</v>
      </c>
      <c r="U287" s="76">
        <v>12</v>
      </c>
      <c r="V287" s="76">
        <v>12</v>
      </c>
      <c r="W287" s="363">
        <v>2020003630009</v>
      </c>
      <c r="X287" s="214" t="s">
        <v>1277</v>
      </c>
      <c r="Y287" s="320" t="s">
        <v>1278</v>
      </c>
      <c r="Z287" s="289"/>
      <c r="AA287" s="289"/>
      <c r="AB287" s="289"/>
      <c r="AC287" s="289"/>
      <c r="AD287" s="289"/>
      <c r="AE287" s="289"/>
      <c r="AF287" s="289"/>
      <c r="AG287" s="289"/>
      <c r="AH287" s="289"/>
      <c r="AI287" s="289"/>
      <c r="AJ287" s="289"/>
      <c r="AK287" s="289"/>
      <c r="AL287" s="289"/>
      <c r="AM287" s="289"/>
      <c r="AN287" s="289"/>
      <c r="AO287" s="289"/>
      <c r="AP287" s="289"/>
      <c r="AQ287" s="289"/>
      <c r="AR287" s="289"/>
      <c r="AS287" s="289"/>
      <c r="AT287" s="289"/>
      <c r="AU287" s="289"/>
      <c r="AV287" s="289"/>
      <c r="AW287" s="289"/>
      <c r="AX287" s="289"/>
      <c r="AY287" s="289"/>
      <c r="AZ287" s="289"/>
      <c r="BA287" s="289"/>
      <c r="BB287" s="289"/>
      <c r="BC287" s="289"/>
      <c r="BD287" s="235"/>
      <c r="BE287" s="235"/>
      <c r="BF287" s="235"/>
      <c r="BG287" s="235">
        <f>176820060+40000000+94205491.84</f>
        <v>311025551.84000003</v>
      </c>
      <c r="BH287" s="235">
        <v>274329351.83999997</v>
      </c>
      <c r="BI287" s="235">
        <v>274329351.83999997</v>
      </c>
      <c r="BJ287" s="289">
        <f>165000000-20000000-20000000</f>
        <v>125000000</v>
      </c>
      <c r="BK287" s="360">
        <v>96569799</v>
      </c>
      <c r="BL287" s="360">
        <v>96569799</v>
      </c>
      <c r="BM287" s="360"/>
      <c r="BN287" s="360"/>
      <c r="BO287" s="360"/>
      <c r="BP287" s="273">
        <f t="shared" si="73"/>
        <v>436025551.84000003</v>
      </c>
      <c r="BQ287" s="273">
        <f t="shared" si="73"/>
        <v>370899150.83999997</v>
      </c>
      <c r="BR287" s="273">
        <f t="shared" si="73"/>
        <v>370899150.83999997</v>
      </c>
      <c r="BS287" s="246" t="s">
        <v>1657</v>
      </c>
      <c r="BT287" s="233"/>
    </row>
    <row r="288" spans="1:72" s="27" customFormat="1" ht="129" customHeight="1" x14ac:dyDescent="0.2">
      <c r="A288" s="217">
        <v>319</v>
      </c>
      <c r="B288" s="311" t="s">
        <v>1629</v>
      </c>
      <c r="C288" s="213">
        <v>1</v>
      </c>
      <c r="D288" s="287" t="s">
        <v>1614</v>
      </c>
      <c r="E288" s="213">
        <v>43</v>
      </c>
      <c r="F288" s="216" t="s">
        <v>176</v>
      </c>
      <c r="G288" s="213">
        <v>4301</v>
      </c>
      <c r="H288" s="311" t="s">
        <v>1564</v>
      </c>
      <c r="I288" s="213">
        <v>4301</v>
      </c>
      <c r="J288" s="311" t="s">
        <v>1565</v>
      </c>
      <c r="K288" s="311" t="s">
        <v>1274</v>
      </c>
      <c r="L288" s="213">
        <v>4301037</v>
      </c>
      <c r="M288" s="216" t="s">
        <v>1279</v>
      </c>
      <c r="N288" s="213">
        <v>4301037</v>
      </c>
      <c r="O288" s="216" t="s">
        <v>1279</v>
      </c>
      <c r="P288" s="213" t="s">
        <v>1281</v>
      </c>
      <c r="Q288" s="216" t="s">
        <v>1282</v>
      </c>
      <c r="R288" s="213" t="s">
        <v>1281</v>
      </c>
      <c r="S288" s="216" t="s">
        <v>1282</v>
      </c>
      <c r="T288" s="236" t="s">
        <v>1671</v>
      </c>
      <c r="U288" s="76">
        <v>12</v>
      </c>
      <c r="V288" s="76">
        <v>12</v>
      </c>
      <c r="W288" s="363">
        <v>2020003630009</v>
      </c>
      <c r="X288" s="214" t="s">
        <v>1277</v>
      </c>
      <c r="Y288" s="320" t="s">
        <v>1278</v>
      </c>
      <c r="Z288" s="289">
        <f>1000000000-859200000</f>
        <v>140800000</v>
      </c>
      <c r="AA288" s="289"/>
      <c r="AB288" s="289"/>
      <c r="AC288" s="289"/>
      <c r="AD288" s="289"/>
      <c r="AE288" s="289"/>
      <c r="AF288" s="289"/>
      <c r="AG288" s="289"/>
      <c r="AH288" s="289"/>
      <c r="AI288" s="289"/>
      <c r="AJ288" s="289"/>
      <c r="AK288" s="289"/>
      <c r="AL288" s="289"/>
      <c r="AM288" s="289"/>
      <c r="AN288" s="289"/>
      <c r="AO288" s="289"/>
      <c r="AP288" s="289"/>
      <c r="AQ288" s="289"/>
      <c r="AR288" s="289"/>
      <c r="AS288" s="289"/>
      <c r="AT288" s="289"/>
      <c r="AU288" s="289"/>
      <c r="AV288" s="289"/>
      <c r="AW288" s="289"/>
      <c r="AX288" s="289"/>
      <c r="AY288" s="289"/>
      <c r="AZ288" s="289"/>
      <c r="BA288" s="289"/>
      <c r="BB288" s="289"/>
      <c r="BC288" s="289"/>
      <c r="BD288" s="235">
        <f>63455402+72672234+600000000+150000000+250000000-1000000000</f>
        <v>136127636</v>
      </c>
      <c r="BE288" s="235">
        <v>111986299.81999999</v>
      </c>
      <c r="BF288" s="235">
        <v>111986299.81999999</v>
      </c>
      <c r="BG288" s="235">
        <f>253377194+128617531.11</f>
        <v>381994725.11000001</v>
      </c>
      <c r="BH288" s="235">
        <v>242867585.00000003</v>
      </c>
      <c r="BI288" s="235">
        <v>242867585.00000003</v>
      </c>
      <c r="BJ288" s="289">
        <f>595000000-70000000-55000000-30000000-227842116</f>
        <v>212157884</v>
      </c>
      <c r="BK288" s="289">
        <v>192197436</v>
      </c>
      <c r="BL288" s="289">
        <v>192197436</v>
      </c>
      <c r="BM288" s="289"/>
      <c r="BN288" s="289"/>
      <c r="BO288" s="289"/>
      <c r="BP288" s="273">
        <f t="shared" si="73"/>
        <v>871080245.11000001</v>
      </c>
      <c r="BQ288" s="273">
        <f t="shared" si="73"/>
        <v>547051320.82000005</v>
      </c>
      <c r="BR288" s="273">
        <f t="shared" si="73"/>
        <v>547051320.82000005</v>
      </c>
      <c r="BS288" s="246" t="s">
        <v>1657</v>
      </c>
      <c r="BT288" s="233"/>
    </row>
    <row r="289" spans="1:72" s="27" customFormat="1" ht="166.5" customHeight="1" x14ac:dyDescent="0.2">
      <c r="A289" s="217">
        <v>319</v>
      </c>
      <c r="B289" s="311" t="s">
        <v>1629</v>
      </c>
      <c r="C289" s="213">
        <v>1</v>
      </c>
      <c r="D289" s="287" t="s">
        <v>1614</v>
      </c>
      <c r="E289" s="213">
        <v>43</v>
      </c>
      <c r="F289" s="216" t="s">
        <v>176</v>
      </c>
      <c r="G289" s="213">
        <v>4301</v>
      </c>
      <c r="H289" s="311" t="s">
        <v>1564</v>
      </c>
      <c r="I289" s="213">
        <v>4301</v>
      </c>
      <c r="J289" s="311" t="s">
        <v>1565</v>
      </c>
      <c r="K289" s="311" t="s">
        <v>1274</v>
      </c>
      <c r="L289" s="76" t="s">
        <v>41</v>
      </c>
      <c r="M289" s="216" t="s">
        <v>1283</v>
      </c>
      <c r="N289" s="213">
        <v>4301006</v>
      </c>
      <c r="O289" s="216" t="s">
        <v>1284</v>
      </c>
      <c r="P289" s="76" t="s">
        <v>41</v>
      </c>
      <c r="Q289" s="216" t="s">
        <v>1285</v>
      </c>
      <c r="R289" s="213">
        <v>430100600</v>
      </c>
      <c r="S289" s="216" t="s">
        <v>1286</v>
      </c>
      <c r="T289" s="236" t="s">
        <v>1671</v>
      </c>
      <c r="U289" s="76">
        <v>1</v>
      </c>
      <c r="V289" s="76">
        <v>0.65</v>
      </c>
      <c r="W289" s="363">
        <v>2020003630009</v>
      </c>
      <c r="X289" s="214" t="s">
        <v>1277</v>
      </c>
      <c r="Y289" s="320" t="s">
        <v>1278</v>
      </c>
      <c r="Z289" s="289"/>
      <c r="AA289" s="289"/>
      <c r="AB289" s="289"/>
      <c r="AC289" s="289"/>
      <c r="AD289" s="289"/>
      <c r="AE289" s="289"/>
      <c r="AF289" s="289"/>
      <c r="AG289" s="289"/>
      <c r="AH289" s="289"/>
      <c r="AI289" s="289"/>
      <c r="AJ289" s="289"/>
      <c r="AK289" s="289"/>
      <c r="AL289" s="289"/>
      <c r="AM289" s="289"/>
      <c r="AN289" s="289"/>
      <c r="AO289" s="289"/>
      <c r="AP289" s="289"/>
      <c r="AQ289" s="289"/>
      <c r="AR289" s="289"/>
      <c r="AS289" s="289"/>
      <c r="AT289" s="289"/>
      <c r="AU289" s="289"/>
      <c r="AV289" s="289"/>
      <c r="AW289" s="289"/>
      <c r="AX289" s="289"/>
      <c r="AY289" s="289"/>
      <c r="AZ289" s="289"/>
      <c r="BA289" s="289"/>
      <c r="BB289" s="289"/>
      <c r="BC289" s="289"/>
      <c r="BD289" s="290"/>
      <c r="BE289" s="290"/>
      <c r="BF289" s="290"/>
      <c r="BG289" s="293">
        <v>76178126.980000004</v>
      </c>
      <c r="BH289" s="293">
        <v>64324997</v>
      </c>
      <c r="BI289" s="293">
        <v>64324997</v>
      </c>
      <c r="BJ289" s="361"/>
      <c r="BK289" s="361"/>
      <c r="BL289" s="361"/>
      <c r="BM289" s="361"/>
      <c r="BN289" s="361"/>
      <c r="BO289" s="361"/>
      <c r="BP289" s="273">
        <f>+Z289+AC289+AF289+AI289+AL289+AO289+AR289+AU289+AX289+BA289+BD289+BG289+BJ289</f>
        <v>76178126.980000004</v>
      </c>
      <c r="BQ289" s="273">
        <f t="shared" si="73"/>
        <v>64324997</v>
      </c>
      <c r="BR289" s="273">
        <f t="shared" si="73"/>
        <v>64324997</v>
      </c>
      <c r="BS289" s="246" t="s">
        <v>1657</v>
      </c>
      <c r="BT289" s="233"/>
    </row>
    <row r="290" spans="1:72" s="27" customFormat="1" ht="151.5" customHeight="1" x14ac:dyDescent="0.2">
      <c r="A290" s="217">
        <v>319</v>
      </c>
      <c r="B290" s="311" t="s">
        <v>1629</v>
      </c>
      <c r="C290" s="213">
        <v>1</v>
      </c>
      <c r="D290" s="287" t="s">
        <v>1614</v>
      </c>
      <c r="E290" s="213">
        <v>43</v>
      </c>
      <c r="F290" s="216" t="s">
        <v>176</v>
      </c>
      <c r="G290" s="213">
        <v>4302</v>
      </c>
      <c r="H290" s="311" t="s">
        <v>1287</v>
      </c>
      <c r="I290" s="213">
        <v>4302</v>
      </c>
      <c r="J290" s="311" t="s">
        <v>1608</v>
      </c>
      <c r="K290" s="311" t="s">
        <v>1288</v>
      </c>
      <c r="L290" s="362">
        <v>4302075</v>
      </c>
      <c r="M290" s="216" t="s">
        <v>1289</v>
      </c>
      <c r="N290" s="362">
        <v>4302075</v>
      </c>
      <c r="O290" s="216" t="s">
        <v>1289</v>
      </c>
      <c r="P290" s="292">
        <v>430207500</v>
      </c>
      <c r="Q290" s="311" t="s">
        <v>1290</v>
      </c>
      <c r="R290" s="292">
        <v>430207500</v>
      </c>
      <c r="S290" s="311" t="s">
        <v>1290</v>
      </c>
      <c r="T290" s="236" t="s">
        <v>1671</v>
      </c>
      <c r="U290" s="76">
        <v>25</v>
      </c>
      <c r="V290" s="76">
        <v>25</v>
      </c>
      <c r="W290" s="363">
        <v>2020003630010</v>
      </c>
      <c r="X290" s="364" t="s">
        <v>1291</v>
      </c>
      <c r="Y290" s="364" t="s">
        <v>1292</v>
      </c>
      <c r="Z290" s="390">
        <f>4533873991-3465057531</f>
        <v>1068816460</v>
      </c>
      <c r="AA290" s="289"/>
      <c r="AB290" s="289"/>
      <c r="AC290" s="289"/>
      <c r="AD290" s="289"/>
      <c r="AE290" s="289"/>
      <c r="AF290" s="289"/>
      <c r="AG290" s="289"/>
      <c r="AH290" s="289"/>
      <c r="AI290" s="289"/>
      <c r="AJ290" s="289"/>
      <c r="AK290" s="289"/>
      <c r="AL290" s="289"/>
      <c r="AM290" s="289"/>
      <c r="AN290" s="289"/>
      <c r="AO290" s="289"/>
      <c r="AP290" s="289"/>
      <c r="AQ290" s="289"/>
      <c r="AR290" s="289"/>
      <c r="AS290" s="289"/>
      <c r="AT290" s="289"/>
      <c r="AU290" s="289"/>
      <c r="AV290" s="289"/>
      <c r="AW290" s="289"/>
      <c r="AX290" s="289"/>
      <c r="AY290" s="289"/>
      <c r="AZ290" s="289"/>
      <c r="BA290" s="289"/>
      <c r="BB290" s="289"/>
      <c r="BC290" s="289"/>
      <c r="BD290" s="333">
        <f>684120550+100000000</f>
        <v>784120550</v>
      </c>
      <c r="BE290" s="333">
        <v>393645250</v>
      </c>
      <c r="BF290" s="333">
        <v>392145250</v>
      </c>
      <c r="BG290" s="333">
        <f>288360186+2044951320.41</f>
        <v>2333311506.4099998</v>
      </c>
      <c r="BH290" s="333">
        <v>2010987774.1799998</v>
      </c>
      <c r="BI290" s="333">
        <v>1991572774.1799998</v>
      </c>
      <c r="BJ290" s="289"/>
      <c r="BK290" s="289"/>
      <c r="BL290" s="289"/>
      <c r="BM290" s="289"/>
      <c r="BN290" s="289"/>
      <c r="BO290" s="289"/>
      <c r="BP290" s="273">
        <f t="shared" ref="BP290:BR291" si="74">+Z290+AC290+AF290+AI290+AL290+AO290+AR290+AU290+AX290+BA290+BD290+BG290+BJ290</f>
        <v>4186248516.4099998</v>
      </c>
      <c r="BQ290" s="273">
        <f t="shared" si="74"/>
        <v>2404633024.1799998</v>
      </c>
      <c r="BR290" s="273">
        <f t="shared" si="74"/>
        <v>2383718024.1799998</v>
      </c>
      <c r="BS290" s="246" t="s">
        <v>1657</v>
      </c>
      <c r="BT290" s="233"/>
    </row>
    <row r="291" spans="1:72" s="27" customFormat="1" ht="147" customHeight="1" x14ac:dyDescent="0.2">
      <c r="A291" s="217">
        <v>319</v>
      </c>
      <c r="B291" s="311" t="s">
        <v>1629</v>
      </c>
      <c r="C291" s="213">
        <v>1</v>
      </c>
      <c r="D291" s="287" t="s">
        <v>1614</v>
      </c>
      <c r="E291" s="213">
        <v>43</v>
      </c>
      <c r="F291" s="216" t="s">
        <v>176</v>
      </c>
      <c r="G291" s="213">
        <v>4302</v>
      </c>
      <c r="H291" s="311" t="s">
        <v>1287</v>
      </c>
      <c r="I291" s="213">
        <v>4302</v>
      </c>
      <c r="J291" s="311" t="s">
        <v>1608</v>
      </c>
      <c r="K291" s="311" t="s">
        <v>1293</v>
      </c>
      <c r="L291" s="362">
        <v>4302075</v>
      </c>
      <c r="M291" s="216" t="s">
        <v>1289</v>
      </c>
      <c r="N291" s="362">
        <v>4302004</v>
      </c>
      <c r="O291" s="216" t="s">
        <v>1294</v>
      </c>
      <c r="P291" s="76" t="s">
        <v>41</v>
      </c>
      <c r="Q291" s="216" t="s">
        <v>1295</v>
      </c>
      <c r="R291" s="217">
        <v>430200401</v>
      </c>
      <c r="S291" s="216" t="s">
        <v>1296</v>
      </c>
      <c r="T291" s="236" t="s">
        <v>1671</v>
      </c>
      <c r="U291" s="76">
        <v>1</v>
      </c>
      <c r="V291" s="76">
        <v>0.5</v>
      </c>
      <c r="W291" s="363">
        <v>2020003630013</v>
      </c>
      <c r="X291" s="214" t="s">
        <v>1297</v>
      </c>
      <c r="Y291" s="216" t="s">
        <v>1298</v>
      </c>
      <c r="Z291" s="289"/>
      <c r="AA291" s="289"/>
      <c r="AB291" s="289"/>
      <c r="AC291" s="289"/>
      <c r="AD291" s="289"/>
      <c r="AE291" s="289"/>
      <c r="AF291" s="289"/>
      <c r="AG291" s="289"/>
      <c r="AH291" s="289"/>
      <c r="AI291" s="289"/>
      <c r="AJ291" s="289"/>
      <c r="AK291" s="289"/>
      <c r="AL291" s="289"/>
      <c r="AM291" s="289"/>
      <c r="AN291" s="289"/>
      <c r="AO291" s="289"/>
      <c r="AP291" s="289"/>
      <c r="AQ291" s="289"/>
      <c r="AR291" s="289"/>
      <c r="AS291" s="289"/>
      <c r="AT291" s="289"/>
      <c r="AU291" s="289"/>
      <c r="AV291" s="289"/>
      <c r="AW291" s="289"/>
      <c r="AX291" s="289"/>
      <c r="AY291" s="289"/>
      <c r="AZ291" s="289"/>
      <c r="BA291" s="289"/>
      <c r="BB291" s="289"/>
      <c r="BC291" s="289"/>
      <c r="BD291" s="239">
        <f>35000000+91882074.64</f>
        <v>126882074.64</v>
      </c>
      <c r="BE291" s="235">
        <v>76411332</v>
      </c>
      <c r="BF291" s="239">
        <v>76411332</v>
      </c>
      <c r="BG291" s="235"/>
      <c r="BH291" s="235"/>
      <c r="BI291" s="235"/>
      <c r="BJ291" s="289"/>
      <c r="BK291" s="289"/>
      <c r="BL291" s="289"/>
      <c r="BM291" s="289"/>
      <c r="BN291" s="289"/>
      <c r="BO291" s="289"/>
      <c r="BP291" s="273">
        <f t="shared" si="74"/>
        <v>126882074.64</v>
      </c>
      <c r="BQ291" s="273">
        <f t="shared" si="74"/>
        <v>76411332</v>
      </c>
      <c r="BR291" s="273">
        <f t="shared" si="74"/>
        <v>76411332</v>
      </c>
      <c r="BS291" s="246" t="s">
        <v>1657</v>
      </c>
      <c r="BT291" s="233"/>
    </row>
    <row r="292" spans="1:72" s="27" customFormat="1" ht="175.5" customHeight="1" x14ac:dyDescent="0.2">
      <c r="A292" s="217">
        <v>320</v>
      </c>
      <c r="B292" s="311" t="s">
        <v>1630</v>
      </c>
      <c r="C292" s="213">
        <v>1</v>
      </c>
      <c r="D292" s="287" t="s">
        <v>1614</v>
      </c>
      <c r="E292" s="213">
        <v>43</v>
      </c>
      <c r="F292" s="216" t="s">
        <v>176</v>
      </c>
      <c r="G292" s="213">
        <v>4301</v>
      </c>
      <c r="H292" s="311" t="s">
        <v>1564</v>
      </c>
      <c r="I292" s="213">
        <v>4301</v>
      </c>
      <c r="J292" s="311" t="s">
        <v>1565</v>
      </c>
      <c r="K292" s="216" t="s">
        <v>178</v>
      </c>
      <c r="L292" s="76" t="s">
        <v>41</v>
      </c>
      <c r="M292" s="303" t="s">
        <v>1300</v>
      </c>
      <c r="N292" s="213">
        <v>4301004</v>
      </c>
      <c r="O292" s="303" t="s">
        <v>180</v>
      </c>
      <c r="P292" s="76" t="s">
        <v>41</v>
      </c>
      <c r="Q292" s="303" t="s">
        <v>1301</v>
      </c>
      <c r="R292" s="304">
        <v>430100401</v>
      </c>
      <c r="S292" s="303" t="s">
        <v>182</v>
      </c>
      <c r="T292" s="236" t="s">
        <v>1673</v>
      </c>
      <c r="U292" s="76">
        <v>3</v>
      </c>
      <c r="V292" s="76">
        <v>13</v>
      </c>
      <c r="W292" s="324" t="s">
        <v>1302</v>
      </c>
      <c r="X292" s="303" t="s">
        <v>1303</v>
      </c>
      <c r="Y292" s="303" t="s">
        <v>1304</v>
      </c>
      <c r="Z292" s="312">
        <f>308302422.9+382161654.86</f>
        <v>690464077.75999999</v>
      </c>
      <c r="AA292" s="550">
        <v>683590194.49999976</v>
      </c>
      <c r="AB292" s="550">
        <v>683590194.49999976</v>
      </c>
      <c r="AC292" s="289"/>
      <c r="AD292" s="289"/>
      <c r="AE292" s="289"/>
      <c r="AF292" s="289"/>
      <c r="AG292" s="289"/>
      <c r="AH292" s="289"/>
      <c r="AI292" s="289"/>
      <c r="AJ292" s="289"/>
      <c r="AK292" s="289"/>
      <c r="AL292" s="289"/>
      <c r="AM292" s="289"/>
      <c r="AN292" s="289"/>
      <c r="AO292" s="289"/>
      <c r="AP292" s="289"/>
      <c r="AQ292" s="289"/>
      <c r="AR292" s="289"/>
      <c r="AS292" s="289"/>
      <c r="AT292" s="289"/>
      <c r="AU292" s="289"/>
      <c r="AV292" s="289"/>
      <c r="AW292" s="289"/>
      <c r="AX292" s="289"/>
      <c r="AY292" s="289"/>
      <c r="AZ292" s="289"/>
      <c r="BA292" s="289"/>
      <c r="BB292" s="289"/>
      <c r="BC292" s="289"/>
      <c r="BD292" s="322"/>
      <c r="BE292" s="322"/>
      <c r="BF292" s="322"/>
      <c r="BG292" s="314"/>
      <c r="BH292" s="314"/>
      <c r="BI292" s="314"/>
      <c r="BJ292" s="289"/>
      <c r="BK292" s="289"/>
      <c r="BL292" s="289"/>
      <c r="BM292" s="289"/>
      <c r="BN292" s="289"/>
      <c r="BO292" s="289"/>
      <c r="BP292" s="273">
        <f t="shared" ref="BP292:BR294" si="75">+Z292+AC292+AF292+AI292+AL292+AO292+AR292+AU292+AX292+BA292+BD292+BG292+BJ292</f>
        <v>690464077.75999999</v>
      </c>
      <c r="BQ292" s="273">
        <f t="shared" si="75"/>
        <v>683590194.49999976</v>
      </c>
      <c r="BR292" s="273">
        <f t="shared" si="75"/>
        <v>683590194.49999976</v>
      </c>
      <c r="BS292" s="246" t="s">
        <v>1658</v>
      </c>
      <c r="BT292" s="233"/>
    </row>
    <row r="293" spans="1:72" s="27" customFormat="1" ht="131.25" customHeight="1" x14ac:dyDescent="0.2">
      <c r="A293" s="217">
        <v>320</v>
      </c>
      <c r="B293" s="311" t="s">
        <v>1630</v>
      </c>
      <c r="C293" s="213">
        <v>1</v>
      </c>
      <c r="D293" s="287" t="s">
        <v>1614</v>
      </c>
      <c r="E293" s="213">
        <v>22</v>
      </c>
      <c r="F293" s="310" t="s">
        <v>156</v>
      </c>
      <c r="G293" s="213">
        <v>2201</v>
      </c>
      <c r="H293" s="216" t="s">
        <v>277</v>
      </c>
      <c r="I293" s="213">
        <v>2201</v>
      </c>
      <c r="J293" s="216" t="s">
        <v>1587</v>
      </c>
      <c r="K293" s="216" t="s">
        <v>158</v>
      </c>
      <c r="L293" s="76" t="s">
        <v>41</v>
      </c>
      <c r="M293" s="216" t="s">
        <v>674</v>
      </c>
      <c r="N293" s="304">
        <v>2201062</v>
      </c>
      <c r="O293" s="216" t="s">
        <v>160</v>
      </c>
      <c r="P293" s="76" t="s">
        <v>41</v>
      </c>
      <c r="Q293" s="216" t="s">
        <v>161</v>
      </c>
      <c r="R293" s="213">
        <v>220106200</v>
      </c>
      <c r="S293" s="216" t="s">
        <v>162</v>
      </c>
      <c r="T293" s="236" t="s">
        <v>1673</v>
      </c>
      <c r="U293" s="76">
        <v>15</v>
      </c>
      <c r="V293" s="76">
        <v>9</v>
      </c>
      <c r="W293" s="324" t="s">
        <v>1305</v>
      </c>
      <c r="X293" s="303" t="s">
        <v>1306</v>
      </c>
      <c r="Y293" s="303" t="s">
        <v>1307</v>
      </c>
      <c r="Z293" s="312">
        <f>308302422.9+20706441.05</f>
        <v>329008863.94999999</v>
      </c>
      <c r="AA293" s="546">
        <v>290761030.31</v>
      </c>
      <c r="AB293" s="546">
        <v>290761030.31</v>
      </c>
      <c r="AC293" s="289"/>
      <c r="AD293" s="289"/>
      <c r="AE293" s="289"/>
      <c r="AF293" s="289"/>
      <c r="AG293" s="289"/>
      <c r="AH293" s="289"/>
      <c r="AI293" s="289"/>
      <c r="AJ293" s="289"/>
      <c r="AK293" s="289"/>
      <c r="AL293" s="289"/>
      <c r="AM293" s="289"/>
      <c r="AN293" s="289"/>
      <c r="AO293" s="289"/>
      <c r="AP293" s="289"/>
      <c r="AQ293" s="289"/>
      <c r="AR293" s="289"/>
      <c r="AS293" s="289"/>
      <c r="AT293" s="289"/>
      <c r="AU293" s="289"/>
      <c r="AV293" s="289"/>
      <c r="AW293" s="289"/>
      <c r="AX293" s="289"/>
      <c r="AY293" s="289"/>
      <c r="AZ293" s="289"/>
      <c r="BA293" s="289"/>
      <c r="BB293" s="289"/>
      <c r="BC293" s="289"/>
      <c r="BD293" s="322"/>
      <c r="BE293" s="322"/>
      <c r="BF293" s="322"/>
      <c r="BG293" s="289"/>
      <c r="BH293" s="289"/>
      <c r="BI293" s="289"/>
      <c r="BJ293" s="306"/>
      <c r="BK293" s="306"/>
      <c r="BL293" s="306"/>
      <c r="BM293" s="306"/>
      <c r="BN293" s="306"/>
      <c r="BO293" s="306"/>
      <c r="BP293" s="273">
        <f t="shared" si="75"/>
        <v>329008863.94999999</v>
      </c>
      <c r="BQ293" s="273">
        <f t="shared" si="75"/>
        <v>290761030.31</v>
      </c>
      <c r="BR293" s="273">
        <f t="shared" si="75"/>
        <v>290761030.31</v>
      </c>
      <c r="BS293" s="246" t="s">
        <v>1658</v>
      </c>
      <c r="BT293" s="233"/>
    </row>
    <row r="294" spans="1:72" s="27" customFormat="1" ht="132" customHeight="1" x14ac:dyDescent="0.2">
      <c r="A294" s="217">
        <v>320</v>
      </c>
      <c r="B294" s="311" t="s">
        <v>1630</v>
      </c>
      <c r="C294" s="217">
        <v>3</v>
      </c>
      <c r="D294" s="303" t="s">
        <v>1631</v>
      </c>
      <c r="E294" s="217">
        <v>24</v>
      </c>
      <c r="F294" s="217" t="s">
        <v>187</v>
      </c>
      <c r="G294" s="213">
        <v>2402</v>
      </c>
      <c r="H294" s="303" t="s">
        <v>188</v>
      </c>
      <c r="I294" s="213">
        <v>2402</v>
      </c>
      <c r="J294" s="303" t="s">
        <v>1590</v>
      </c>
      <c r="K294" s="303" t="s">
        <v>1308</v>
      </c>
      <c r="L294" s="76" t="s">
        <v>41</v>
      </c>
      <c r="M294" s="216" t="s">
        <v>196</v>
      </c>
      <c r="N294" s="304">
        <v>2402041</v>
      </c>
      <c r="O294" s="216" t="s">
        <v>197</v>
      </c>
      <c r="P294" s="76" t="s">
        <v>41</v>
      </c>
      <c r="Q294" s="216" t="s">
        <v>198</v>
      </c>
      <c r="R294" s="304">
        <v>240204100</v>
      </c>
      <c r="S294" s="216" t="s">
        <v>199</v>
      </c>
      <c r="T294" s="236" t="s">
        <v>1671</v>
      </c>
      <c r="U294" s="313">
        <v>130</v>
      </c>
      <c r="V294" s="313">
        <v>5</v>
      </c>
      <c r="W294" s="324" t="s">
        <v>1309</v>
      </c>
      <c r="X294" s="365" t="s">
        <v>1310</v>
      </c>
      <c r="Y294" s="216" t="s">
        <v>1311</v>
      </c>
      <c r="Z294" s="289"/>
      <c r="AA294" s="551"/>
      <c r="AB294" s="551"/>
      <c r="AC294" s="289"/>
      <c r="AD294" s="289"/>
      <c r="AE294" s="289"/>
      <c r="AF294" s="322"/>
      <c r="AG294" s="322"/>
      <c r="AH294" s="322"/>
      <c r="AI294" s="289"/>
      <c r="AJ294" s="289"/>
      <c r="AK294" s="289"/>
      <c r="AL294" s="289"/>
      <c r="AM294" s="289"/>
      <c r="AN294" s="289"/>
      <c r="AO294" s="289"/>
      <c r="AP294" s="289"/>
      <c r="AQ294" s="289"/>
      <c r="AR294" s="289"/>
      <c r="AS294" s="289"/>
      <c r="AT294" s="289"/>
      <c r="AU294" s="289"/>
      <c r="AV294" s="289"/>
      <c r="AW294" s="289"/>
      <c r="AX294" s="289"/>
      <c r="AY294" s="289"/>
      <c r="AZ294" s="289"/>
      <c r="BA294" s="289"/>
      <c r="BB294" s="289"/>
      <c r="BC294" s="289"/>
      <c r="BD294" s="322"/>
      <c r="BE294" s="322"/>
      <c r="BF294" s="322"/>
      <c r="BG294" s="314">
        <f>199461691.2+149435040</f>
        <v>348896731.19999999</v>
      </c>
      <c r="BH294" s="546">
        <v>347384923.11000001</v>
      </c>
      <c r="BI294" s="546">
        <v>240924657.09</v>
      </c>
      <c r="BJ294" s="289"/>
      <c r="BK294" s="289"/>
      <c r="BL294" s="289"/>
      <c r="BM294" s="289"/>
      <c r="BN294" s="289"/>
      <c r="BO294" s="289"/>
      <c r="BP294" s="273">
        <f t="shared" si="75"/>
        <v>348896731.19999999</v>
      </c>
      <c r="BQ294" s="273">
        <f t="shared" si="75"/>
        <v>347384923.11000001</v>
      </c>
      <c r="BR294" s="273">
        <f t="shared" si="75"/>
        <v>240924657.09</v>
      </c>
      <c r="BS294" s="246" t="s">
        <v>1658</v>
      </c>
      <c r="BT294" s="233"/>
    </row>
    <row r="295" spans="1:72" s="27" customFormat="1" ht="105" customHeight="1" x14ac:dyDescent="0.2">
      <c r="A295" s="217">
        <v>320</v>
      </c>
      <c r="B295" s="311" t="s">
        <v>1630</v>
      </c>
      <c r="C295" s="217">
        <v>3</v>
      </c>
      <c r="D295" s="303" t="s">
        <v>1631</v>
      </c>
      <c r="E295" s="213">
        <v>40</v>
      </c>
      <c r="F295" s="216" t="s">
        <v>221</v>
      </c>
      <c r="G295" s="270">
        <v>4001</v>
      </c>
      <c r="H295" s="216" t="s">
        <v>222</v>
      </c>
      <c r="I295" s="270">
        <v>4001</v>
      </c>
      <c r="J295" s="216" t="s">
        <v>1603</v>
      </c>
      <c r="K295" s="216" t="s">
        <v>223</v>
      </c>
      <c r="L295" s="270">
        <v>4001001</v>
      </c>
      <c r="M295" s="216" t="s">
        <v>1312</v>
      </c>
      <c r="N295" s="270">
        <v>4001001</v>
      </c>
      <c r="O295" s="216" t="s">
        <v>1312</v>
      </c>
      <c r="P295" s="292" t="s">
        <v>1313</v>
      </c>
      <c r="Q295" s="311" t="s">
        <v>1314</v>
      </c>
      <c r="R295" s="292" t="s">
        <v>1313</v>
      </c>
      <c r="S295" s="311" t="s">
        <v>1314</v>
      </c>
      <c r="T295" s="236" t="s">
        <v>1673</v>
      </c>
      <c r="U295" s="76">
        <v>3</v>
      </c>
      <c r="V295" s="76">
        <v>0</v>
      </c>
      <c r="W295" s="324" t="s">
        <v>1315</v>
      </c>
      <c r="X295" s="365" t="s">
        <v>1316</v>
      </c>
      <c r="Y295" s="216" t="s">
        <v>1317</v>
      </c>
      <c r="Z295" s="312">
        <v>0</v>
      </c>
      <c r="AA295" s="552"/>
      <c r="AB295" s="552"/>
      <c r="AC295" s="289"/>
      <c r="AD295" s="289"/>
      <c r="AE295" s="289"/>
      <c r="AF295" s="289"/>
      <c r="AG295" s="289"/>
      <c r="AH295" s="289"/>
      <c r="AI295" s="289"/>
      <c r="AJ295" s="289"/>
      <c r="AK295" s="289"/>
      <c r="AL295" s="289"/>
      <c r="AM295" s="289"/>
      <c r="AN295" s="289"/>
      <c r="AO295" s="289"/>
      <c r="AP295" s="289"/>
      <c r="AQ295" s="289"/>
      <c r="AR295" s="289"/>
      <c r="AS295" s="289"/>
      <c r="AT295" s="289"/>
      <c r="AU295" s="289"/>
      <c r="AV295" s="289"/>
      <c r="AW295" s="289"/>
      <c r="AX295" s="289"/>
      <c r="AY295" s="289"/>
      <c r="AZ295" s="289"/>
      <c r="BA295" s="289"/>
      <c r="BB295" s="289"/>
      <c r="BC295" s="289"/>
      <c r="BD295" s="322"/>
      <c r="BE295" s="322"/>
      <c r="BF295" s="322"/>
      <c r="BG295" s="289">
        <f>9973084.56-9973084.56</f>
        <v>0</v>
      </c>
      <c r="BH295" s="551"/>
      <c r="BI295" s="551"/>
      <c r="BJ295" s="306"/>
      <c r="BK295" s="306"/>
      <c r="BL295" s="306"/>
      <c r="BM295" s="306"/>
      <c r="BN295" s="306"/>
      <c r="BO295" s="306"/>
      <c r="BP295" s="273">
        <f t="shared" ref="BP295:BP301" si="76">+Z295+AC295+AF295+AI295+AL295+AO295+AR295+AU295+AX295+BA295+BD295+BG295+BJ295</f>
        <v>0</v>
      </c>
      <c r="BQ295" s="273">
        <f t="shared" ref="BQ295:BQ301" si="77">+AA295+AD295+AG295+AJ295+AM295+AP295+AS295+AV295+AY295+BB295+BE295+BH295+BK295</f>
        <v>0</v>
      </c>
      <c r="BR295" s="273">
        <f t="shared" ref="BR295:BR301" si="78">+AB295+AE295+AH295+AK295+AN295+AQ295+AT295+AW295+AZ295+BC295+BF295+BI295+BL295</f>
        <v>0</v>
      </c>
      <c r="BS295" s="246" t="s">
        <v>1658</v>
      </c>
      <c r="BT295" s="233"/>
    </row>
    <row r="296" spans="1:72" s="27" customFormat="1" ht="90" customHeight="1" x14ac:dyDescent="0.2">
      <c r="A296" s="217">
        <v>320</v>
      </c>
      <c r="B296" s="311" t="s">
        <v>1630</v>
      </c>
      <c r="C296" s="217">
        <v>3</v>
      </c>
      <c r="D296" s="303" t="s">
        <v>1631</v>
      </c>
      <c r="E296" s="213">
        <v>40</v>
      </c>
      <c r="F296" s="216" t="s">
        <v>221</v>
      </c>
      <c r="G296" s="270">
        <v>4001</v>
      </c>
      <c r="H296" s="216" t="s">
        <v>222</v>
      </c>
      <c r="I296" s="270">
        <v>4001</v>
      </c>
      <c r="J296" s="216" t="s">
        <v>1603</v>
      </c>
      <c r="K296" s="216" t="s">
        <v>1318</v>
      </c>
      <c r="L296" s="270">
        <v>4001017</v>
      </c>
      <c r="M296" s="216" t="s">
        <v>1319</v>
      </c>
      <c r="N296" s="270">
        <v>4001017</v>
      </c>
      <c r="O296" s="216" t="s">
        <v>1319</v>
      </c>
      <c r="P296" s="292" t="s">
        <v>1320</v>
      </c>
      <c r="Q296" s="311" t="s">
        <v>1321</v>
      </c>
      <c r="R296" s="292" t="s">
        <v>1320</v>
      </c>
      <c r="S296" s="311" t="s">
        <v>1321</v>
      </c>
      <c r="T296" s="236" t="s">
        <v>1673</v>
      </c>
      <c r="U296" s="76">
        <v>25</v>
      </c>
      <c r="V296" s="76">
        <v>0</v>
      </c>
      <c r="W296" s="324" t="s">
        <v>1315</v>
      </c>
      <c r="X296" s="365" t="s">
        <v>1316</v>
      </c>
      <c r="Y296" s="216" t="s">
        <v>1317</v>
      </c>
      <c r="Z296" s="312">
        <f>51383737.16+62209722.85+22290833.34</f>
        <v>135884293.34999999</v>
      </c>
      <c r="AA296" s="546">
        <v>133553363.322524</v>
      </c>
      <c r="AB296" s="547">
        <v>128436696.65252399</v>
      </c>
      <c r="AC296" s="289"/>
      <c r="AD296" s="289"/>
      <c r="AE296" s="289"/>
      <c r="AF296" s="289"/>
      <c r="AG296" s="289"/>
      <c r="AH296" s="289"/>
      <c r="AI296" s="289"/>
      <c r="AJ296" s="289"/>
      <c r="AK296" s="289"/>
      <c r="AL296" s="289"/>
      <c r="AM296" s="289"/>
      <c r="AN296" s="289"/>
      <c r="AO296" s="289"/>
      <c r="AP296" s="289"/>
      <c r="AQ296" s="289"/>
      <c r="AR296" s="289"/>
      <c r="AS296" s="289"/>
      <c r="AT296" s="289"/>
      <c r="AU296" s="289"/>
      <c r="AV296" s="289"/>
      <c r="AW296" s="289"/>
      <c r="AX296" s="289"/>
      <c r="AY296" s="289"/>
      <c r="AZ296" s="289"/>
      <c r="BA296" s="289"/>
      <c r="BB296" s="289"/>
      <c r="BC296" s="289"/>
      <c r="BD296" s="322"/>
      <c r="BE296" s="322"/>
      <c r="BF296" s="322"/>
      <c r="BG296" s="289">
        <f>29919253.68+27767253.39+12918750+7031749.71</f>
        <v>77637006.779999986</v>
      </c>
      <c r="BH296" s="546">
        <v>77435830.241490006</v>
      </c>
      <c r="BI296" s="546">
        <v>22102500</v>
      </c>
      <c r="BJ296" s="306"/>
      <c r="BK296" s="306"/>
      <c r="BL296" s="306"/>
      <c r="BM296" s="306"/>
      <c r="BN296" s="306"/>
      <c r="BO296" s="306"/>
      <c r="BP296" s="273">
        <f t="shared" si="76"/>
        <v>213521300.13</v>
      </c>
      <c r="BQ296" s="273">
        <f t="shared" si="77"/>
        <v>210989193.56401402</v>
      </c>
      <c r="BR296" s="273">
        <f t="shared" si="78"/>
        <v>150539196.65252399</v>
      </c>
      <c r="BS296" s="246" t="s">
        <v>1658</v>
      </c>
      <c r="BT296" s="233"/>
    </row>
    <row r="297" spans="1:72" s="27" customFormat="1" ht="96" customHeight="1" x14ac:dyDescent="0.2">
      <c r="A297" s="217">
        <v>320</v>
      </c>
      <c r="B297" s="311" t="s">
        <v>1630</v>
      </c>
      <c r="C297" s="217">
        <v>3</v>
      </c>
      <c r="D297" s="303" t="s">
        <v>1631</v>
      </c>
      <c r="E297" s="213">
        <v>40</v>
      </c>
      <c r="F297" s="216" t="s">
        <v>221</v>
      </c>
      <c r="G297" s="270">
        <v>4001</v>
      </c>
      <c r="H297" s="216" t="s">
        <v>222</v>
      </c>
      <c r="I297" s="270">
        <v>4001</v>
      </c>
      <c r="J297" s="216" t="s">
        <v>1603</v>
      </c>
      <c r="K297" s="216" t="s">
        <v>223</v>
      </c>
      <c r="L297" s="270">
        <v>4001018</v>
      </c>
      <c r="M297" s="216" t="s">
        <v>1322</v>
      </c>
      <c r="N297" s="270">
        <v>4001018</v>
      </c>
      <c r="O297" s="216" t="s">
        <v>1322</v>
      </c>
      <c r="P297" s="292" t="s">
        <v>1323</v>
      </c>
      <c r="Q297" s="311" t="s">
        <v>1324</v>
      </c>
      <c r="R297" s="292" t="s">
        <v>1323</v>
      </c>
      <c r="S297" s="311" t="s">
        <v>1324</v>
      </c>
      <c r="T297" s="236" t="s">
        <v>1673</v>
      </c>
      <c r="U297" s="76">
        <v>75</v>
      </c>
      <c r="V297" s="76">
        <v>0</v>
      </c>
      <c r="W297" s="324" t="s">
        <v>1315</v>
      </c>
      <c r="X297" s="365" t="s">
        <v>1316</v>
      </c>
      <c r="Y297" s="216" t="s">
        <v>1317</v>
      </c>
      <c r="Z297" s="312">
        <f>143874464.02-70555072.61-38000000</f>
        <v>35319391.410000011</v>
      </c>
      <c r="AA297" s="553"/>
      <c r="AB297" s="552"/>
      <c r="AC297" s="289"/>
      <c r="AD297" s="289"/>
      <c r="AE297" s="289"/>
      <c r="AF297" s="289"/>
      <c r="AG297" s="289"/>
      <c r="AH297" s="289"/>
      <c r="AI297" s="289"/>
      <c r="AJ297" s="289"/>
      <c r="AK297" s="289"/>
      <c r="AL297" s="289"/>
      <c r="AM297" s="289"/>
      <c r="AN297" s="289"/>
      <c r="AO297" s="289"/>
      <c r="AP297" s="289"/>
      <c r="AQ297" s="289"/>
      <c r="AR297" s="289"/>
      <c r="AS297" s="289"/>
      <c r="AT297" s="289"/>
      <c r="AU297" s="289"/>
      <c r="AV297" s="289"/>
      <c r="AW297" s="289"/>
      <c r="AX297" s="289"/>
      <c r="AY297" s="289"/>
      <c r="AZ297" s="289"/>
      <c r="BA297" s="289"/>
      <c r="BB297" s="289"/>
      <c r="BC297" s="289"/>
      <c r="BD297" s="322"/>
      <c r="BE297" s="322"/>
      <c r="BF297" s="322"/>
      <c r="BG297" s="289">
        <f>59838507.38-8822723.33-49193298.55</f>
        <v>1822485.5000000075</v>
      </c>
      <c r="BH297" s="551"/>
      <c r="BI297" s="551"/>
      <c r="BJ297" s="306"/>
      <c r="BK297" s="306"/>
      <c r="BL297" s="306"/>
      <c r="BM297" s="306"/>
      <c r="BN297" s="306"/>
      <c r="BO297" s="306"/>
      <c r="BP297" s="273">
        <f t="shared" si="76"/>
        <v>37141876.910000019</v>
      </c>
      <c r="BQ297" s="273">
        <f t="shared" si="77"/>
        <v>0</v>
      </c>
      <c r="BR297" s="273">
        <f t="shared" si="78"/>
        <v>0</v>
      </c>
      <c r="BS297" s="246" t="s">
        <v>1658</v>
      </c>
      <c r="BT297" s="233"/>
    </row>
    <row r="298" spans="1:72" s="27" customFormat="1" ht="97.5" customHeight="1" x14ac:dyDescent="0.2">
      <c r="A298" s="217">
        <v>320</v>
      </c>
      <c r="B298" s="311" t="s">
        <v>1630</v>
      </c>
      <c r="C298" s="217">
        <v>3</v>
      </c>
      <c r="D298" s="303" t="s">
        <v>1631</v>
      </c>
      <c r="E298" s="213">
        <v>40</v>
      </c>
      <c r="F298" s="216" t="s">
        <v>221</v>
      </c>
      <c r="G298" s="270">
        <v>4001</v>
      </c>
      <c r="H298" s="216" t="s">
        <v>222</v>
      </c>
      <c r="I298" s="270">
        <v>4001</v>
      </c>
      <c r="J298" s="216" t="s">
        <v>1603</v>
      </c>
      <c r="K298" s="216" t="s">
        <v>223</v>
      </c>
      <c r="L298" s="270">
        <v>4001030</v>
      </c>
      <c r="M298" s="216" t="s">
        <v>1325</v>
      </c>
      <c r="N298" s="270">
        <v>4001030</v>
      </c>
      <c r="O298" s="216" t="s">
        <v>1325</v>
      </c>
      <c r="P298" s="292" t="s">
        <v>1326</v>
      </c>
      <c r="Q298" s="311" t="s">
        <v>247</v>
      </c>
      <c r="R298" s="292" t="s">
        <v>1326</v>
      </c>
      <c r="S298" s="311" t="s">
        <v>247</v>
      </c>
      <c r="T298" s="236" t="s">
        <v>1673</v>
      </c>
      <c r="U298" s="76">
        <v>3</v>
      </c>
      <c r="V298" s="76">
        <v>0</v>
      </c>
      <c r="W298" s="324" t="s">
        <v>1315</v>
      </c>
      <c r="X298" s="365" t="s">
        <v>1316</v>
      </c>
      <c r="Y298" s="216" t="s">
        <v>1317</v>
      </c>
      <c r="Z298" s="312">
        <v>0</v>
      </c>
      <c r="AA298" s="552"/>
      <c r="AB298" s="552"/>
      <c r="AC298" s="289"/>
      <c r="AD298" s="289"/>
      <c r="AE298" s="289"/>
      <c r="AF298" s="289"/>
      <c r="AG298" s="289"/>
      <c r="AH298" s="289"/>
      <c r="AI298" s="289"/>
      <c r="AJ298" s="289"/>
      <c r="AK298" s="289"/>
      <c r="AL298" s="289"/>
      <c r="AM298" s="289"/>
      <c r="AN298" s="289"/>
      <c r="AO298" s="289"/>
      <c r="AP298" s="289"/>
      <c r="AQ298" s="289"/>
      <c r="AR298" s="289"/>
      <c r="AS298" s="289"/>
      <c r="AT298" s="289"/>
      <c r="AU298" s="289"/>
      <c r="AV298" s="289"/>
      <c r="AW298" s="289"/>
      <c r="AX298" s="289"/>
      <c r="AY298" s="289"/>
      <c r="AZ298" s="289"/>
      <c r="BA298" s="289"/>
      <c r="BB298" s="289"/>
      <c r="BC298" s="289"/>
      <c r="BD298" s="314"/>
      <c r="BE298" s="314"/>
      <c r="BF298" s="314"/>
      <c r="BG298" s="289">
        <v>9973084.5600000005</v>
      </c>
      <c r="BH298" s="555">
        <v>9743845</v>
      </c>
      <c r="BI298" s="555">
        <v>9743845</v>
      </c>
      <c r="BJ298" s="306"/>
      <c r="BK298" s="306"/>
      <c r="BL298" s="306"/>
      <c r="BM298" s="306"/>
      <c r="BN298" s="306"/>
      <c r="BO298" s="306"/>
      <c r="BP298" s="273">
        <f t="shared" si="76"/>
        <v>9973084.5600000005</v>
      </c>
      <c r="BQ298" s="273">
        <f t="shared" si="77"/>
        <v>9743845</v>
      </c>
      <c r="BR298" s="273">
        <f t="shared" si="78"/>
        <v>9743845</v>
      </c>
      <c r="BS298" s="246" t="s">
        <v>1658</v>
      </c>
      <c r="BT298" s="233"/>
    </row>
    <row r="299" spans="1:72" s="27" customFormat="1" ht="97.5" customHeight="1" x14ac:dyDescent="0.2">
      <c r="A299" s="217">
        <v>320</v>
      </c>
      <c r="B299" s="311" t="s">
        <v>1630</v>
      </c>
      <c r="C299" s="217">
        <v>3</v>
      </c>
      <c r="D299" s="303" t="s">
        <v>1631</v>
      </c>
      <c r="E299" s="213">
        <v>40</v>
      </c>
      <c r="F299" s="216" t="s">
        <v>221</v>
      </c>
      <c r="G299" s="270">
        <v>4001</v>
      </c>
      <c r="H299" s="216" t="s">
        <v>222</v>
      </c>
      <c r="I299" s="270">
        <v>4001</v>
      </c>
      <c r="J299" s="216" t="s">
        <v>1603</v>
      </c>
      <c r="K299" s="216" t="s">
        <v>223</v>
      </c>
      <c r="L299" s="270">
        <v>4001031</v>
      </c>
      <c r="M299" s="216" t="s">
        <v>1327</v>
      </c>
      <c r="N299" s="270">
        <v>4001031</v>
      </c>
      <c r="O299" s="216" t="s">
        <v>1327</v>
      </c>
      <c r="P299" s="292">
        <v>400103103</v>
      </c>
      <c r="Q299" s="216" t="s">
        <v>1328</v>
      </c>
      <c r="R299" s="292">
        <v>400103103</v>
      </c>
      <c r="S299" s="216" t="s">
        <v>1328</v>
      </c>
      <c r="T299" s="236" t="s">
        <v>1673</v>
      </c>
      <c r="U299" s="76">
        <v>8</v>
      </c>
      <c r="V299" s="76">
        <v>0</v>
      </c>
      <c r="W299" s="324" t="s">
        <v>1315</v>
      </c>
      <c r="X299" s="365" t="s">
        <v>1316</v>
      </c>
      <c r="Y299" s="216" t="s">
        <v>1317</v>
      </c>
      <c r="Z299" s="354">
        <f>99360196.46+60000000-27836408.05</f>
        <v>131523788.40999998</v>
      </c>
      <c r="AA299" s="554">
        <v>96668849.040000007</v>
      </c>
      <c r="AB299" s="554">
        <v>96668849.039999992</v>
      </c>
      <c r="AC299" s="289"/>
      <c r="AD299" s="289"/>
      <c r="AE299" s="289"/>
      <c r="AF299" s="289"/>
      <c r="AG299" s="289"/>
      <c r="AH299" s="289"/>
      <c r="AI299" s="289"/>
      <c r="AJ299" s="289"/>
      <c r="AK299" s="289"/>
      <c r="AL299" s="289"/>
      <c r="AM299" s="289"/>
      <c r="AN299" s="289"/>
      <c r="AO299" s="289"/>
      <c r="AP299" s="289"/>
      <c r="AQ299" s="289"/>
      <c r="AR299" s="289"/>
      <c r="AS299" s="289"/>
      <c r="AT299" s="289"/>
      <c r="AU299" s="289"/>
      <c r="AV299" s="289"/>
      <c r="AW299" s="289"/>
      <c r="AX299" s="289"/>
      <c r="AY299" s="289"/>
      <c r="AZ299" s="289"/>
      <c r="BA299" s="289"/>
      <c r="BB299" s="289"/>
      <c r="BC299" s="289"/>
      <c r="BD299" s="314"/>
      <c r="BE299" s="314"/>
      <c r="BF299" s="314"/>
      <c r="BG299" s="289">
        <f>598385073.6+110029114.38</f>
        <v>708414187.98000002</v>
      </c>
      <c r="BH299" s="556">
        <v>696816113.6500001</v>
      </c>
      <c r="BI299" s="556">
        <v>696816113.64999998</v>
      </c>
      <c r="BJ299" s="306"/>
      <c r="BK299" s="306"/>
      <c r="BL299" s="306"/>
      <c r="BM299" s="306"/>
      <c r="BN299" s="306"/>
      <c r="BO299" s="306"/>
      <c r="BP299" s="273">
        <f t="shared" si="76"/>
        <v>839937976.38999999</v>
      </c>
      <c r="BQ299" s="273">
        <f t="shared" si="77"/>
        <v>793484962.69000006</v>
      </c>
      <c r="BR299" s="273">
        <f t="shared" si="78"/>
        <v>793484962.68999994</v>
      </c>
      <c r="BS299" s="246" t="s">
        <v>1658</v>
      </c>
      <c r="BT299" s="233"/>
    </row>
    <row r="300" spans="1:72" s="27" customFormat="1" ht="97.5" customHeight="1" x14ac:dyDescent="0.2">
      <c r="A300" s="217">
        <v>320</v>
      </c>
      <c r="B300" s="311" t="s">
        <v>1630</v>
      </c>
      <c r="C300" s="217">
        <v>3</v>
      </c>
      <c r="D300" s="303" t="s">
        <v>1631</v>
      </c>
      <c r="E300" s="213">
        <v>40</v>
      </c>
      <c r="F300" s="216" t="s">
        <v>221</v>
      </c>
      <c r="G300" s="270">
        <v>4001</v>
      </c>
      <c r="H300" s="216" t="s">
        <v>222</v>
      </c>
      <c r="I300" s="270">
        <v>4001</v>
      </c>
      <c r="J300" s="216" t="s">
        <v>1603</v>
      </c>
      <c r="K300" s="216" t="s">
        <v>1318</v>
      </c>
      <c r="L300" s="270" t="s">
        <v>1329</v>
      </c>
      <c r="M300" s="216" t="s">
        <v>1330</v>
      </c>
      <c r="N300" s="270" t="s">
        <v>1329</v>
      </c>
      <c r="O300" s="216" t="s">
        <v>1330</v>
      </c>
      <c r="P300" s="292" t="s">
        <v>1331</v>
      </c>
      <c r="Q300" s="311" t="s">
        <v>1330</v>
      </c>
      <c r="R300" s="292" t="s">
        <v>1331</v>
      </c>
      <c r="S300" s="311" t="s">
        <v>1330</v>
      </c>
      <c r="T300" s="236" t="s">
        <v>1673</v>
      </c>
      <c r="U300" s="76">
        <v>35</v>
      </c>
      <c r="V300" s="76">
        <v>0</v>
      </c>
      <c r="W300" s="324" t="s">
        <v>1315</v>
      </c>
      <c r="X300" s="365" t="s">
        <v>1316</v>
      </c>
      <c r="Y300" s="216" t="s">
        <v>1317</v>
      </c>
      <c r="Z300" s="312">
        <f>71937232.01-57179838.22-14757393.79</f>
        <v>0</v>
      </c>
      <c r="AA300" s="552"/>
      <c r="AB300" s="552"/>
      <c r="AC300" s="289"/>
      <c r="AD300" s="289"/>
      <c r="AE300" s="289"/>
      <c r="AF300" s="289"/>
      <c r="AG300" s="289"/>
      <c r="AH300" s="289"/>
      <c r="AI300" s="289"/>
      <c r="AJ300" s="289"/>
      <c r="AK300" s="289"/>
      <c r="AL300" s="289"/>
      <c r="AM300" s="289"/>
      <c r="AN300" s="289"/>
      <c r="AO300" s="289"/>
      <c r="AP300" s="289"/>
      <c r="AQ300" s="289"/>
      <c r="AR300" s="289"/>
      <c r="AS300" s="289"/>
      <c r="AT300" s="289"/>
      <c r="AU300" s="289"/>
      <c r="AV300" s="289"/>
      <c r="AW300" s="289"/>
      <c r="AX300" s="289"/>
      <c r="AY300" s="289"/>
      <c r="AZ300" s="289"/>
      <c r="BA300" s="289"/>
      <c r="BB300" s="289"/>
      <c r="BC300" s="289"/>
      <c r="BD300" s="314"/>
      <c r="BE300" s="314"/>
      <c r="BF300" s="314"/>
      <c r="BG300" s="289">
        <f>29919253.68-27767253.39-2152000.29</f>
        <v>0</v>
      </c>
      <c r="BH300" s="551"/>
      <c r="BI300" s="551"/>
      <c r="BJ300" s="306"/>
      <c r="BK300" s="306"/>
      <c r="BL300" s="306"/>
      <c r="BM300" s="306"/>
      <c r="BN300" s="306"/>
      <c r="BO300" s="306"/>
      <c r="BP300" s="273">
        <f t="shared" si="76"/>
        <v>0</v>
      </c>
      <c r="BQ300" s="273">
        <f t="shared" si="77"/>
        <v>0</v>
      </c>
      <c r="BR300" s="273">
        <f t="shared" si="78"/>
        <v>0</v>
      </c>
      <c r="BS300" s="246" t="s">
        <v>1658</v>
      </c>
      <c r="BT300" s="233"/>
    </row>
    <row r="301" spans="1:72" s="27" customFormat="1" ht="97.5" customHeight="1" x14ac:dyDescent="0.2">
      <c r="A301" s="217">
        <v>320</v>
      </c>
      <c r="B301" s="311" t="s">
        <v>1630</v>
      </c>
      <c r="C301" s="217">
        <v>3</v>
      </c>
      <c r="D301" s="303" t="s">
        <v>1631</v>
      </c>
      <c r="E301" s="213">
        <v>40</v>
      </c>
      <c r="F301" s="216" t="s">
        <v>221</v>
      </c>
      <c r="G301" s="270">
        <v>4001</v>
      </c>
      <c r="H301" s="216" t="s">
        <v>222</v>
      </c>
      <c r="I301" s="270">
        <v>4001</v>
      </c>
      <c r="J301" s="216" t="s">
        <v>1603</v>
      </c>
      <c r="K301" s="216" t="s">
        <v>223</v>
      </c>
      <c r="L301" s="270" t="s">
        <v>1332</v>
      </c>
      <c r="M301" s="216" t="s">
        <v>226</v>
      </c>
      <c r="N301" s="270" t="s">
        <v>1332</v>
      </c>
      <c r="O301" s="216" t="s">
        <v>226</v>
      </c>
      <c r="P301" s="292">
        <v>400101500</v>
      </c>
      <c r="Q301" s="311" t="s">
        <v>226</v>
      </c>
      <c r="R301" s="292">
        <v>400101500</v>
      </c>
      <c r="S301" s="311" t="s">
        <v>226</v>
      </c>
      <c r="T301" s="236" t="s">
        <v>1673</v>
      </c>
      <c r="U301" s="213">
        <v>50</v>
      </c>
      <c r="V301" s="213">
        <v>14</v>
      </c>
      <c r="W301" s="324" t="s">
        <v>1315</v>
      </c>
      <c r="X301" s="365" t="s">
        <v>1316</v>
      </c>
      <c r="Y301" s="216" t="s">
        <v>1317</v>
      </c>
      <c r="Z301" s="312">
        <v>168342424.03999999</v>
      </c>
      <c r="AA301" s="552">
        <v>47836408.049999997</v>
      </c>
      <c r="AB301" s="552">
        <v>47836408.049999997</v>
      </c>
      <c r="AC301" s="289"/>
      <c r="AD301" s="289"/>
      <c r="AE301" s="289"/>
      <c r="AF301" s="289"/>
      <c r="AG301" s="289"/>
      <c r="AH301" s="289"/>
      <c r="AI301" s="289"/>
      <c r="AJ301" s="289"/>
      <c r="AK301" s="289"/>
      <c r="AL301" s="289"/>
      <c r="AM301" s="289"/>
      <c r="AN301" s="289"/>
      <c r="AO301" s="289"/>
      <c r="AP301" s="289"/>
      <c r="AQ301" s="289"/>
      <c r="AR301" s="289"/>
      <c r="AS301" s="289"/>
      <c r="AT301" s="289"/>
      <c r="AU301" s="289"/>
      <c r="AV301" s="289"/>
      <c r="AW301" s="289"/>
      <c r="AX301" s="289"/>
      <c r="AY301" s="289"/>
      <c r="AZ301" s="289"/>
      <c r="BA301" s="289"/>
      <c r="BB301" s="289"/>
      <c r="BC301" s="289"/>
      <c r="BD301" s="314"/>
      <c r="BE301" s="314"/>
      <c r="BF301" s="314"/>
      <c r="BG301" s="289"/>
      <c r="BH301" s="556"/>
      <c r="BI301" s="551"/>
      <c r="BJ301" s="306"/>
      <c r="BK301" s="306"/>
      <c r="BL301" s="306"/>
      <c r="BM301" s="306"/>
      <c r="BN301" s="306"/>
      <c r="BO301" s="306"/>
      <c r="BP301" s="273">
        <f t="shared" si="76"/>
        <v>168342424.03999999</v>
      </c>
      <c r="BQ301" s="273">
        <f t="shared" si="77"/>
        <v>47836408.049999997</v>
      </c>
      <c r="BR301" s="273">
        <f t="shared" si="78"/>
        <v>47836408.049999997</v>
      </c>
      <c r="BS301" s="246" t="s">
        <v>1658</v>
      </c>
      <c r="BT301" s="233"/>
    </row>
    <row r="302" spans="1:72" s="27" customFormat="1" ht="132.75" customHeight="1" x14ac:dyDescent="0.2">
      <c r="A302" s="217">
        <v>321</v>
      </c>
      <c r="B302" s="311" t="s">
        <v>1632</v>
      </c>
      <c r="C302" s="217">
        <v>3</v>
      </c>
      <c r="D302" s="303" t="s">
        <v>1631</v>
      </c>
      <c r="E302" s="213">
        <v>24</v>
      </c>
      <c r="F302" s="310" t="s">
        <v>187</v>
      </c>
      <c r="G302" s="217">
        <v>2409</v>
      </c>
      <c r="H302" s="311" t="s">
        <v>1334</v>
      </c>
      <c r="I302" s="217">
        <v>2409</v>
      </c>
      <c r="J302" s="311" t="s">
        <v>1591</v>
      </c>
      <c r="K302" s="311" t="s">
        <v>1335</v>
      </c>
      <c r="L302" s="76" t="s">
        <v>41</v>
      </c>
      <c r="M302" s="216" t="s">
        <v>1336</v>
      </c>
      <c r="N302" s="213">
        <v>2409009</v>
      </c>
      <c r="O302" s="216" t="s">
        <v>1337</v>
      </c>
      <c r="P302" s="76" t="s">
        <v>41</v>
      </c>
      <c r="Q302" s="311" t="s">
        <v>1338</v>
      </c>
      <c r="R302" s="213">
        <v>240900900</v>
      </c>
      <c r="S302" s="311" t="s">
        <v>1339</v>
      </c>
      <c r="T302" s="236" t="s">
        <v>1671</v>
      </c>
      <c r="U302" s="76">
        <v>1</v>
      </c>
      <c r="V302" s="76">
        <v>0.8</v>
      </c>
      <c r="W302" s="324" t="s">
        <v>1340</v>
      </c>
      <c r="X302" s="365" t="s">
        <v>1341</v>
      </c>
      <c r="Y302" s="216" t="s">
        <v>1342</v>
      </c>
      <c r="Z302" s="289"/>
      <c r="AA302" s="289"/>
      <c r="AB302" s="289"/>
      <c r="AC302" s="289"/>
      <c r="AD302" s="289"/>
      <c r="AE302" s="289"/>
      <c r="AF302" s="289"/>
      <c r="AG302" s="289"/>
      <c r="AH302" s="289"/>
      <c r="AI302" s="289"/>
      <c r="AJ302" s="289"/>
      <c r="AK302" s="289"/>
      <c r="AL302" s="289"/>
      <c r="AM302" s="289"/>
      <c r="AN302" s="289"/>
      <c r="AO302" s="289"/>
      <c r="AP302" s="289"/>
      <c r="AQ302" s="289"/>
      <c r="AR302" s="289"/>
      <c r="AS302" s="289"/>
      <c r="AT302" s="289"/>
      <c r="AU302" s="289"/>
      <c r="AV302" s="289"/>
      <c r="AW302" s="289"/>
      <c r="AX302" s="289"/>
      <c r="AY302" s="289"/>
      <c r="AZ302" s="289"/>
      <c r="BA302" s="289"/>
      <c r="BB302" s="289"/>
      <c r="BC302" s="289"/>
      <c r="BD302" s="322"/>
      <c r="BE302" s="322"/>
      <c r="BF302" s="322"/>
      <c r="BG302" s="322">
        <f>27192000+1300000</f>
        <v>28492000</v>
      </c>
      <c r="BH302" s="322">
        <v>27798000</v>
      </c>
      <c r="BI302" s="322">
        <v>27798000</v>
      </c>
      <c r="BJ302" s="289"/>
      <c r="BK302" s="289"/>
      <c r="BL302" s="289"/>
      <c r="BM302" s="289"/>
      <c r="BN302" s="289"/>
      <c r="BO302" s="289"/>
      <c r="BP302" s="273">
        <f t="shared" ref="BP302:BR305" si="79">+Z302+AC302+AF302+AI302+AL302+AO302+AR302+AU302+AX302+BA302+BD302+BG302+BJ302</f>
        <v>28492000</v>
      </c>
      <c r="BQ302" s="273">
        <f t="shared" si="79"/>
        <v>27798000</v>
      </c>
      <c r="BR302" s="273">
        <f t="shared" si="79"/>
        <v>27798000</v>
      </c>
      <c r="BS302" s="246" t="s">
        <v>1675</v>
      </c>
      <c r="BT302" s="233"/>
    </row>
    <row r="303" spans="1:72" s="27" customFormat="1" ht="109.5" customHeight="1" x14ac:dyDescent="0.2">
      <c r="A303" s="217">
        <v>321</v>
      </c>
      <c r="B303" s="311" t="s">
        <v>1632</v>
      </c>
      <c r="C303" s="217">
        <v>3</v>
      </c>
      <c r="D303" s="303" t="s">
        <v>1631</v>
      </c>
      <c r="E303" s="213">
        <v>24</v>
      </c>
      <c r="F303" s="310" t="s">
        <v>187</v>
      </c>
      <c r="G303" s="217">
        <v>2409</v>
      </c>
      <c r="H303" s="311" t="s">
        <v>1334</v>
      </c>
      <c r="I303" s="217">
        <v>2409</v>
      </c>
      <c r="J303" s="311" t="s">
        <v>1591</v>
      </c>
      <c r="K303" s="311" t="s">
        <v>1335</v>
      </c>
      <c r="L303" s="76" t="s">
        <v>41</v>
      </c>
      <c r="M303" s="216" t="s">
        <v>1343</v>
      </c>
      <c r="N303" s="213">
        <v>2409022</v>
      </c>
      <c r="O303" s="216" t="s">
        <v>1344</v>
      </c>
      <c r="P303" s="76" t="s">
        <v>41</v>
      </c>
      <c r="Q303" s="311" t="s">
        <v>1345</v>
      </c>
      <c r="R303" s="213">
        <v>240902202</v>
      </c>
      <c r="S303" s="311" t="s">
        <v>1488</v>
      </c>
      <c r="T303" s="236" t="s">
        <v>1671</v>
      </c>
      <c r="U303" s="76">
        <v>1</v>
      </c>
      <c r="V303" s="76">
        <v>0.9</v>
      </c>
      <c r="W303" s="324" t="s">
        <v>1340</v>
      </c>
      <c r="X303" s="365" t="s">
        <v>1341</v>
      </c>
      <c r="Y303" s="216" t="s">
        <v>1342</v>
      </c>
      <c r="Z303" s="289"/>
      <c r="AA303" s="289"/>
      <c r="AB303" s="289"/>
      <c r="AC303" s="289"/>
      <c r="AD303" s="289"/>
      <c r="AE303" s="289"/>
      <c r="AF303" s="289"/>
      <c r="AG303" s="289"/>
      <c r="AH303" s="289"/>
      <c r="AI303" s="289"/>
      <c r="AJ303" s="289"/>
      <c r="AK303" s="289"/>
      <c r="AL303" s="289"/>
      <c r="AM303" s="289"/>
      <c r="AN303" s="289"/>
      <c r="AO303" s="289"/>
      <c r="AP303" s="289"/>
      <c r="AQ303" s="289"/>
      <c r="AR303" s="289"/>
      <c r="AS303" s="289"/>
      <c r="AT303" s="289"/>
      <c r="AU303" s="289"/>
      <c r="AV303" s="289"/>
      <c r="AW303" s="289"/>
      <c r="AX303" s="289"/>
      <c r="AY303" s="289"/>
      <c r="AZ303" s="289"/>
      <c r="BA303" s="289"/>
      <c r="BB303" s="289"/>
      <c r="BC303" s="289"/>
      <c r="BD303" s="322"/>
      <c r="BE303" s="322"/>
      <c r="BF303" s="322"/>
      <c r="BG303" s="322">
        <f>8652000+5250000</f>
        <v>13902000</v>
      </c>
      <c r="BH303" s="322">
        <v>13902000</v>
      </c>
      <c r="BI303" s="322">
        <v>13902000</v>
      </c>
      <c r="BJ303" s="289"/>
      <c r="BK303" s="289"/>
      <c r="BL303" s="289"/>
      <c r="BM303" s="289"/>
      <c r="BN303" s="289"/>
      <c r="BO303" s="289"/>
      <c r="BP303" s="273">
        <f t="shared" si="79"/>
        <v>13902000</v>
      </c>
      <c r="BQ303" s="273">
        <f t="shared" si="79"/>
        <v>13902000</v>
      </c>
      <c r="BR303" s="273">
        <f t="shared" si="79"/>
        <v>13902000</v>
      </c>
      <c r="BS303" s="246" t="s">
        <v>1675</v>
      </c>
      <c r="BT303" s="233"/>
    </row>
    <row r="304" spans="1:72" s="27" customFormat="1" ht="108.75" customHeight="1" x14ac:dyDescent="0.2">
      <c r="A304" s="217">
        <v>321</v>
      </c>
      <c r="B304" s="311" t="s">
        <v>1632</v>
      </c>
      <c r="C304" s="217">
        <v>3</v>
      </c>
      <c r="D304" s="303" t="s">
        <v>1631</v>
      </c>
      <c r="E304" s="213">
        <v>24</v>
      </c>
      <c r="F304" s="310" t="s">
        <v>187</v>
      </c>
      <c r="G304" s="217">
        <v>2409</v>
      </c>
      <c r="H304" s="311" t="s">
        <v>1334</v>
      </c>
      <c r="I304" s="217">
        <v>2409</v>
      </c>
      <c r="J304" s="311" t="s">
        <v>1591</v>
      </c>
      <c r="K304" s="311" t="s">
        <v>1335</v>
      </c>
      <c r="L304" s="76" t="s">
        <v>41</v>
      </c>
      <c r="M304" s="216" t="s">
        <v>1489</v>
      </c>
      <c r="N304" s="213">
        <v>2409014</v>
      </c>
      <c r="O304" s="216" t="s">
        <v>233</v>
      </c>
      <c r="P304" s="76" t="s">
        <v>41</v>
      </c>
      <c r="Q304" s="311" t="s">
        <v>1346</v>
      </c>
      <c r="R304" s="213">
        <v>240901400</v>
      </c>
      <c r="S304" s="311" t="s">
        <v>974</v>
      </c>
      <c r="T304" s="236" t="s">
        <v>1671</v>
      </c>
      <c r="U304" s="76">
        <v>1</v>
      </c>
      <c r="V304" s="76">
        <v>0.9</v>
      </c>
      <c r="W304" s="324" t="s">
        <v>1340</v>
      </c>
      <c r="X304" s="365" t="s">
        <v>1341</v>
      </c>
      <c r="Y304" s="216" t="s">
        <v>1342</v>
      </c>
      <c r="Z304" s="289"/>
      <c r="AA304" s="289"/>
      <c r="AB304" s="289"/>
      <c r="AC304" s="289"/>
      <c r="AD304" s="289"/>
      <c r="AE304" s="289"/>
      <c r="AF304" s="289"/>
      <c r="AG304" s="289"/>
      <c r="AH304" s="289"/>
      <c r="AI304" s="289"/>
      <c r="AJ304" s="289"/>
      <c r="AK304" s="289"/>
      <c r="AL304" s="289"/>
      <c r="AM304" s="289"/>
      <c r="AN304" s="289"/>
      <c r="AO304" s="289"/>
      <c r="AP304" s="289"/>
      <c r="AQ304" s="289"/>
      <c r="AR304" s="289"/>
      <c r="AS304" s="289"/>
      <c r="AT304" s="289"/>
      <c r="AU304" s="289"/>
      <c r="AV304" s="289"/>
      <c r="AW304" s="289"/>
      <c r="AX304" s="289"/>
      <c r="AY304" s="289"/>
      <c r="AZ304" s="289"/>
      <c r="BA304" s="289"/>
      <c r="BB304" s="289"/>
      <c r="BC304" s="289"/>
      <c r="BD304" s="322"/>
      <c r="BE304" s="322"/>
      <c r="BF304" s="322"/>
      <c r="BG304" s="322">
        <v>32076000</v>
      </c>
      <c r="BH304" s="322">
        <v>30495000</v>
      </c>
      <c r="BI304" s="322">
        <v>30495000</v>
      </c>
      <c r="BJ304" s="289"/>
      <c r="BK304" s="289"/>
      <c r="BL304" s="289"/>
      <c r="BM304" s="289"/>
      <c r="BN304" s="289"/>
      <c r="BO304" s="289"/>
      <c r="BP304" s="273">
        <f t="shared" si="79"/>
        <v>32076000</v>
      </c>
      <c r="BQ304" s="273">
        <f t="shared" si="79"/>
        <v>30495000</v>
      </c>
      <c r="BR304" s="273">
        <f t="shared" si="79"/>
        <v>30495000</v>
      </c>
      <c r="BS304" s="246" t="s">
        <v>1675</v>
      </c>
      <c r="BT304" s="233"/>
    </row>
    <row r="305" spans="1:110" s="27" customFormat="1" ht="132" customHeight="1" x14ac:dyDescent="0.2">
      <c r="A305" s="217">
        <v>321</v>
      </c>
      <c r="B305" s="311" t="s">
        <v>1632</v>
      </c>
      <c r="C305" s="217">
        <v>3</v>
      </c>
      <c r="D305" s="303" t="s">
        <v>1631</v>
      </c>
      <c r="E305" s="213">
        <v>24</v>
      </c>
      <c r="F305" s="310" t="s">
        <v>187</v>
      </c>
      <c r="G305" s="217">
        <v>2409</v>
      </c>
      <c r="H305" s="311" t="s">
        <v>1334</v>
      </c>
      <c r="I305" s="217">
        <v>2409</v>
      </c>
      <c r="J305" s="311" t="s">
        <v>1591</v>
      </c>
      <c r="K305" s="311" t="s">
        <v>1335</v>
      </c>
      <c r="L305" s="76" t="s">
        <v>41</v>
      </c>
      <c r="M305" s="216" t="s">
        <v>1347</v>
      </c>
      <c r="N305" s="213">
        <v>2409039</v>
      </c>
      <c r="O305" s="216" t="s">
        <v>1348</v>
      </c>
      <c r="P305" s="76" t="s">
        <v>41</v>
      </c>
      <c r="Q305" s="311" t="s">
        <v>1349</v>
      </c>
      <c r="R305" s="213">
        <v>240903905</v>
      </c>
      <c r="S305" s="311" t="s">
        <v>1350</v>
      </c>
      <c r="T305" s="236" t="s">
        <v>1671</v>
      </c>
      <c r="U305" s="76">
        <v>1</v>
      </c>
      <c r="V305" s="76">
        <v>0.9</v>
      </c>
      <c r="W305" s="324" t="s">
        <v>1340</v>
      </c>
      <c r="X305" s="365" t="s">
        <v>1341</v>
      </c>
      <c r="Y305" s="216" t="s">
        <v>1342</v>
      </c>
      <c r="Z305" s="289"/>
      <c r="AA305" s="289"/>
      <c r="AB305" s="289"/>
      <c r="AC305" s="289"/>
      <c r="AD305" s="289"/>
      <c r="AE305" s="289"/>
      <c r="AF305" s="289"/>
      <c r="AG305" s="289"/>
      <c r="AH305" s="289"/>
      <c r="AI305" s="289"/>
      <c r="AJ305" s="289"/>
      <c r="AK305" s="289"/>
      <c r="AL305" s="289"/>
      <c r="AM305" s="289"/>
      <c r="AN305" s="289"/>
      <c r="AO305" s="289"/>
      <c r="AP305" s="289"/>
      <c r="AQ305" s="289"/>
      <c r="AR305" s="289"/>
      <c r="AS305" s="289"/>
      <c r="AT305" s="289"/>
      <c r="AU305" s="289"/>
      <c r="AV305" s="289"/>
      <c r="AW305" s="289"/>
      <c r="AX305" s="289"/>
      <c r="AY305" s="289"/>
      <c r="AZ305" s="289"/>
      <c r="BA305" s="289"/>
      <c r="BB305" s="289"/>
      <c r="BC305" s="289"/>
      <c r="BD305" s="322"/>
      <c r="BE305" s="322"/>
      <c r="BF305" s="322"/>
      <c r="BG305" s="322">
        <f>48410000-12670000</f>
        <v>35740000</v>
      </c>
      <c r="BH305" s="322">
        <v>35521000</v>
      </c>
      <c r="BI305" s="322">
        <v>35521000</v>
      </c>
      <c r="BJ305" s="289"/>
      <c r="BK305" s="289"/>
      <c r="BL305" s="289"/>
      <c r="BM305" s="289"/>
      <c r="BN305" s="289"/>
      <c r="BO305" s="289"/>
      <c r="BP305" s="273">
        <f t="shared" si="79"/>
        <v>35740000</v>
      </c>
      <c r="BQ305" s="273">
        <f t="shared" si="79"/>
        <v>35521000</v>
      </c>
      <c r="BR305" s="273">
        <f t="shared" si="79"/>
        <v>35521000</v>
      </c>
      <c r="BS305" s="246" t="s">
        <v>1675</v>
      </c>
      <c r="BT305" s="233"/>
    </row>
    <row r="306" spans="1:110" s="102" customFormat="1" ht="33" customHeight="1" x14ac:dyDescent="0.25">
      <c r="A306" s="274" t="s">
        <v>1459</v>
      </c>
      <c r="B306" s="275"/>
      <c r="C306" s="276"/>
      <c r="D306" s="276"/>
      <c r="E306" s="276"/>
      <c r="F306" s="276"/>
      <c r="G306" s="277"/>
      <c r="H306" s="278"/>
      <c r="I306" s="278"/>
      <c r="J306" s="278"/>
      <c r="K306" s="279"/>
      <c r="L306" s="279"/>
      <c r="M306" s="279"/>
      <c r="N306" s="277"/>
      <c r="O306" s="279"/>
      <c r="P306" s="279"/>
      <c r="Q306" s="280"/>
      <c r="R306" s="281"/>
      <c r="S306" s="280"/>
      <c r="T306" s="278"/>
      <c r="U306" s="282"/>
      <c r="V306" s="281"/>
      <c r="W306" s="283"/>
      <c r="X306" s="284"/>
      <c r="Y306" s="284"/>
      <c r="Z306" s="285">
        <f>SUM(Z8:Z285)</f>
        <v>12833687966.630001</v>
      </c>
      <c r="AA306" s="285">
        <f t="shared" ref="AA306:BR306" si="80">SUM(AA8:AA285)</f>
        <v>6885700630.9200001</v>
      </c>
      <c r="AB306" s="285">
        <f t="shared" si="80"/>
        <v>6885700630.9200001</v>
      </c>
      <c r="AC306" s="285">
        <f t="shared" si="80"/>
        <v>4387879528.3299999</v>
      </c>
      <c r="AD306" s="285">
        <f t="shared" si="80"/>
        <v>1133578214.1599998</v>
      </c>
      <c r="AE306" s="285">
        <f t="shared" si="80"/>
        <v>1133578214.1599998</v>
      </c>
      <c r="AF306" s="285">
        <f t="shared" si="80"/>
        <v>56108067</v>
      </c>
      <c r="AG306" s="285">
        <f t="shared" si="80"/>
        <v>37529205.509999998</v>
      </c>
      <c r="AH306" s="285">
        <f t="shared" si="80"/>
        <v>37529205.509999998</v>
      </c>
      <c r="AI306" s="285">
        <f t="shared" si="80"/>
        <v>2375738582.6599998</v>
      </c>
      <c r="AJ306" s="285">
        <f t="shared" si="80"/>
        <v>2300367376.7800002</v>
      </c>
      <c r="AK306" s="285">
        <f t="shared" si="80"/>
        <v>2300367376.7800002</v>
      </c>
      <c r="AL306" s="285">
        <f t="shared" si="80"/>
        <v>7620632943.1700001</v>
      </c>
      <c r="AM306" s="285">
        <f t="shared" si="80"/>
        <v>5484034494.96</v>
      </c>
      <c r="AN306" s="285">
        <f t="shared" si="80"/>
        <v>5484034494.96</v>
      </c>
      <c r="AO306" s="285">
        <f t="shared" si="80"/>
        <v>43392723005.519997</v>
      </c>
      <c r="AP306" s="285">
        <f t="shared" si="80"/>
        <v>42321921638.82</v>
      </c>
      <c r="AQ306" s="285">
        <f t="shared" si="80"/>
        <v>42321921638.82</v>
      </c>
      <c r="AR306" s="285">
        <f t="shared" si="80"/>
        <v>137945793424.22</v>
      </c>
      <c r="AS306" s="285">
        <f t="shared" si="80"/>
        <v>136497820334.14999</v>
      </c>
      <c r="AT306" s="285">
        <f t="shared" si="80"/>
        <v>136497820334.14999</v>
      </c>
      <c r="AU306" s="285">
        <f t="shared" si="80"/>
        <v>28315024554</v>
      </c>
      <c r="AV306" s="285">
        <f t="shared" si="80"/>
        <v>28315024554</v>
      </c>
      <c r="AW306" s="285">
        <f t="shared" si="80"/>
        <v>28315024554</v>
      </c>
      <c r="AX306" s="285">
        <f t="shared" si="80"/>
        <v>12544566918.389999</v>
      </c>
      <c r="AY306" s="285">
        <f t="shared" si="80"/>
        <v>10751473890</v>
      </c>
      <c r="AZ306" s="285">
        <f t="shared" si="80"/>
        <v>10751473890</v>
      </c>
      <c r="BA306" s="285">
        <f t="shared" si="80"/>
        <v>2895159641.6800003</v>
      </c>
      <c r="BB306" s="285">
        <f t="shared" si="80"/>
        <v>2895132862</v>
      </c>
      <c r="BC306" s="285">
        <f t="shared" si="80"/>
        <v>2895132862</v>
      </c>
      <c r="BD306" s="285">
        <f t="shared" si="80"/>
        <v>40207374655.399986</v>
      </c>
      <c r="BE306" s="285">
        <f t="shared" si="80"/>
        <v>33276074825.629993</v>
      </c>
      <c r="BF306" s="285">
        <f t="shared" si="80"/>
        <v>33276074825.629993</v>
      </c>
      <c r="BG306" s="285">
        <f t="shared" si="80"/>
        <v>1146429972.01</v>
      </c>
      <c r="BH306" s="285">
        <f t="shared" si="80"/>
        <v>603084198.50999999</v>
      </c>
      <c r="BI306" s="285">
        <f t="shared" si="80"/>
        <v>603084198.50999999</v>
      </c>
      <c r="BJ306" s="285">
        <f t="shared" si="80"/>
        <v>25113738287.240002</v>
      </c>
      <c r="BK306" s="285">
        <f t="shared" si="80"/>
        <v>15013497136.139999</v>
      </c>
      <c r="BL306" s="285">
        <f t="shared" si="80"/>
        <v>15013497136.139999</v>
      </c>
      <c r="BM306" s="285">
        <f t="shared" si="80"/>
        <v>655606585.65999997</v>
      </c>
      <c r="BN306" s="285">
        <f t="shared" si="80"/>
        <v>550000000</v>
      </c>
      <c r="BO306" s="285">
        <f t="shared" si="80"/>
        <v>550000000</v>
      </c>
      <c r="BP306" s="285">
        <f t="shared" si="80"/>
        <v>319490464131.9101</v>
      </c>
      <c r="BQ306" s="285">
        <f t="shared" si="80"/>
        <v>286065239361.58002</v>
      </c>
      <c r="BR306" s="285">
        <f t="shared" si="80"/>
        <v>286065239361.58002</v>
      </c>
      <c r="BS306" s="286"/>
      <c r="BT306" s="5"/>
      <c r="BU306" s="5"/>
      <c r="BV306" s="5"/>
      <c r="BW306" s="5"/>
      <c r="BX306" s="5"/>
      <c r="BY306" s="5"/>
      <c r="BZ306" s="5"/>
      <c r="CA306" s="5"/>
      <c r="CB306" s="5"/>
      <c r="CC306" s="5"/>
      <c r="CD306" s="5"/>
      <c r="CE306" s="5"/>
      <c r="CF306" s="5"/>
      <c r="CG306" s="5"/>
      <c r="CH306" s="5"/>
      <c r="CI306" s="5"/>
      <c r="CJ306" s="5"/>
      <c r="CK306" s="5"/>
      <c r="CL306" s="5"/>
      <c r="CM306" s="5"/>
      <c r="CN306" s="5"/>
      <c r="CO306" s="5"/>
      <c r="CP306" s="5"/>
      <c r="CQ306" s="5"/>
      <c r="CR306" s="5"/>
      <c r="CS306" s="5"/>
      <c r="CT306" s="5"/>
      <c r="CU306" s="5"/>
      <c r="CV306" s="5"/>
      <c r="CW306" s="5"/>
      <c r="CX306" s="5"/>
      <c r="CY306" s="5"/>
      <c r="CZ306" s="5"/>
      <c r="DA306" s="5"/>
      <c r="DB306" s="5"/>
      <c r="DC306" s="5"/>
      <c r="DD306" s="5"/>
      <c r="DE306" s="5"/>
      <c r="DF306" s="5"/>
    </row>
    <row r="307" spans="1:110" s="105" customFormat="1" ht="33" customHeight="1" x14ac:dyDescent="0.25">
      <c r="A307" s="237" t="s">
        <v>1351</v>
      </c>
      <c r="B307" s="238"/>
      <c r="C307" s="117"/>
      <c r="D307" s="117"/>
      <c r="E307" s="117"/>
      <c r="F307" s="117"/>
      <c r="G307" s="118"/>
      <c r="H307" s="119"/>
      <c r="I307" s="119"/>
      <c r="J307" s="119"/>
      <c r="K307" s="120"/>
      <c r="L307" s="120"/>
      <c r="M307" s="120"/>
      <c r="N307" s="118"/>
      <c r="O307" s="120"/>
      <c r="P307" s="120"/>
      <c r="Q307" s="121"/>
      <c r="R307" s="123"/>
      <c r="S307" s="121"/>
      <c r="T307" s="119"/>
      <c r="U307" s="122"/>
      <c r="V307" s="123"/>
      <c r="W307" s="116"/>
      <c r="X307" s="58"/>
      <c r="Y307" s="58"/>
      <c r="Z307" s="103">
        <f>SUM(Z286:Z305)</f>
        <v>2742159298.9199996</v>
      </c>
      <c r="AA307" s="103">
        <f t="shared" ref="AA307:BR307" si="81">SUM(AA286:AA305)</f>
        <v>1252409845.2225237</v>
      </c>
      <c r="AB307" s="103">
        <f t="shared" si="81"/>
        <v>1247293178.5525236</v>
      </c>
      <c r="AC307" s="103">
        <f t="shared" si="81"/>
        <v>0</v>
      </c>
      <c r="AD307" s="103">
        <f t="shared" si="81"/>
        <v>0</v>
      </c>
      <c r="AE307" s="103">
        <f t="shared" si="81"/>
        <v>0</v>
      </c>
      <c r="AF307" s="103">
        <f t="shared" si="81"/>
        <v>0</v>
      </c>
      <c r="AG307" s="103">
        <f t="shared" si="81"/>
        <v>0</v>
      </c>
      <c r="AH307" s="103">
        <f t="shared" si="81"/>
        <v>0</v>
      </c>
      <c r="AI307" s="103">
        <f t="shared" si="81"/>
        <v>0</v>
      </c>
      <c r="AJ307" s="103">
        <f t="shared" si="81"/>
        <v>0</v>
      </c>
      <c r="AK307" s="103">
        <f t="shared" si="81"/>
        <v>0</v>
      </c>
      <c r="AL307" s="103">
        <f t="shared" si="81"/>
        <v>0</v>
      </c>
      <c r="AM307" s="103">
        <f t="shared" si="81"/>
        <v>0</v>
      </c>
      <c r="AN307" s="103">
        <f t="shared" si="81"/>
        <v>0</v>
      </c>
      <c r="AO307" s="103">
        <f t="shared" si="81"/>
        <v>0</v>
      </c>
      <c r="AP307" s="103">
        <f t="shared" si="81"/>
        <v>0</v>
      </c>
      <c r="AQ307" s="103">
        <f t="shared" si="81"/>
        <v>0</v>
      </c>
      <c r="AR307" s="103">
        <f t="shared" si="81"/>
        <v>0</v>
      </c>
      <c r="AS307" s="103">
        <f t="shared" si="81"/>
        <v>0</v>
      </c>
      <c r="AT307" s="103">
        <f t="shared" si="81"/>
        <v>0</v>
      </c>
      <c r="AU307" s="103">
        <f t="shared" si="81"/>
        <v>0</v>
      </c>
      <c r="AV307" s="103">
        <f t="shared" si="81"/>
        <v>0</v>
      </c>
      <c r="AW307" s="103">
        <f t="shared" si="81"/>
        <v>0</v>
      </c>
      <c r="AX307" s="103">
        <f t="shared" si="81"/>
        <v>0</v>
      </c>
      <c r="AY307" s="103">
        <f t="shared" si="81"/>
        <v>0</v>
      </c>
      <c r="AZ307" s="103">
        <f t="shared" si="81"/>
        <v>0</v>
      </c>
      <c r="BA307" s="103">
        <f t="shared" si="81"/>
        <v>0</v>
      </c>
      <c r="BB307" s="103">
        <f t="shared" si="81"/>
        <v>0</v>
      </c>
      <c r="BC307" s="103">
        <f t="shared" si="81"/>
        <v>0</v>
      </c>
      <c r="BD307" s="103">
        <f t="shared" si="81"/>
        <v>1047130260.64</v>
      </c>
      <c r="BE307" s="103">
        <f t="shared" si="81"/>
        <v>582042881.81999993</v>
      </c>
      <c r="BF307" s="103">
        <f t="shared" si="81"/>
        <v>580542881.81999993</v>
      </c>
      <c r="BG307" s="103">
        <f t="shared" si="81"/>
        <v>5663266581.4099998</v>
      </c>
      <c r="BH307" s="103">
        <f t="shared" si="81"/>
        <v>4925680654.1514893</v>
      </c>
      <c r="BI307" s="103">
        <f t="shared" si="81"/>
        <v>4744472057.8899994</v>
      </c>
      <c r="BJ307" s="103">
        <f t="shared" si="81"/>
        <v>455357884</v>
      </c>
      <c r="BK307" s="103">
        <f t="shared" si="81"/>
        <v>404367233</v>
      </c>
      <c r="BL307" s="103">
        <f t="shared" si="81"/>
        <v>404367233</v>
      </c>
      <c r="BM307" s="103">
        <f t="shared" si="81"/>
        <v>0</v>
      </c>
      <c r="BN307" s="103">
        <f t="shared" si="81"/>
        <v>0</v>
      </c>
      <c r="BO307" s="103">
        <f t="shared" si="81"/>
        <v>0</v>
      </c>
      <c r="BP307" s="103">
        <f t="shared" si="81"/>
        <v>9907914024.9699993</v>
      </c>
      <c r="BQ307" s="103">
        <f t="shared" si="81"/>
        <v>7164500614.1940145</v>
      </c>
      <c r="BR307" s="103">
        <f t="shared" si="81"/>
        <v>6976675351.2625237</v>
      </c>
      <c r="BS307" s="104"/>
      <c r="BT307" s="5"/>
      <c r="BU307" s="16"/>
      <c r="BV307" s="16"/>
      <c r="BW307" s="16"/>
      <c r="BX307" s="16"/>
      <c r="BY307" s="16"/>
      <c r="BZ307" s="16"/>
      <c r="CA307" s="16"/>
      <c r="CB307" s="16"/>
      <c r="CC307" s="16"/>
      <c r="CD307" s="16"/>
      <c r="CE307" s="16"/>
      <c r="CF307" s="16"/>
      <c r="CG307" s="16"/>
      <c r="CH307" s="16"/>
      <c r="CI307" s="16"/>
      <c r="CJ307" s="16"/>
      <c r="CK307" s="16"/>
      <c r="CL307" s="16"/>
      <c r="CM307" s="16"/>
      <c r="CN307" s="16"/>
      <c r="CO307" s="16"/>
      <c r="CP307" s="16"/>
      <c r="CQ307" s="16"/>
      <c r="CR307" s="16"/>
      <c r="CS307" s="16"/>
      <c r="CT307" s="16"/>
      <c r="CU307" s="16"/>
      <c r="CV307" s="16"/>
      <c r="CW307" s="16"/>
      <c r="CX307" s="16"/>
      <c r="CY307" s="16"/>
      <c r="CZ307" s="16"/>
      <c r="DA307" s="16"/>
      <c r="DB307" s="16"/>
      <c r="DC307" s="16"/>
      <c r="DD307" s="16"/>
      <c r="DE307" s="16"/>
      <c r="DF307" s="16"/>
    </row>
    <row r="308" spans="1:110" ht="33" customHeight="1" x14ac:dyDescent="0.2">
      <c r="A308" s="52" t="s">
        <v>1677</v>
      </c>
      <c r="B308" s="109"/>
      <c r="C308" s="269"/>
      <c r="D308" s="269"/>
      <c r="E308" s="269"/>
      <c r="F308" s="269"/>
      <c r="G308" s="110"/>
      <c r="H308" s="111"/>
      <c r="I308" s="111"/>
      <c r="J308" s="111"/>
      <c r="K308" s="112"/>
      <c r="L308" s="112"/>
      <c r="M308" s="112"/>
      <c r="N308" s="110"/>
      <c r="O308" s="112"/>
      <c r="P308" s="112"/>
      <c r="Q308" s="113"/>
      <c r="R308" s="115"/>
      <c r="S308" s="113"/>
      <c r="T308" s="111"/>
      <c r="U308" s="114"/>
      <c r="V308" s="115"/>
      <c r="W308" s="99"/>
      <c r="X308" s="53"/>
      <c r="Y308" s="53"/>
      <c r="Z308" s="100">
        <f>Z306+Z307</f>
        <v>15575847265.550001</v>
      </c>
      <c r="AA308" s="100">
        <f t="shared" ref="AA308:BR308" si="82">AA306+AA307</f>
        <v>8138110476.1425238</v>
      </c>
      <c r="AB308" s="100">
        <f t="shared" si="82"/>
        <v>8132993809.4725237</v>
      </c>
      <c r="AC308" s="100">
        <f t="shared" si="82"/>
        <v>4387879528.3299999</v>
      </c>
      <c r="AD308" s="100">
        <f t="shared" si="82"/>
        <v>1133578214.1599998</v>
      </c>
      <c r="AE308" s="100">
        <f t="shared" si="82"/>
        <v>1133578214.1599998</v>
      </c>
      <c r="AF308" s="100">
        <f t="shared" si="82"/>
        <v>56108067</v>
      </c>
      <c r="AG308" s="100">
        <f t="shared" si="82"/>
        <v>37529205.509999998</v>
      </c>
      <c r="AH308" s="100">
        <f t="shared" si="82"/>
        <v>37529205.509999998</v>
      </c>
      <c r="AI308" s="100">
        <f t="shared" si="82"/>
        <v>2375738582.6599998</v>
      </c>
      <c r="AJ308" s="100">
        <f t="shared" si="82"/>
        <v>2300367376.7800002</v>
      </c>
      <c r="AK308" s="100">
        <f t="shared" si="82"/>
        <v>2300367376.7800002</v>
      </c>
      <c r="AL308" s="100">
        <f t="shared" si="82"/>
        <v>7620632943.1700001</v>
      </c>
      <c r="AM308" s="100">
        <f t="shared" si="82"/>
        <v>5484034494.96</v>
      </c>
      <c r="AN308" s="100">
        <f t="shared" si="82"/>
        <v>5484034494.96</v>
      </c>
      <c r="AO308" s="100">
        <f t="shared" si="82"/>
        <v>43392723005.519997</v>
      </c>
      <c r="AP308" s="100">
        <f t="shared" si="82"/>
        <v>42321921638.82</v>
      </c>
      <c r="AQ308" s="100">
        <f t="shared" si="82"/>
        <v>42321921638.82</v>
      </c>
      <c r="AR308" s="100">
        <f t="shared" si="82"/>
        <v>137945793424.22</v>
      </c>
      <c r="AS308" s="100">
        <f t="shared" si="82"/>
        <v>136497820334.14999</v>
      </c>
      <c r="AT308" s="100">
        <f t="shared" si="82"/>
        <v>136497820334.14999</v>
      </c>
      <c r="AU308" s="100">
        <f t="shared" si="82"/>
        <v>28315024554</v>
      </c>
      <c r="AV308" s="100">
        <f t="shared" si="82"/>
        <v>28315024554</v>
      </c>
      <c r="AW308" s="100">
        <f t="shared" si="82"/>
        <v>28315024554</v>
      </c>
      <c r="AX308" s="100">
        <f t="shared" si="82"/>
        <v>12544566918.389999</v>
      </c>
      <c r="AY308" s="100">
        <f t="shared" si="82"/>
        <v>10751473890</v>
      </c>
      <c r="AZ308" s="100">
        <f t="shared" si="82"/>
        <v>10751473890</v>
      </c>
      <c r="BA308" s="100">
        <f t="shared" si="82"/>
        <v>2895159641.6800003</v>
      </c>
      <c r="BB308" s="100">
        <f t="shared" si="82"/>
        <v>2895132862</v>
      </c>
      <c r="BC308" s="100">
        <f t="shared" si="82"/>
        <v>2895132862</v>
      </c>
      <c r="BD308" s="100">
        <f t="shared" si="82"/>
        <v>41254504916.039986</v>
      </c>
      <c r="BE308" s="100">
        <f t="shared" si="82"/>
        <v>33858117707.449993</v>
      </c>
      <c r="BF308" s="100">
        <f t="shared" si="82"/>
        <v>33856617707.449993</v>
      </c>
      <c r="BG308" s="100">
        <f t="shared" si="82"/>
        <v>6809696553.4200001</v>
      </c>
      <c r="BH308" s="100">
        <f t="shared" si="82"/>
        <v>5528764852.6614895</v>
      </c>
      <c r="BI308" s="100">
        <f t="shared" si="82"/>
        <v>5347556256.3999996</v>
      </c>
      <c r="BJ308" s="100">
        <f t="shared" si="82"/>
        <v>25569096171.240002</v>
      </c>
      <c r="BK308" s="100">
        <f t="shared" si="82"/>
        <v>15417864369.139999</v>
      </c>
      <c r="BL308" s="100">
        <f t="shared" si="82"/>
        <v>15417864369.139999</v>
      </c>
      <c r="BM308" s="100">
        <f t="shared" si="82"/>
        <v>655606585.65999997</v>
      </c>
      <c r="BN308" s="100">
        <f t="shared" si="82"/>
        <v>550000000</v>
      </c>
      <c r="BO308" s="100">
        <f t="shared" si="82"/>
        <v>550000000</v>
      </c>
      <c r="BP308" s="100">
        <f t="shared" si="82"/>
        <v>329398378156.88007</v>
      </c>
      <c r="BQ308" s="100">
        <f t="shared" si="82"/>
        <v>293229739975.77405</v>
      </c>
      <c r="BR308" s="100">
        <f t="shared" si="82"/>
        <v>293041914712.84253</v>
      </c>
      <c r="BS308" s="101"/>
    </row>
    <row r="309" spans="1:110" x14ac:dyDescent="0.2">
      <c r="AI309" s="2"/>
      <c r="AJ309" s="2"/>
      <c r="AK309" s="2"/>
      <c r="AL309" s="2"/>
      <c r="AM309" s="2"/>
      <c r="AN309" s="2"/>
      <c r="AO309" s="2"/>
      <c r="AP309" s="2"/>
      <c r="AQ309" s="2"/>
      <c r="AX309" s="2"/>
      <c r="AY309" s="2"/>
      <c r="AZ309" s="2"/>
      <c r="BA309" s="2"/>
      <c r="BB309" s="2"/>
      <c r="BC309" s="2"/>
      <c r="BD309" s="2"/>
      <c r="BE309" s="2"/>
      <c r="BF309" s="2"/>
      <c r="BG309" s="2"/>
      <c r="BH309" s="2"/>
      <c r="BI309" s="2"/>
      <c r="BJ309" s="2"/>
      <c r="BK309" s="2"/>
      <c r="BL309" s="2"/>
      <c r="BM309" s="2"/>
      <c r="BN309" s="2"/>
      <c r="BO309" s="2"/>
    </row>
    <row r="310" spans="1:110" x14ac:dyDescent="0.2">
      <c r="AR310" s="1"/>
      <c r="AS310" s="1"/>
      <c r="AT310" s="1"/>
      <c r="AU310" s="1"/>
      <c r="AV310" s="1"/>
      <c r="AW310" s="1"/>
      <c r="BD310" s="1"/>
      <c r="BE310" s="1"/>
      <c r="BF310" s="1"/>
      <c r="BP310" s="1"/>
      <c r="BQ310" s="1"/>
      <c r="BR310" s="1"/>
      <c r="BS310" s="1"/>
    </row>
    <row r="311" spans="1:110" ht="36" customHeight="1" x14ac:dyDescent="0.2">
      <c r="BP311" s="5"/>
      <c r="BQ311" s="5"/>
      <c r="BR311" s="5"/>
    </row>
    <row r="313" spans="1:110" ht="42.75" customHeight="1" x14ac:dyDescent="0.2">
      <c r="Z313" s="391"/>
    </row>
    <row r="314" spans="1:110" x14ac:dyDescent="0.2">
      <c r="Z314" s="27"/>
      <c r="BH314" s="1">
        <f>[1]Recuperado_Hoja1!$J$204</f>
        <v>517196936.83999997</v>
      </c>
      <c r="BM314" s="1">
        <f>BM257+BM312</f>
        <v>0</v>
      </c>
      <c r="BN314" s="1">
        <f>BN257+BN312</f>
        <v>0</v>
      </c>
    </row>
    <row r="315" spans="1:110" x14ac:dyDescent="0.2">
      <c r="BH315" s="1">
        <f>BH314-BH287-BH288</f>
        <v>0</v>
      </c>
    </row>
    <row r="316" spans="1:110" x14ac:dyDescent="0.2">
      <c r="BH316" s="1">
        <v>644995.84000000404</v>
      </c>
    </row>
  </sheetData>
  <mergeCells count="54">
    <mergeCell ref="Y6:Y7"/>
    <mergeCell ref="BJ6:BL6"/>
    <mergeCell ref="BG6:BI6"/>
    <mergeCell ref="BD6:BF6"/>
    <mergeCell ref="BA6:BC6"/>
    <mergeCell ref="AX6:AZ6"/>
    <mergeCell ref="P5:S5"/>
    <mergeCell ref="W5:Y5"/>
    <mergeCell ref="L5:O5"/>
    <mergeCell ref="C5:D5"/>
    <mergeCell ref="E5:F5"/>
    <mergeCell ref="A5:B5"/>
    <mergeCell ref="A6:A7"/>
    <mergeCell ref="B6:B7"/>
    <mergeCell ref="I6:I7"/>
    <mergeCell ref="J6:J7"/>
    <mergeCell ref="C6:C7"/>
    <mergeCell ref="D6:D7"/>
    <mergeCell ref="E6:E7"/>
    <mergeCell ref="F6:F7"/>
    <mergeCell ref="G6:G7"/>
    <mergeCell ref="H6:H7"/>
    <mergeCell ref="BS6:BS7"/>
    <mergeCell ref="G5:K5"/>
    <mergeCell ref="K6:K7"/>
    <mergeCell ref="T5:V5"/>
    <mergeCell ref="T6:T7"/>
    <mergeCell ref="Z5:BO5"/>
    <mergeCell ref="L6:L7"/>
    <mergeCell ref="M6:M7"/>
    <mergeCell ref="N6:N7"/>
    <mergeCell ref="O6:O7"/>
    <mergeCell ref="P6:P7"/>
    <mergeCell ref="Q6:Q7"/>
    <mergeCell ref="R6:R7"/>
    <mergeCell ref="AU6:AW6"/>
    <mergeCell ref="AR6:AT6"/>
    <mergeCell ref="AO6:AQ6"/>
    <mergeCell ref="C1:BQ1"/>
    <mergeCell ref="C3:BQ3"/>
    <mergeCell ref="C2:BQ2"/>
    <mergeCell ref="C4:BQ4"/>
    <mergeCell ref="BP6:BR6"/>
    <mergeCell ref="BM6:BO6"/>
    <mergeCell ref="S6:S7"/>
    <mergeCell ref="U6:U7"/>
    <mergeCell ref="V6:V7"/>
    <mergeCell ref="W6:W7"/>
    <mergeCell ref="Z6:AB6"/>
    <mergeCell ref="AC6:AE6"/>
    <mergeCell ref="AF6:AH6"/>
    <mergeCell ref="AL6:AN6"/>
    <mergeCell ref="AI6:AK6"/>
    <mergeCell ref="X6:X7"/>
  </mergeCells>
  <phoneticPr fontId="9" type="noConversion"/>
  <conditionalFormatting sqref="R201">
    <cfRule type="duplicateValues" dxfId="156" priority="74"/>
  </conditionalFormatting>
  <conditionalFormatting sqref="R209">
    <cfRule type="duplicateValues" dxfId="155" priority="72"/>
  </conditionalFormatting>
  <conditionalFormatting sqref="R209">
    <cfRule type="duplicateValues" dxfId="154" priority="73"/>
  </conditionalFormatting>
  <conditionalFormatting sqref="R216">
    <cfRule type="duplicateValues" dxfId="153" priority="70"/>
  </conditionalFormatting>
  <conditionalFormatting sqref="R216">
    <cfRule type="duplicateValues" dxfId="152" priority="71"/>
  </conditionalFormatting>
  <conditionalFormatting sqref="R73">
    <cfRule type="duplicateValues" dxfId="151" priority="68"/>
  </conditionalFormatting>
  <conditionalFormatting sqref="R90">
    <cfRule type="duplicateValues" dxfId="150" priority="67"/>
  </conditionalFormatting>
  <conditionalFormatting sqref="R91">
    <cfRule type="duplicateValues" dxfId="149" priority="66"/>
  </conditionalFormatting>
  <conditionalFormatting sqref="R191">
    <cfRule type="duplicateValues" dxfId="148" priority="64"/>
  </conditionalFormatting>
  <conditionalFormatting sqref="R191">
    <cfRule type="duplicateValues" dxfId="147" priority="65"/>
  </conditionalFormatting>
  <conditionalFormatting sqref="R93">
    <cfRule type="duplicateValues" dxfId="146" priority="63"/>
  </conditionalFormatting>
  <conditionalFormatting sqref="R94">
    <cfRule type="duplicateValues" dxfId="145" priority="59"/>
  </conditionalFormatting>
  <conditionalFormatting sqref="R94">
    <cfRule type="duplicateValues" dxfId="144" priority="60"/>
  </conditionalFormatting>
  <conditionalFormatting sqref="R94">
    <cfRule type="duplicateValues" dxfId="143" priority="61"/>
  </conditionalFormatting>
  <conditionalFormatting sqref="R98">
    <cfRule type="duplicateValues" dxfId="142" priority="57"/>
  </conditionalFormatting>
  <conditionalFormatting sqref="R98">
    <cfRule type="duplicateValues" dxfId="141" priority="58"/>
  </conditionalFormatting>
  <conditionalFormatting sqref="R99">
    <cfRule type="duplicateValues" dxfId="140" priority="55"/>
  </conditionalFormatting>
  <conditionalFormatting sqref="R99">
    <cfRule type="duplicateValues" dxfId="139" priority="56"/>
  </conditionalFormatting>
  <conditionalFormatting sqref="R100">
    <cfRule type="duplicateValues" dxfId="138" priority="52"/>
  </conditionalFormatting>
  <conditionalFormatting sqref="R100">
    <cfRule type="duplicateValues" dxfId="137" priority="53"/>
  </conditionalFormatting>
  <conditionalFormatting sqref="R105">
    <cfRule type="duplicateValues" dxfId="136" priority="50"/>
  </conditionalFormatting>
  <conditionalFormatting sqref="R105">
    <cfRule type="duplicateValues" dxfId="135" priority="51"/>
  </conditionalFormatting>
  <conditionalFormatting sqref="R106">
    <cfRule type="duplicateValues" dxfId="134" priority="48"/>
  </conditionalFormatting>
  <conditionalFormatting sqref="R106">
    <cfRule type="duplicateValues" dxfId="133" priority="49"/>
  </conditionalFormatting>
  <conditionalFormatting sqref="R107">
    <cfRule type="duplicateValues" dxfId="132" priority="46"/>
  </conditionalFormatting>
  <conditionalFormatting sqref="R107">
    <cfRule type="duplicateValues" dxfId="131" priority="47"/>
  </conditionalFormatting>
  <conditionalFormatting sqref="R108">
    <cfRule type="duplicateValues" dxfId="130" priority="44"/>
  </conditionalFormatting>
  <conditionalFormatting sqref="R108">
    <cfRule type="duplicateValues" dxfId="129" priority="45"/>
  </conditionalFormatting>
  <conditionalFormatting sqref="R217">
    <cfRule type="duplicateValues" dxfId="128" priority="42"/>
  </conditionalFormatting>
  <conditionalFormatting sqref="R217">
    <cfRule type="duplicateValues" dxfId="127" priority="43"/>
  </conditionalFormatting>
  <conditionalFormatting sqref="R92">
    <cfRule type="duplicateValues" dxfId="126" priority="75"/>
  </conditionalFormatting>
  <conditionalFormatting sqref="P73">
    <cfRule type="duplicateValues" dxfId="125" priority="31"/>
  </conditionalFormatting>
  <conditionalFormatting sqref="P90">
    <cfRule type="duplicateValues" dxfId="124" priority="30"/>
  </conditionalFormatting>
  <conditionalFormatting sqref="P91">
    <cfRule type="duplicateValues" dxfId="123" priority="29"/>
  </conditionalFormatting>
  <conditionalFormatting sqref="P92">
    <cfRule type="duplicateValues" dxfId="122" priority="28"/>
  </conditionalFormatting>
  <conditionalFormatting sqref="P93">
    <cfRule type="duplicateValues" dxfId="121" priority="27"/>
  </conditionalFormatting>
  <conditionalFormatting sqref="P94">
    <cfRule type="duplicateValues" dxfId="120" priority="24"/>
  </conditionalFormatting>
  <conditionalFormatting sqref="P94">
    <cfRule type="duplicateValues" dxfId="119" priority="25"/>
  </conditionalFormatting>
  <conditionalFormatting sqref="P94">
    <cfRule type="duplicateValues" dxfId="118" priority="26"/>
  </conditionalFormatting>
  <conditionalFormatting sqref="P98">
    <cfRule type="duplicateValues" dxfId="117" priority="22"/>
  </conditionalFormatting>
  <conditionalFormatting sqref="P98">
    <cfRule type="duplicateValues" dxfId="116" priority="23"/>
  </conditionalFormatting>
  <conditionalFormatting sqref="P99">
    <cfRule type="duplicateValues" dxfId="115" priority="20"/>
  </conditionalFormatting>
  <conditionalFormatting sqref="P99">
    <cfRule type="duplicateValues" dxfId="114" priority="21"/>
  </conditionalFormatting>
  <conditionalFormatting sqref="P100">
    <cfRule type="duplicateValues" dxfId="113" priority="18"/>
  </conditionalFormatting>
  <conditionalFormatting sqref="P100">
    <cfRule type="duplicateValues" dxfId="112" priority="19"/>
  </conditionalFormatting>
  <conditionalFormatting sqref="P105">
    <cfRule type="duplicateValues" dxfId="111" priority="16"/>
  </conditionalFormatting>
  <conditionalFormatting sqref="P105">
    <cfRule type="duplicateValues" dxfId="110" priority="17"/>
  </conditionalFormatting>
  <conditionalFormatting sqref="P106">
    <cfRule type="duplicateValues" dxfId="109" priority="14"/>
  </conditionalFormatting>
  <conditionalFormatting sqref="P106">
    <cfRule type="duplicateValues" dxfId="108" priority="15"/>
  </conditionalFormatting>
  <conditionalFormatting sqref="P107">
    <cfRule type="duplicateValues" dxfId="107" priority="12"/>
  </conditionalFormatting>
  <conditionalFormatting sqref="P107">
    <cfRule type="duplicateValues" dxfId="106" priority="13"/>
  </conditionalFormatting>
  <conditionalFormatting sqref="P108">
    <cfRule type="duplicateValues" dxfId="105" priority="10"/>
  </conditionalFormatting>
  <conditionalFormatting sqref="P108">
    <cfRule type="duplicateValues" dxfId="104" priority="11"/>
  </conditionalFormatting>
  <conditionalFormatting sqref="P191">
    <cfRule type="duplicateValues" dxfId="103" priority="8"/>
  </conditionalFormatting>
  <conditionalFormatting sqref="P191">
    <cfRule type="duplicateValues" dxfId="102" priority="9"/>
  </conditionalFormatting>
  <conditionalFormatting sqref="P201">
    <cfRule type="duplicateValues" dxfId="101" priority="7"/>
  </conditionalFormatting>
  <conditionalFormatting sqref="P209">
    <cfRule type="duplicateValues" dxfId="100" priority="5"/>
  </conditionalFormatting>
  <conditionalFormatting sqref="P209">
    <cfRule type="duplicateValues" dxfId="99" priority="6"/>
  </conditionalFormatting>
  <conditionalFormatting sqref="P216">
    <cfRule type="duplicateValues" dxfId="98" priority="3"/>
  </conditionalFormatting>
  <conditionalFormatting sqref="P216">
    <cfRule type="duplicateValues" dxfId="97" priority="4"/>
  </conditionalFormatting>
  <conditionalFormatting sqref="P217">
    <cfRule type="duplicateValues" dxfId="96" priority="1"/>
  </conditionalFormatting>
  <conditionalFormatting sqref="P217">
    <cfRule type="duplicateValues" dxfId="95" priority="2"/>
  </conditionalFormatting>
  <pageMargins left="0.7" right="0.7" top="0.75" bottom="0.75" header="0.3" footer="0.3"/>
  <pageSetup orientation="portrait" horizontalDpi="360" verticalDpi="360" r:id="rId1"/>
  <ignoredErrors>
    <ignoredError sqref="R35 R29 N29 N43 N44 R74 R75:R76 R77:R80 R81:R82 R90:R93 R100 R101:R102 R103 R104 R105:R106 R110:R111 R120 R121:R123 R124:R126 N198:N200 R199:R200 R44 R84 R98:R99 R95:R96" numberStoredAsText="1"/>
  </ignoredErrors>
  <drawing r:id="rId2"/>
  <legacyDrawing r:id="rId3"/>
  <controls>
    <mc:AlternateContent xmlns:mc="http://schemas.openxmlformats.org/markup-compatibility/2006">
      <mc:Choice Requires="x14">
        <control shapeId="1032" r:id="rId4" name="Control 8">
          <controlPr defaultSize="0" r:id="rId5">
            <anchor moveWithCells="1">
              <from>
                <xdr:col>63</xdr:col>
                <xdr:colOff>1819275</xdr:colOff>
                <xdr:row>304</xdr:row>
                <xdr:rowOff>180975</xdr:rowOff>
              </from>
              <to>
                <xdr:col>64</xdr:col>
                <xdr:colOff>190500</xdr:colOff>
                <xdr:row>304</xdr:row>
                <xdr:rowOff>514350</xdr:rowOff>
              </to>
            </anchor>
          </controlPr>
        </control>
      </mc:Choice>
      <mc:Fallback>
        <control shapeId="1032" r:id="rId4" name="Control 8"/>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I191"/>
  <sheetViews>
    <sheetView showGridLines="0" topLeftCell="A169" zoomScale="70" zoomScaleNormal="70" workbookViewId="0">
      <selection sqref="A1:G3"/>
    </sheetView>
  </sheetViews>
  <sheetFormatPr baseColWidth="10" defaultColWidth="11.42578125" defaultRowHeight="15" x14ac:dyDescent="0.2"/>
  <cols>
    <col min="1" max="1" width="18.5703125" style="9" customWidth="1"/>
    <col min="2" max="2" width="13.85546875" style="9" customWidth="1"/>
    <col min="3" max="3" width="18.140625" style="9" customWidth="1"/>
    <col min="4" max="4" width="62.85546875" style="10" customWidth="1"/>
    <col min="5" max="5" width="34.42578125" style="10" customWidth="1"/>
    <col min="6" max="6" width="35" style="10" customWidth="1"/>
    <col min="7" max="7" width="34.28515625" style="10" customWidth="1"/>
    <col min="8" max="9" width="11.42578125" style="2"/>
    <col min="10" max="10" width="21.85546875" style="1" bestFit="1" customWidth="1"/>
    <col min="11" max="16384" width="11.42578125" style="1"/>
  </cols>
  <sheetData>
    <row r="1" spans="1:9" ht="26.25" customHeight="1" x14ac:dyDescent="0.2">
      <c r="A1" s="589" t="s">
        <v>1688</v>
      </c>
      <c r="B1" s="589"/>
      <c r="C1" s="589"/>
      <c r="D1" s="589"/>
      <c r="E1" s="589"/>
      <c r="F1" s="589"/>
      <c r="G1" s="590"/>
      <c r="H1" s="185"/>
    </row>
    <row r="2" spans="1:9" ht="26.25" customHeight="1" x14ac:dyDescent="0.2">
      <c r="A2" s="591"/>
      <c r="B2" s="591"/>
      <c r="C2" s="591"/>
      <c r="D2" s="591"/>
      <c r="E2" s="591"/>
      <c r="F2" s="591"/>
      <c r="G2" s="592"/>
      <c r="H2" s="185"/>
    </row>
    <row r="3" spans="1:9" ht="26.25" customHeight="1" x14ac:dyDescent="0.2">
      <c r="A3" s="593"/>
      <c r="B3" s="593"/>
      <c r="C3" s="593"/>
      <c r="D3" s="593"/>
      <c r="E3" s="593"/>
      <c r="F3" s="593"/>
      <c r="G3" s="594"/>
      <c r="H3" s="185"/>
    </row>
    <row r="4" spans="1:9" ht="24.75" customHeight="1" x14ac:dyDescent="0.2">
      <c r="A4" s="21"/>
      <c r="B4" s="22"/>
      <c r="C4" s="22"/>
      <c r="D4" s="22"/>
      <c r="E4" s="22"/>
      <c r="F4" s="22"/>
      <c r="G4" s="22"/>
    </row>
    <row r="5" spans="1:9" s="4" customFormat="1" ht="56.25" customHeight="1" x14ac:dyDescent="0.25">
      <c r="A5" s="595" t="s">
        <v>5</v>
      </c>
      <c r="B5" s="595" t="s">
        <v>6</v>
      </c>
      <c r="C5" s="597" t="s">
        <v>7</v>
      </c>
      <c r="D5" s="597"/>
      <c r="E5" s="588" t="s">
        <v>12</v>
      </c>
      <c r="F5" s="588"/>
      <c r="G5" s="588"/>
      <c r="H5" s="3"/>
      <c r="I5" s="3"/>
    </row>
    <row r="6" spans="1:9" ht="24" customHeight="1" x14ac:dyDescent="0.2">
      <c r="A6" s="596"/>
      <c r="B6" s="596"/>
      <c r="C6" s="598"/>
      <c r="D6" s="598"/>
      <c r="E6" s="99" t="s">
        <v>1641</v>
      </c>
      <c r="F6" s="99" t="s">
        <v>1490</v>
      </c>
      <c r="G6" s="99" t="s">
        <v>1491</v>
      </c>
    </row>
    <row r="7" spans="1:9" s="6" customFormat="1" ht="24" customHeight="1" x14ac:dyDescent="0.25">
      <c r="A7" s="41" t="s">
        <v>1701</v>
      </c>
      <c r="B7" s="405"/>
      <c r="C7" s="407"/>
      <c r="D7" s="408"/>
      <c r="E7" s="406">
        <f t="shared" ref="E7:G8" si="0">E8</f>
        <v>457524940</v>
      </c>
      <c r="F7" s="406">
        <f t="shared" si="0"/>
        <v>421596834.77999997</v>
      </c>
      <c r="G7" s="406">
        <f t="shared" si="0"/>
        <v>421596834.77999997</v>
      </c>
      <c r="H7" s="5"/>
      <c r="I7" s="5"/>
    </row>
    <row r="8" spans="1:9" s="6" customFormat="1" ht="24" customHeight="1" x14ac:dyDescent="0.25">
      <c r="A8" s="409">
        <v>4</v>
      </c>
      <c r="B8" s="410" t="s">
        <v>37</v>
      </c>
      <c r="C8" s="410"/>
      <c r="D8" s="410"/>
      <c r="E8" s="411">
        <f t="shared" si="0"/>
        <v>457524940</v>
      </c>
      <c r="F8" s="411">
        <f t="shared" si="0"/>
        <v>421596834.77999997</v>
      </c>
      <c r="G8" s="411">
        <f t="shared" si="0"/>
        <v>421596834.77999997</v>
      </c>
      <c r="H8" s="5"/>
      <c r="I8" s="5"/>
    </row>
    <row r="9" spans="1:9" ht="24" customHeight="1" x14ac:dyDescent="0.2">
      <c r="A9" s="178"/>
      <c r="B9" s="412">
        <v>45</v>
      </c>
      <c r="C9" s="413" t="s">
        <v>38</v>
      </c>
      <c r="D9" s="414"/>
      <c r="E9" s="415">
        <f>SUM(E10:E11)</f>
        <v>457524940</v>
      </c>
      <c r="F9" s="415">
        <f>SUM(F10:F11)</f>
        <v>421596834.77999997</v>
      </c>
      <c r="G9" s="415">
        <f>SUM(G10:G11)</f>
        <v>421596834.77999997</v>
      </c>
    </row>
    <row r="10" spans="1:9" ht="70.5" customHeight="1" x14ac:dyDescent="0.2">
      <c r="A10" s="189"/>
      <c r="B10" s="190"/>
      <c r="C10" s="191">
        <v>4599</v>
      </c>
      <c r="D10" s="188" t="s">
        <v>39</v>
      </c>
      <c r="E10" s="192">
        <f>SUM('SGTO POAI VIGENCIA 2021'!BP8:BP10)</f>
        <v>376981574</v>
      </c>
      <c r="F10" s="192">
        <f>SUM('SGTO POAI VIGENCIA 2021'!BQ8:BQ10)</f>
        <v>355164820</v>
      </c>
      <c r="G10" s="192">
        <f>SUM('SGTO POAI VIGENCIA 2021'!BR8:BR10)</f>
        <v>355164820</v>
      </c>
    </row>
    <row r="11" spans="1:9" ht="53.25" customHeight="1" x14ac:dyDescent="0.2">
      <c r="A11" s="193"/>
      <c r="B11" s="194"/>
      <c r="C11" s="195">
        <v>4502</v>
      </c>
      <c r="D11" s="196" t="s">
        <v>60</v>
      </c>
      <c r="E11" s="197">
        <f>'SGTO POAI VIGENCIA 2021'!BD11</f>
        <v>80543366</v>
      </c>
      <c r="F11" s="197">
        <f>'SGTO POAI VIGENCIA 2021'!BE11</f>
        <v>66432014.780000001</v>
      </c>
      <c r="G11" s="197">
        <f>'SGTO POAI VIGENCIA 2021'!BF11</f>
        <v>66432014.780000001</v>
      </c>
    </row>
    <row r="12" spans="1:9" s="36" customFormat="1" ht="15.75" x14ac:dyDescent="0.2">
      <c r="A12" s="177"/>
      <c r="B12" s="177"/>
      <c r="C12" s="177"/>
      <c r="D12" s="183"/>
      <c r="E12" s="183"/>
      <c r="F12" s="183"/>
      <c r="G12" s="183"/>
      <c r="H12" s="31"/>
      <c r="I12" s="31"/>
    </row>
    <row r="13" spans="1:9" s="6" customFormat="1" ht="24" customHeight="1" x14ac:dyDescent="0.25">
      <c r="A13" s="41" t="s">
        <v>69</v>
      </c>
      <c r="B13" s="405"/>
      <c r="C13" s="407"/>
      <c r="D13" s="408"/>
      <c r="E13" s="406">
        <f t="shared" ref="E13:G14" si="1">E14</f>
        <v>910965833</v>
      </c>
      <c r="F13" s="406">
        <f t="shared" si="1"/>
        <v>877866456</v>
      </c>
      <c r="G13" s="406">
        <f>G14</f>
        <v>877866456</v>
      </c>
      <c r="H13" s="5"/>
      <c r="I13" s="5"/>
    </row>
    <row r="14" spans="1:9" ht="24" customHeight="1" x14ac:dyDescent="0.2">
      <c r="A14" s="52">
        <v>4</v>
      </c>
      <c r="B14" s="436" t="s">
        <v>37</v>
      </c>
      <c r="C14" s="437"/>
      <c r="D14" s="438"/>
      <c r="E14" s="439">
        <f t="shared" si="1"/>
        <v>910965833</v>
      </c>
      <c r="F14" s="439">
        <f t="shared" si="1"/>
        <v>877866456</v>
      </c>
      <c r="G14" s="439">
        <f t="shared" si="1"/>
        <v>877866456</v>
      </c>
    </row>
    <row r="15" spans="1:9" ht="24" customHeight="1" x14ac:dyDescent="0.2">
      <c r="A15" s="178"/>
      <c r="B15" s="412">
        <v>45</v>
      </c>
      <c r="C15" s="413" t="s">
        <v>38</v>
      </c>
      <c r="D15" s="414"/>
      <c r="E15" s="416">
        <f>SUM(E16:E17)</f>
        <v>910965833</v>
      </c>
      <c r="F15" s="416">
        <f>SUM(F16:F17)</f>
        <v>877866456</v>
      </c>
      <c r="G15" s="416">
        <f>SUM(G16:G17)</f>
        <v>877866456</v>
      </c>
    </row>
    <row r="16" spans="1:9" s="27" customFormat="1" ht="56.25" customHeight="1" x14ac:dyDescent="0.2">
      <c r="A16" s="198"/>
      <c r="B16" s="199"/>
      <c r="C16" s="191">
        <v>4502</v>
      </c>
      <c r="D16" s="188" t="s">
        <v>60</v>
      </c>
      <c r="E16" s="192">
        <f>'SGTO POAI VIGENCIA 2021'!BD12+'SGTO POAI VIGENCIA 2021'!BD13</f>
        <v>125525000</v>
      </c>
      <c r="F16" s="192">
        <f>'SGTO POAI VIGENCIA 2021'!BE12+'SGTO POAI VIGENCIA 2021'!BE13</f>
        <v>102033467</v>
      </c>
      <c r="G16" s="192">
        <f>'SGTO POAI VIGENCIA 2021'!BF12+'SGTO POAI VIGENCIA 2021'!BF13</f>
        <v>102033467</v>
      </c>
    </row>
    <row r="17" spans="1:9" s="27" customFormat="1" ht="56.25" customHeight="1" x14ac:dyDescent="0.2">
      <c r="A17" s="184"/>
      <c r="B17" s="200"/>
      <c r="C17" s="191">
        <v>4599</v>
      </c>
      <c r="D17" s="188" t="s">
        <v>39</v>
      </c>
      <c r="E17" s="192">
        <f>'SGTO POAI VIGENCIA 2021'!BD14+'SGTO POAI VIGENCIA 2021'!BD15+'SGTO POAI VIGENCIA 2021'!BD16+'SGTO POAI VIGENCIA 2021'!BD17+'SGTO POAI VIGENCIA 2021'!BD18+'SGTO POAI VIGENCIA 2021'!BD19+'SGTO POAI VIGENCIA 2021'!BD20+'SGTO POAI VIGENCIA 2021'!BD21+'SGTO POAI VIGENCIA 2021'!BD22+'SGTO POAI VIGENCIA 2021'!BD23</f>
        <v>785440833</v>
      </c>
      <c r="F17" s="192">
        <f>'SGTO POAI VIGENCIA 2021'!BE14+'SGTO POAI VIGENCIA 2021'!BE15+'SGTO POAI VIGENCIA 2021'!BE16+'SGTO POAI VIGENCIA 2021'!BE17+'SGTO POAI VIGENCIA 2021'!BE18+'SGTO POAI VIGENCIA 2021'!BE19+'SGTO POAI VIGENCIA 2021'!BE20+'SGTO POAI VIGENCIA 2021'!BE21+'SGTO POAI VIGENCIA 2021'!BE22+'SGTO POAI VIGENCIA 2021'!BE23</f>
        <v>775832989</v>
      </c>
      <c r="G17" s="192">
        <f>'SGTO POAI VIGENCIA 2021'!BF14+'SGTO POAI VIGENCIA 2021'!BF15+'SGTO POAI VIGENCIA 2021'!BF16+'SGTO POAI VIGENCIA 2021'!BF17+'SGTO POAI VIGENCIA 2021'!BF18+'SGTO POAI VIGENCIA 2021'!BF19+'SGTO POAI VIGENCIA 2021'!BF20+'SGTO POAI VIGENCIA 2021'!BF21+'SGTO POAI VIGENCIA 2021'!BF22+'SGTO POAI VIGENCIA 2021'!BF23</f>
        <v>775832989</v>
      </c>
    </row>
    <row r="18" spans="1:9" ht="18" customHeight="1" x14ac:dyDescent="0.2">
      <c r="A18" s="93"/>
      <c r="B18" s="93"/>
      <c r="C18" s="93"/>
      <c r="D18" s="94"/>
      <c r="E18" s="94"/>
      <c r="F18" s="94"/>
      <c r="G18" s="94"/>
    </row>
    <row r="19" spans="1:9" ht="24" customHeight="1" x14ac:dyDescent="0.2">
      <c r="A19" s="41" t="s">
        <v>1354</v>
      </c>
      <c r="B19" s="405"/>
      <c r="C19" s="407"/>
      <c r="D19" s="408"/>
      <c r="E19" s="406">
        <f>E20</f>
        <v>2801625342.8400002</v>
      </c>
      <c r="F19" s="406">
        <f t="shared" ref="F19:G21" si="2">F20</f>
        <v>2189284618.6800003</v>
      </c>
      <c r="G19" s="406">
        <f t="shared" si="2"/>
        <v>2189284618.6800003</v>
      </c>
    </row>
    <row r="20" spans="1:9" ht="24" customHeight="1" x14ac:dyDescent="0.2">
      <c r="A20" s="440">
        <v>4</v>
      </c>
      <c r="B20" s="410" t="s">
        <v>37</v>
      </c>
      <c r="C20" s="410"/>
      <c r="D20" s="410"/>
      <c r="E20" s="411">
        <f>E21</f>
        <v>2801625342.8400002</v>
      </c>
      <c r="F20" s="411">
        <f t="shared" si="2"/>
        <v>2189284618.6800003</v>
      </c>
      <c r="G20" s="411">
        <f t="shared" si="2"/>
        <v>2189284618.6800003</v>
      </c>
    </row>
    <row r="21" spans="1:9" ht="24" customHeight="1" x14ac:dyDescent="0.2">
      <c r="A21" s="178"/>
      <c r="B21" s="412">
        <v>45</v>
      </c>
      <c r="C21" s="413" t="s">
        <v>38</v>
      </c>
      <c r="D21" s="414"/>
      <c r="E21" s="415">
        <f>E22</f>
        <v>2801625342.8400002</v>
      </c>
      <c r="F21" s="415">
        <f t="shared" si="2"/>
        <v>2189284618.6800003</v>
      </c>
      <c r="G21" s="415">
        <f t="shared" si="2"/>
        <v>2189284618.6800003</v>
      </c>
    </row>
    <row r="22" spans="1:9" ht="70.5" customHeight="1" x14ac:dyDescent="0.2">
      <c r="A22" s="194"/>
      <c r="B22" s="201"/>
      <c r="C22" s="56">
        <v>4599</v>
      </c>
      <c r="D22" s="188" t="s">
        <v>39</v>
      </c>
      <c r="E22" s="192">
        <f>'SGTO POAI VIGENCIA 2021'!BP24+'SGTO POAI VIGENCIA 2021'!BP25</f>
        <v>2801625342.8400002</v>
      </c>
      <c r="F22" s="192">
        <f>'SGTO POAI VIGENCIA 2021'!BQ24+'SGTO POAI VIGENCIA 2021'!BQ25</f>
        <v>2189284618.6800003</v>
      </c>
      <c r="G22" s="192">
        <f>'SGTO POAI VIGENCIA 2021'!BR24+'SGTO POAI VIGENCIA 2021'!BR25</f>
        <v>2189284618.6800003</v>
      </c>
    </row>
    <row r="23" spans="1:9" s="7" customFormat="1" x14ac:dyDescent="0.2">
      <c r="A23" s="93"/>
      <c r="B23" s="93"/>
      <c r="C23" s="93"/>
      <c r="D23" s="94"/>
      <c r="E23" s="174"/>
      <c r="F23" s="174"/>
      <c r="G23" s="174"/>
      <c r="H23" s="14"/>
      <c r="I23" s="14"/>
    </row>
    <row r="24" spans="1:9" ht="24" customHeight="1" x14ac:dyDescent="0.2">
      <c r="A24" s="41" t="s">
        <v>135</v>
      </c>
      <c r="B24" s="405"/>
      <c r="C24" s="407"/>
      <c r="D24" s="408"/>
      <c r="E24" s="406">
        <f>E25+E39+E47+E36</f>
        <v>19845352105.279999</v>
      </c>
      <c r="F24" s="406">
        <f>F25+F39+F47+F36</f>
        <v>4976127086.9700003</v>
      </c>
      <c r="G24" s="406">
        <f>G25+G39+G47+G36</f>
        <v>4976127086.9700003</v>
      </c>
    </row>
    <row r="25" spans="1:9" ht="24" customHeight="1" x14ac:dyDescent="0.2">
      <c r="A25" s="440">
        <v>1</v>
      </c>
      <c r="B25" s="410" t="s">
        <v>1625</v>
      </c>
      <c r="C25" s="440"/>
      <c r="D25" s="410"/>
      <c r="E25" s="411">
        <f>E26+E28+E30+E32+E34</f>
        <v>5121480408.5</v>
      </c>
      <c r="F25" s="411">
        <f>F26+F28+F30+F32+F34</f>
        <v>953586461.50999999</v>
      </c>
      <c r="G25" s="411">
        <f>G26+G28+G30+G32+G34</f>
        <v>953586461.50999999</v>
      </c>
    </row>
    <row r="26" spans="1:9" ht="24" customHeight="1" x14ac:dyDescent="0.2">
      <c r="A26" s="178"/>
      <c r="B26" s="417">
        <v>12</v>
      </c>
      <c r="C26" s="413" t="s">
        <v>137</v>
      </c>
      <c r="D26" s="414"/>
      <c r="E26" s="415">
        <f>E27</f>
        <v>24750000</v>
      </c>
      <c r="F26" s="415">
        <f>F27</f>
        <v>22616827</v>
      </c>
      <c r="G26" s="415">
        <f>G27</f>
        <v>22616827</v>
      </c>
    </row>
    <row r="27" spans="1:9" ht="61.5" customHeight="1" x14ac:dyDescent="0.2">
      <c r="A27" s="202"/>
      <c r="B27" s="201"/>
      <c r="C27" s="44">
        <v>1202</v>
      </c>
      <c r="D27" s="188" t="s">
        <v>138</v>
      </c>
      <c r="E27" s="192">
        <f>'SGTO POAI VIGENCIA 2021'!BP26</f>
        <v>24750000</v>
      </c>
      <c r="F27" s="192">
        <f>'SGTO POAI VIGENCIA 2021'!BQ26</f>
        <v>22616827</v>
      </c>
      <c r="G27" s="192">
        <f>'SGTO POAI VIGENCIA 2021'!BR26</f>
        <v>22616827</v>
      </c>
    </row>
    <row r="28" spans="1:9" ht="24" customHeight="1" x14ac:dyDescent="0.2">
      <c r="A28" s="179"/>
      <c r="B28" s="417">
        <v>19</v>
      </c>
      <c r="C28" s="413" t="s">
        <v>147</v>
      </c>
      <c r="D28" s="414"/>
      <c r="E28" s="415">
        <f>E29</f>
        <v>459746979</v>
      </c>
      <c r="F28" s="415">
        <f>F29</f>
        <v>6880000</v>
      </c>
      <c r="G28" s="415">
        <f>G29</f>
        <v>6880000</v>
      </c>
    </row>
    <row r="29" spans="1:9" ht="55.5" customHeight="1" x14ac:dyDescent="0.2">
      <c r="A29" s="202"/>
      <c r="B29" s="201"/>
      <c r="C29" s="44">
        <v>1906</v>
      </c>
      <c r="D29" s="188" t="s">
        <v>148</v>
      </c>
      <c r="E29" s="192">
        <f>'SGTO POAI VIGENCIA 2021'!BP27</f>
        <v>459746979</v>
      </c>
      <c r="F29" s="192">
        <f>'SGTO POAI VIGENCIA 2021'!BQ27</f>
        <v>6880000</v>
      </c>
      <c r="G29" s="192">
        <f>'SGTO POAI VIGENCIA 2021'!BR27</f>
        <v>6880000</v>
      </c>
    </row>
    <row r="30" spans="1:9" ht="24" customHeight="1" x14ac:dyDescent="0.2">
      <c r="A30" s="179"/>
      <c r="B30" s="417">
        <v>22</v>
      </c>
      <c r="C30" s="418" t="s">
        <v>156</v>
      </c>
      <c r="D30" s="419"/>
      <c r="E30" s="415">
        <f>E31</f>
        <v>1765974462.4000001</v>
      </c>
      <c r="F30" s="415">
        <f>F31</f>
        <v>298522254</v>
      </c>
      <c r="G30" s="415">
        <f>G31</f>
        <v>298522254</v>
      </c>
    </row>
    <row r="31" spans="1:9" ht="80.25" customHeight="1" x14ac:dyDescent="0.2">
      <c r="A31" s="202"/>
      <c r="B31" s="201"/>
      <c r="C31" s="44">
        <v>2201</v>
      </c>
      <c r="D31" s="188" t="s">
        <v>157</v>
      </c>
      <c r="E31" s="192">
        <f>'SGTO POAI VIGENCIA 2021'!BP28</f>
        <v>1765974462.4000001</v>
      </c>
      <c r="F31" s="192">
        <f>'SGTO POAI VIGENCIA 2021'!BQ28</f>
        <v>298522254</v>
      </c>
      <c r="G31" s="192">
        <f>'SGTO POAI VIGENCIA 2021'!BR28</f>
        <v>298522254</v>
      </c>
    </row>
    <row r="32" spans="1:9" ht="24" customHeight="1" x14ac:dyDescent="0.2">
      <c r="A32" s="179"/>
      <c r="B32" s="417">
        <v>33</v>
      </c>
      <c r="C32" s="418" t="s">
        <v>166</v>
      </c>
      <c r="D32" s="419"/>
      <c r="E32" s="415">
        <f>E33</f>
        <v>110104790</v>
      </c>
      <c r="F32" s="415">
        <f>F33</f>
        <v>52387068</v>
      </c>
      <c r="G32" s="415">
        <f>G33</f>
        <v>52387068</v>
      </c>
    </row>
    <row r="33" spans="1:9" ht="63" customHeight="1" x14ac:dyDescent="0.2">
      <c r="A33" s="202"/>
      <c r="B33" s="201"/>
      <c r="C33" s="44">
        <v>3301</v>
      </c>
      <c r="D33" s="188" t="s">
        <v>167</v>
      </c>
      <c r="E33" s="192">
        <f>'SGTO POAI VIGENCIA 2021'!BP29</f>
        <v>110104790</v>
      </c>
      <c r="F33" s="192">
        <f>'SGTO POAI VIGENCIA 2021'!BQ29</f>
        <v>52387068</v>
      </c>
      <c r="G33" s="192">
        <f>'SGTO POAI VIGENCIA 2021'!BR29</f>
        <v>52387068</v>
      </c>
    </row>
    <row r="34" spans="1:9" ht="24" customHeight="1" x14ac:dyDescent="0.2">
      <c r="A34" s="179"/>
      <c r="B34" s="417">
        <v>43</v>
      </c>
      <c r="C34" s="413" t="s">
        <v>176</v>
      </c>
      <c r="D34" s="413"/>
      <c r="E34" s="415">
        <f>E35</f>
        <v>2760904177.1000004</v>
      </c>
      <c r="F34" s="415">
        <f>F35</f>
        <v>573180312.50999999</v>
      </c>
      <c r="G34" s="415">
        <f>G35</f>
        <v>573180312.50999999</v>
      </c>
    </row>
    <row r="35" spans="1:9" ht="65.25" customHeight="1" x14ac:dyDescent="0.2">
      <c r="A35" s="194"/>
      <c r="B35" s="201"/>
      <c r="C35" s="44">
        <v>4301</v>
      </c>
      <c r="D35" s="188" t="s">
        <v>177</v>
      </c>
      <c r="E35" s="192">
        <f>'SGTO POAI VIGENCIA 2021'!BP30</f>
        <v>2760904177.1000004</v>
      </c>
      <c r="F35" s="192">
        <f>'SGTO POAI VIGENCIA 2021'!BQ30</f>
        <v>573180312.50999999</v>
      </c>
      <c r="G35" s="192">
        <f>'SGTO POAI VIGENCIA 2021'!BR30</f>
        <v>573180312.50999999</v>
      </c>
      <c r="H35" s="1"/>
      <c r="I35" s="1"/>
    </row>
    <row r="36" spans="1:9" ht="30" customHeight="1" x14ac:dyDescent="0.2">
      <c r="A36" s="446">
        <v>2</v>
      </c>
      <c r="B36" s="52" t="s">
        <v>400</v>
      </c>
      <c r="C36" s="410"/>
      <c r="D36" s="410"/>
      <c r="E36" s="411">
        <f t="shared" ref="E36:G37" si="3">E37</f>
        <v>1</v>
      </c>
      <c r="F36" s="411">
        <f t="shared" si="3"/>
        <v>0</v>
      </c>
      <c r="G36" s="411">
        <f t="shared" si="3"/>
        <v>0</v>
      </c>
      <c r="H36" s="1"/>
      <c r="I36" s="1"/>
    </row>
    <row r="37" spans="1:9" ht="27.75" customHeight="1" x14ac:dyDescent="0.2">
      <c r="A37" s="55"/>
      <c r="B37" s="420">
        <v>35</v>
      </c>
      <c r="C37" s="413" t="s">
        <v>401</v>
      </c>
      <c r="D37" s="419"/>
      <c r="E37" s="415">
        <f t="shared" si="3"/>
        <v>1</v>
      </c>
      <c r="F37" s="415">
        <f t="shared" si="3"/>
        <v>0</v>
      </c>
      <c r="G37" s="415">
        <f t="shared" si="3"/>
        <v>0</v>
      </c>
      <c r="H37" s="1"/>
      <c r="I37" s="1"/>
    </row>
    <row r="38" spans="1:9" ht="65.25" customHeight="1" x14ac:dyDescent="0.2">
      <c r="A38" s="186"/>
      <c r="B38" s="186"/>
      <c r="C38" s="44">
        <v>3502</v>
      </c>
      <c r="D38" s="249" t="s">
        <v>1680</v>
      </c>
      <c r="E38" s="192">
        <f>'SGTO POAI VIGENCIA 2021'!BP31</f>
        <v>1</v>
      </c>
      <c r="F38" s="192">
        <f>'SGTO POAI VIGENCIA 2021'!BQ31</f>
        <v>0</v>
      </c>
      <c r="G38" s="192">
        <f>'SGTO POAI VIGENCIA 2021'!BR31</f>
        <v>0</v>
      </c>
      <c r="H38" s="1"/>
      <c r="I38" s="1"/>
    </row>
    <row r="39" spans="1:9" ht="24" customHeight="1" x14ac:dyDescent="0.2">
      <c r="A39" s="446">
        <v>3</v>
      </c>
      <c r="B39" s="52" t="s">
        <v>186</v>
      </c>
      <c r="C39" s="410"/>
      <c r="D39" s="410"/>
      <c r="E39" s="411">
        <f>E40+E42+E44</f>
        <v>14473875296.780001</v>
      </c>
      <c r="F39" s="411">
        <f>F40+F42+F44</f>
        <v>3858585858.79</v>
      </c>
      <c r="G39" s="411">
        <f>G40+G42+G44</f>
        <v>3858585858.79</v>
      </c>
      <c r="H39" s="1"/>
      <c r="I39" s="1"/>
    </row>
    <row r="40" spans="1:9" ht="24" customHeight="1" x14ac:dyDescent="0.2">
      <c r="A40" s="55"/>
      <c r="B40" s="420">
        <v>24</v>
      </c>
      <c r="C40" s="421" t="s">
        <v>187</v>
      </c>
      <c r="D40" s="419"/>
      <c r="E40" s="415">
        <f>E41</f>
        <v>8590607588</v>
      </c>
      <c r="F40" s="415">
        <f>F41</f>
        <v>369431670</v>
      </c>
      <c r="G40" s="415">
        <f>G41</f>
        <v>369431670</v>
      </c>
    </row>
    <row r="41" spans="1:9" ht="59.25" customHeight="1" x14ac:dyDescent="0.2">
      <c r="A41" s="186"/>
      <c r="B41" s="186"/>
      <c r="C41" s="44">
        <v>2402</v>
      </c>
      <c r="D41" s="188" t="s">
        <v>188</v>
      </c>
      <c r="E41" s="192">
        <f>SUM('SGTO POAI VIGENCIA 2021'!BP32:BP34)</f>
        <v>8590607588</v>
      </c>
      <c r="F41" s="192">
        <f>SUM('SGTO POAI VIGENCIA 2021'!BQ32:BQ34)</f>
        <v>369431670</v>
      </c>
      <c r="G41" s="192">
        <f>SUM('SGTO POAI VIGENCIA 2021'!BR32:BR34)</f>
        <v>369431670</v>
      </c>
      <c r="H41" s="1"/>
      <c r="I41" s="1"/>
    </row>
    <row r="42" spans="1:9" ht="24" customHeight="1" x14ac:dyDescent="0.2">
      <c r="A42" s="55"/>
      <c r="B42" s="422">
        <v>32</v>
      </c>
      <c r="C42" s="413" t="s">
        <v>207</v>
      </c>
      <c r="D42" s="413"/>
      <c r="E42" s="415">
        <f>E43</f>
        <v>2263108067</v>
      </c>
      <c r="F42" s="415">
        <f>F43</f>
        <v>432461075.78999996</v>
      </c>
      <c r="G42" s="415">
        <f>G43</f>
        <v>432461075.78999996</v>
      </c>
    </row>
    <row r="43" spans="1:9" ht="54.75" customHeight="1" x14ac:dyDescent="0.2">
      <c r="A43" s="186"/>
      <c r="B43" s="186"/>
      <c r="C43" s="44">
        <v>3205</v>
      </c>
      <c r="D43" s="188" t="s">
        <v>208</v>
      </c>
      <c r="E43" s="192">
        <f>SUM('SGTO POAI VIGENCIA 2021'!BP35:BP36)</f>
        <v>2263108067</v>
      </c>
      <c r="F43" s="192">
        <f>SUM('SGTO POAI VIGENCIA 2021'!BQ35:BQ36)</f>
        <v>432461075.78999996</v>
      </c>
      <c r="G43" s="192">
        <f>SUM('SGTO POAI VIGENCIA 2021'!BR35:BR36)</f>
        <v>432461075.78999996</v>
      </c>
      <c r="H43" s="1"/>
      <c r="I43" s="1"/>
    </row>
    <row r="44" spans="1:9" ht="24" customHeight="1" x14ac:dyDescent="0.2">
      <c r="A44" s="55"/>
      <c r="B44" s="422">
        <v>40</v>
      </c>
      <c r="C44" s="413" t="s">
        <v>221</v>
      </c>
      <c r="D44" s="419"/>
      <c r="E44" s="415">
        <f>SUM(E45:E46)</f>
        <v>3620159641.7800002</v>
      </c>
      <c r="F44" s="415">
        <f>SUM(F45:F46)</f>
        <v>3056693113</v>
      </c>
      <c r="G44" s="415">
        <f>SUM(G45:G46)</f>
        <v>3056693113</v>
      </c>
    </row>
    <row r="45" spans="1:9" ht="48.75" customHeight="1" x14ac:dyDescent="0.2">
      <c r="A45" s="186"/>
      <c r="B45" s="186"/>
      <c r="C45" s="44">
        <v>4001</v>
      </c>
      <c r="D45" s="188" t="s">
        <v>222</v>
      </c>
      <c r="E45" s="192">
        <f>'SGTO POAI VIGENCIA 2021'!BP37</f>
        <v>120000000.09999999</v>
      </c>
      <c r="F45" s="192">
        <f>'SGTO POAI VIGENCIA 2021'!BQ37</f>
        <v>0</v>
      </c>
      <c r="G45" s="192">
        <f>'SGTO POAI VIGENCIA 2021'!BR37</f>
        <v>0</v>
      </c>
      <c r="H45" s="1"/>
      <c r="I45" s="1"/>
    </row>
    <row r="46" spans="1:9" ht="59.25" customHeight="1" x14ac:dyDescent="0.2">
      <c r="A46" s="186"/>
      <c r="B46" s="186"/>
      <c r="C46" s="44">
        <v>4003</v>
      </c>
      <c r="D46" s="188" t="s">
        <v>230</v>
      </c>
      <c r="E46" s="192">
        <f>SUM('SGTO POAI VIGENCIA 2021'!BP38:BP43)</f>
        <v>3500159641.6800003</v>
      </c>
      <c r="F46" s="192">
        <f>SUM('SGTO POAI VIGENCIA 2021'!BQ38:BQ43)</f>
        <v>3056693113</v>
      </c>
      <c r="G46" s="192">
        <f>SUM('SGTO POAI VIGENCIA 2021'!BR38:BR43)</f>
        <v>3056693113</v>
      </c>
      <c r="H46" s="1"/>
      <c r="I46" s="1"/>
    </row>
    <row r="47" spans="1:9" ht="24" customHeight="1" x14ac:dyDescent="0.2">
      <c r="A47" s="445">
        <v>4</v>
      </c>
      <c r="B47" s="410" t="s">
        <v>37</v>
      </c>
      <c r="C47" s="410"/>
      <c r="D47" s="410"/>
      <c r="E47" s="411">
        <f>E48</f>
        <v>249996399</v>
      </c>
      <c r="F47" s="411">
        <f>F48</f>
        <v>163954766.67000002</v>
      </c>
      <c r="G47" s="411">
        <f>G48</f>
        <v>163954766.67000002</v>
      </c>
      <c r="H47" s="1"/>
      <c r="I47" s="1"/>
    </row>
    <row r="48" spans="1:9" ht="24" customHeight="1" x14ac:dyDescent="0.2">
      <c r="A48" s="55"/>
      <c r="B48" s="422">
        <v>45</v>
      </c>
      <c r="C48" s="413" t="s">
        <v>38</v>
      </c>
      <c r="D48" s="414"/>
      <c r="E48" s="415">
        <f>SUM(E49:E50)</f>
        <v>249996399</v>
      </c>
      <c r="F48" s="415">
        <f>SUM(F49:F50)</f>
        <v>163954766.67000002</v>
      </c>
      <c r="G48" s="415">
        <f>SUM(G49:G50)</f>
        <v>163954766.67000002</v>
      </c>
    </row>
    <row r="49" spans="1:9" ht="66" customHeight="1" x14ac:dyDescent="0.2">
      <c r="A49" s="186"/>
      <c r="B49" s="186"/>
      <c r="C49" s="44">
        <v>4599</v>
      </c>
      <c r="D49" s="188" t="s">
        <v>39</v>
      </c>
      <c r="E49" s="192">
        <f>'SGTO POAI VIGENCIA 2021'!BP44</f>
        <v>218394939</v>
      </c>
      <c r="F49" s="192">
        <f>'SGTO POAI VIGENCIA 2021'!BQ44</f>
        <v>132461956</v>
      </c>
      <c r="G49" s="192">
        <f>'SGTO POAI VIGENCIA 2021'!BR44</f>
        <v>132461956</v>
      </c>
      <c r="H49" s="1"/>
      <c r="I49" s="1"/>
    </row>
    <row r="50" spans="1:9" ht="53.25" customHeight="1" x14ac:dyDescent="0.2">
      <c r="A50" s="186"/>
      <c r="B50" s="186"/>
      <c r="C50" s="44">
        <v>4502</v>
      </c>
      <c r="D50" s="188" t="s">
        <v>60</v>
      </c>
      <c r="E50" s="192">
        <f>'SGTO POAI VIGENCIA 2021'!BP45</f>
        <v>31601460</v>
      </c>
      <c r="F50" s="192">
        <f>'SGTO POAI VIGENCIA 2021'!BQ45</f>
        <v>31492810.670000002</v>
      </c>
      <c r="G50" s="192">
        <f>'SGTO POAI VIGENCIA 2021'!BR45</f>
        <v>31492810.670000002</v>
      </c>
    </row>
    <row r="51" spans="1:9" s="7" customFormat="1" x14ac:dyDescent="0.2">
      <c r="A51" s="93"/>
      <c r="B51" s="93"/>
      <c r="C51" s="93"/>
      <c r="D51" s="94"/>
      <c r="E51" s="174"/>
      <c r="F51" s="174"/>
      <c r="G51" s="174"/>
      <c r="H51" s="14"/>
      <c r="I51" s="14"/>
    </row>
    <row r="52" spans="1:9" ht="24" customHeight="1" x14ac:dyDescent="0.2">
      <c r="A52" s="41" t="s">
        <v>261</v>
      </c>
      <c r="B52" s="405"/>
      <c r="C52" s="407"/>
      <c r="D52" s="408"/>
      <c r="E52" s="406">
        <f>E53+E65+E70</f>
        <v>6443722008.3299999</v>
      </c>
      <c r="F52" s="406">
        <f>F53+F65+F70</f>
        <v>2583294879.1700001</v>
      </c>
      <c r="G52" s="406">
        <f>G53+G65+G70</f>
        <v>2583294879.1700001</v>
      </c>
    </row>
    <row r="53" spans="1:9" ht="24" customHeight="1" x14ac:dyDescent="0.2">
      <c r="A53" s="444">
        <v>1</v>
      </c>
      <c r="B53" s="410" t="s">
        <v>136</v>
      </c>
      <c r="C53" s="410"/>
      <c r="D53" s="410"/>
      <c r="E53" s="411">
        <f>E54+E58+E60+E63</f>
        <v>5280930171.3299999</v>
      </c>
      <c r="F53" s="411">
        <f>F54+F58+F60+F63</f>
        <v>1851559831.1099999</v>
      </c>
      <c r="G53" s="411">
        <f>G54+G58+G60+G63</f>
        <v>1851559831.1099999</v>
      </c>
    </row>
    <row r="54" spans="1:9" ht="24" customHeight="1" x14ac:dyDescent="0.2">
      <c r="A54" s="180"/>
      <c r="B54" s="412">
        <v>12</v>
      </c>
      <c r="C54" s="413" t="s">
        <v>137</v>
      </c>
      <c r="D54" s="413"/>
      <c r="E54" s="415">
        <f>SUM(E55:E57)</f>
        <v>232578401</v>
      </c>
      <c r="F54" s="415">
        <f>SUM(F55:F57)</f>
        <v>204899055</v>
      </c>
      <c r="G54" s="415">
        <f>SUM(G55:G57)</f>
        <v>204899055</v>
      </c>
    </row>
    <row r="55" spans="1:9" ht="34.5" customHeight="1" x14ac:dyDescent="0.2">
      <c r="A55" s="203"/>
      <c r="B55" s="190"/>
      <c r="C55" s="73">
        <v>1202</v>
      </c>
      <c r="D55" s="188" t="s">
        <v>138</v>
      </c>
      <c r="E55" s="192">
        <f>'SGTO POAI VIGENCIA 2021'!BP46</f>
        <v>135355000</v>
      </c>
      <c r="F55" s="192">
        <f>'SGTO POAI VIGENCIA 2021'!BQ46</f>
        <v>129803000</v>
      </c>
      <c r="G55" s="192">
        <f>'SGTO POAI VIGENCIA 2021'!BR46</f>
        <v>129803000</v>
      </c>
    </row>
    <row r="56" spans="1:9" ht="36.75" customHeight="1" x14ac:dyDescent="0.2">
      <c r="A56" s="203"/>
      <c r="B56" s="202"/>
      <c r="C56" s="73">
        <v>1203</v>
      </c>
      <c r="D56" s="188" t="s">
        <v>265</v>
      </c>
      <c r="E56" s="192">
        <f>'SGTO POAI VIGENCIA 2021'!BP47</f>
        <v>67223401</v>
      </c>
      <c r="F56" s="192">
        <f>'SGTO POAI VIGENCIA 2021'!BQ47</f>
        <v>65096055</v>
      </c>
      <c r="G56" s="192">
        <f>'SGTO POAI VIGENCIA 2021'!BR47</f>
        <v>65096055</v>
      </c>
    </row>
    <row r="57" spans="1:9" ht="60" customHeight="1" x14ac:dyDescent="0.2">
      <c r="A57" s="203"/>
      <c r="B57" s="194"/>
      <c r="C57" s="73">
        <v>1206</v>
      </c>
      <c r="D57" s="188" t="s">
        <v>271</v>
      </c>
      <c r="E57" s="192">
        <f>'SGTO POAI VIGENCIA 2021'!BP48</f>
        <v>30000000</v>
      </c>
      <c r="F57" s="192">
        <f>'SGTO POAI VIGENCIA 2021'!BQ48</f>
        <v>10000000</v>
      </c>
      <c r="G57" s="192">
        <f>'SGTO POAI VIGENCIA 2021'!BR48</f>
        <v>10000000</v>
      </c>
    </row>
    <row r="58" spans="1:9" ht="24" customHeight="1" x14ac:dyDescent="0.2">
      <c r="A58" s="181"/>
      <c r="B58" s="423">
        <v>22</v>
      </c>
      <c r="C58" s="418" t="s">
        <v>156</v>
      </c>
      <c r="D58" s="419"/>
      <c r="E58" s="415">
        <f>E59</f>
        <v>74287500</v>
      </c>
      <c r="F58" s="415">
        <f>F59</f>
        <v>61854666</v>
      </c>
      <c r="G58" s="415">
        <f>G59</f>
        <v>61854666</v>
      </c>
    </row>
    <row r="59" spans="1:9" ht="62.25" customHeight="1" x14ac:dyDescent="0.2">
      <c r="A59" s="204"/>
      <c r="B59" s="201"/>
      <c r="C59" s="44">
        <v>2201</v>
      </c>
      <c r="D59" s="188" t="s">
        <v>277</v>
      </c>
      <c r="E59" s="192">
        <f>'SGTO POAI VIGENCIA 2021'!BP49</f>
        <v>74287500</v>
      </c>
      <c r="F59" s="192">
        <f>'SGTO POAI VIGENCIA 2021'!BQ49</f>
        <v>61854666</v>
      </c>
      <c r="G59" s="192">
        <f>'SGTO POAI VIGENCIA 2021'!BR49</f>
        <v>61854666</v>
      </c>
    </row>
    <row r="60" spans="1:9" ht="24" customHeight="1" x14ac:dyDescent="0.2">
      <c r="A60" s="205"/>
      <c r="B60" s="412">
        <v>41</v>
      </c>
      <c r="C60" s="413" t="s">
        <v>284</v>
      </c>
      <c r="D60" s="424"/>
      <c r="E60" s="425">
        <f>SUM(E61:E62)</f>
        <v>536684742</v>
      </c>
      <c r="F60" s="425">
        <f>SUM(F61:F62)</f>
        <v>404311396.94999999</v>
      </c>
      <c r="G60" s="425">
        <f>SUM(G61:G62)</f>
        <v>404311396.94999999</v>
      </c>
    </row>
    <row r="61" spans="1:9" ht="44.25" customHeight="1" x14ac:dyDescent="0.2">
      <c r="A61" s="203"/>
      <c r="B61" s="190"/>
      <c r="C61" s="73">
        <v>4101</v>
      </c>
      <c r="D61" s="188" t="s">
        <v>285</v>
      </c>
      <c r="E61" s="192">
        <f>SUM('SGTO POAI VIGENCIA 2021'!BP50:BP54)</f>
        <v>502657113</v>
      </c>
      <c r="F61" s="192">
        <f>SUM('SGTO POAI VIGENCIA 2021'!BQ50:BQ54)</f>
        <v>388019267.94999999</v>
      </c>
      <c r="G61" s="192">
        <f>SUM('SGTO POAI VIGENCIA 2021'!BR50:BR54)</f>
        <v>388019267.94999999</v>
      </c>
    </row>
    <row r="62" spans="1:9" ht="57" customHeight="1" x14ac:dyDescent="0.2">
      <c r="A62" s="203"/>
      <c r="B62" s="194"/>
      <c r="C62" s="73">
        <v>4103</v>
      </c>
      <c r="D62" s="188" t="s">
        <v>302</v>
      </c>
      <c r="E62" s="192">
        <f>'SGTO POAI VIGENCIA 2021'!BP55</f>
        <v>34027629</v>
      </c>
      <c r="F62" s="192">
        <f>'SGTO POAI VIGENCIA 2021'!BQ55</f>
        <v>16292129</v>
      </c>
      <c r="G62" s="192">
        <f>'SGTO POAI VIGENCIA 2021'!BR55</f>
        <v>16292129</v>
      </c>
      <c r="H62" s="1"/>
      <c r="I62" s="1"/>
    </row>
    <row r="63" spans="1:9" ht="24" customHeight="1" x14ac:dyDescent="0.2">
      <c r="A63" s="181"/>
      <c r="B63" s="423">
        <v>45</v>
      </c>
      <c r="C63" s="413" t="s">
        <v>38</v>
      </c>
      <c r="D63" s="414"/>
      <c r="E63" s="415">
        <f>E64</f>
        <v>4437379528.3299999</v>
      </c>
      <c r="F63" s="415">
        <f>F64</f>
        <v>1180494713.1599998</v>
      </c>
      <c r="G63" s="415">
        <f>G64</f>
        <v>1180494713.1599998</v>
      </c>
    </row>
    <row r="64" spans="1:9" ht="53.25" customHeight="1" x14ac:dyDescent="0.2">
      <c r="A64" s="206"/>
      <c r="B64" s="201"/>
      <c r="C64" s="44">
        <v>4501</v>
      </c>
      <c r="D64" s="188" t="s">
        <v>311</v>
      </c>
      <c r="E64" s="192">
        <f>SUM('SGTO POAI VIGENCIA 2021'!BP56:BP57)</f>
        <v>4437379528.3299999</v>
      </c>
      <c r="F64" s="192">
        <f>SUM('SGTO POAI VIGENCIA 2021'!BQ56:BQ57)</f>
        <v>1180494713.1599998</v>
      </c>
      <c r="G64" s="192">
        <f>SUM('SGTO POAI VIGENCIA 2021'!BR56:BR57)</f>
        <v>1180494713.1599998</v>
      </c>
      <c r="H64" s="1"/>
      <c r="I64" s="1"/>
    </row>
    <row r="65" spans="1:9" ht="24" customHeight="1" x14ac:dyDescent="0.2">
      <c r="A65" s="409">
        <v>3</v>
      </c>
      <c r="B65" s="410" t="s">
        <v>186</v>
      </c>
      <c r="C65" s="410"/>
      <c r="D65" s="410"/>
      <c r="E65" s="411">
        <f>E66+E68</f>
        <v>772165104</v>
      </c>
      <c r="F65" s="411">
        <f>F66+F68</f>
        <v>391704056.06</v>
      </c>
      <c r="G65" s="411">
        <f>G66+G68</f>
        <v>391704056.06</v>
      </c>
      <c r="H65" s="1"/>
      <c r="I65" s="1"/>
    </row>
    <row r="66" spans="1:9" ht="24" customHeight="1" x14ac:dyDescent="0.2">
      <c r="A66" s="178"/>
      <c r="B66" s="417">
        <v>32</v>
      </c>
      <c r="C66" s="413" t="s">
        <v>207</v>
      </c>
      <c r="D66" s="413"/>
      <c r="E66" s="415">
        <f>E67</f>
        <v>243850000</v>
      </c>
      <c r="F66" s="415">
        <f>F67</f>
        <v>100601333</v>
      </c>
      <c r="G66" s="415">
        <f>G67</f>
        <v>100601333</v>
      </c>
    </row>
    <row r="67" spans="1:9" s="27" customFormat="1" ht="46.5" customHeight="1" x14ac:dyDescent="0.2">
      <c r="A67" s="198"/>
      <c r="B67" s="73"/>
      <c r="C67" s="44">
        <v>3205</v>
      </c>
      <c r="D67" s="188" t="s">
        <v>208</v>
      </c>
      <c r="E67" s="192">
        <f>'SGTO POAI VIGENCIA 2021'!BP58</f>
        <v>243850000</v>
      </c>
      <c r="F67" s="192">
        <f>'SGTO POAI VIGENCIA 2021'!BQ58</f>
        <v>100601333</v>
      </c>
      <c r="G67" s="192">
        <f>'SGTO POAI VIGENCIA 2021'!BR58</f>
        <v>100601333</v>
      </c>
    </row>
    <row r="68" spans="1:9" ht="24" customHeight="1" x14ac:dyDescent="0.2">
      <c r="A68" s="179"/>
      <c r="B68" s="417">
        <v>45</v>
      </c>
      <c r="C68" s="413" t="s">
        <v>38</v>
      </c>
      <c r="D68" s="414"/>
      <c r="E68" s="415">
        <f>E69</f>
        <v>528315104</v>
      </c>
      <c r="F68" s="415">
        <f>F69</f>
        <v>291102723.06</v>
      </c>
      <c r="G68" s="415">
        <f>G69</f>
        <v>291102723.06</v>
      </c>
    </row>
    <row r="69" spans="1:9" s="27" customFormat="1" ht="44.25" customHeight="1" x14ac:dyDescent="0.2">
      <c r="A69" s="184"/>
      <c r="B69" s="73"/>
      <c r="C69" s="44">
        <v>4503</v>
      </c>
      <c r="D69" s="188" t="s">
        <v>1476</v>
      </c>
      <c r="E69" s="192">
        <f>SUM('SGTO POAI VIGENCIA 2021'!BP59:BP61)</f>
        <v>528315104</v>
      </c>
      <c r="F69" s="192">
        <f>SUM('SGTO POAI VIGENCIA 2021'!BQ59:BQ61)</f>
        <v>291102723.06</v>
      </c>
      <c r="G69" s="192">
        <f>SUM('SGTO POAI VIGENCIA 2021'!BR59:BR61)</f>
        <v>291102723.06</v>
      </c>
    </row>
    <row r="70" spans="1:9" ht="24" customHeight="1" x14ac:dyDescent="0.2">
      <c r="A70" s="409">
        <v>4</v>
      </c>
      <c r="B70" s="410" t="s">
        <v>37</v>
      </c>
      <c r="C70" s="410"/>
      <c r="D70" s="443"/>
      <c r="E70" s="411">
        <f t="shared" ref="E70:G71" si="4">E71</f>
        <v>390626733</v>
      </c>
      <c r="F70" s="411">
        <f t="shared" si="4"/>
        <v>340030992</v>
      </c>
      <c r="G70" s="411">
        <f t="shared" si="4"/>
        <v>340030992</v>
      </c>
      <c r="H70" s="1"/>
      <c r="I70" s="1"/>
    </row>
    <row r="71" spans="1:9" ht="24" customHeight="1" x14ac:dyDescent="0.2">
      <c r="A71" s="178"/>
      <c r="B71" s="417">
        <v>45</v>
      </c>
      <c r="C71" s="413" t="s">
        <v>38</v>
      </c>
      <c r="D71" s="426"/>
      <c r="E71" s="415">
        <f t="shared" si="4"/>
        <v>390626733</v>
      </c>
      <c r="F71" s="415">
        <f t="shared" si="4"/>
        <v>340030992</v>
      </c>
      <c r="G71" s="415">
        <f t="shared" si="4"/>
        <v>340030992</v>
      </c>
    </row>
    <row r="72" spans="1:9" s="27" customFormat="1" ht="54.75" customHeight="1" x14ac:dyDescent="0.2">
      <c r="A72" s="184"/>
      <c r="B72" s="73"/>
      <c r="C72" s="44">
        <v>4502</v>
      </c>
      <c r="D72" s="188" t="s">
        <v>60</v>
      </c>
      <c r="E72" s="124">
        <f>SUM('SGTO POAI VIGENCIA 2021'!BP62:BP66)</f>
        <v>390626733</v>
      </c>
      <c r="F72" s="124">
        <f>SUM('SGTO POAI VIGENCIA 2021'!BQ62:BQ66)</f>
        <v>340030992</v>
      </c>
      <c r="G72" s="124">
        <f>SUM('SGTO POAI VIGENCIA 2021'!BR62:BR66)</f>
        <v>340030992</v>
      </c>
    </row>
    <row r="73" spans="1:9" s="7" customFormat="1" x14ac:dyDescent="0.2">
      <c r="A73" s="93"/>
      <c r="B73" s="93"/>
      <c r="C73" s="93"/>
      <c r="D73" s="94"/>
      <c r="E73" s="174"/>
      <c r="F73" s="174"/>
      <c r="G73" s="174"/>
      <c r="H73" s="14"/>
      <c r="I73" s="14"/>
    </row>
    <row r="74" spans="1:9" ht="24" customHeight="1" x14ac:dyDescent="0.2">
      <c r="A74" s="41" t="s">
        <v>359</v>
      </c>
      <c r="B74" s="405"/>
      <c r="C74" s="407"/>
      <c r="D74" s="408"/>
      <c r="E74" s="406">
        <f>E75</f>
        <v>3988607319.3199997</v>
      </c>
      <c r="F74" s="406">
        <f t="shared" ref="E74:G75" si="5">F75</f>
        <v>3398905453.8099999</v>
      </c>
      <c r="G74" s="406">
        <f t="shared" si="5"/>
        <v>3398905453.8099999</v>
      </c>
      <c r="H74" s="1"/>
      <c r="I74" s="1"/>
    </row>
    <row r="75" spans="1:9" ht="24" customHeight="1" x14ac:dyDescent="0.2">
      <c r="A75" s="440">
        <v>1</v>
      </c>
      <c r="B75" s="410" t="s">
        <v>136</v>
      </c>
      <c r="C75" s="410"/>
      <c r="D75" s="410"/>
      <c r="E75" s="411">
        <f t="shared" si="5"/>
        <v>3988607319.3199997</v>
      </c>
      <c r="F75" s="411">
        <f t="shared" si="5"/>
        <v>3398905453.8099999</v>
      </c>
      <c r="G75" s="411">
        <f t="shared" si="5"/>
        <v>3398905453.8099999</v>
      </c>
      <c r="H75" s="1"/>
      <c r="I75" s="1"/>
    </row>
    <row r="76" spans="1:9" ht="24" customHeight="1" x14ac:dyDescent="0.2">
      <c r="A76" s="178"/>
      <c r="B76" s="412">
        <v>33</v>
      </c>
      <c r="C76" s="418" t="s">
        <v>166</v>
      </c>
      <c r="D76" s="419"/>
      <c r="E76" s="415">
        <f>SUM(E77:E78)</f>
        <v>3988607319.3199997</v>
      </c>
      <c r="F76" s="415">
        <f>SUM(F77:F78)</f>
        <v>3398905453.8099999</v>
      </c>
      <c r="G76" s="415">
        <f>SUM(G77:G78)</f>
        <v>3398905453.8099999</v>
      </c>
    </row>
    <row r="77" spans="1:9" s="27" customFormat="1" ht="46.5" customHeight="1" x14ac:dyDescent="0.2">
      <c r="A77" s="207"/>
      <c r="B77" s="208"/>
      <c r="C77" s="73">
        <v>3301</v>
      </c>
      <c r="D77" s="188" t="s">
        <v>167</v>
      </c>
      <c r="E77" s="192">
        <f>SUM('SGTO POAI VIGENCIA 2021'!BP67:BP74)</f>
        <v>3714409083.0199995</v>
      </c>
      <c r="F77" s="192">
        <f>SUM('SGTO POAI VIGENCIA 2021'!BQ67:BQ74)</f>
        <v>3138561985.8099999</v>
      </c>
      <c r="G77" s="192">
        <f>SUM('SGTO POAI VIGENCIA 2021'!BR67:BR74)</f>
        <v>3138561985.8099999</v>
      </c>
    </row>
    <row r="78" spans="1:9" s="27" customFormat="1" ht="51" customHeight="1" x14ac:dyDescent="0.2">
      <c r="A78" s="209"/>
      <c r="B78" s="184"/>
      <c r="C78" s="73">
        <v>3302</v>
      </c>
      <c r="D78" s="188" t="s">
        <v>389</v>
      </c>
      <c r="E78" s="124">
        <f>SUM('SGTO POAI VIGENCIA 2021'!BP75:BP76)</f>
        <v>274198236.30000001</v>
      </c>
      <c r="F78" s="124">
        <f>SUM('SGTO POAI VIGENCIA 2021'!BQ75:BQ76)</f>
        <v>260343468</v>
      </c>
      <c r="G78" s="124">
        <f>SUM('SGTO POAI VIGENCIA 2021'!BR75:BR76)</f>
        <v>260343468</v>
      </c>
    </row>
    <row r="79" spans="1:9" s="7" customFormat="1" x14ac:dyDescent="0.2">
      <c r="A79" s="93"/>
      <c r="B79" s="93"/>
      <c r="C79" s="93"/>
      <c r="D79" s="94"/>
      <c r="E79" s="174"/>
      <c r="F79" s="174"/>
      <c r="G79" s="174"/>
      <c r="H79" s="14"/>
      <c r="I79" s="14"/>
    </row>
    <row r="80" spans="1:9" ht="24" customHeight="1" x14ac:dyDescent="0.2">
      <c r="A80" s="41" t="s">
        <v>399</v>
      </c>
      <c r="B80" s="405"/>
      <c r="C80" s="407"/>
      <c r="D80" s="408"/>
      <c r="E80" s="406">
        <f>E81</f>
        <v>3556587709.6100001</v>
      </c>
      <c r="F80" s="406">
        <f>F81</f>
        <v>2928955045.5100002</v>
      </c>
      <c r="G80" s="406">
        <f>G81</f>
        <v>2928955045.5100002</v>
      </c>
      <c r="H80" s="1"/>
      <c r="I80" s="1"/>
    </row>
    <row r="81" spans="1:9" ht="24" customHeight="1" x14ac:dyDescent="0.2">
      <c r="A81" s="442">
        <v>2</v>
      </c>
      <c r="B81" s="410" t="s">
        <v>400</v>
      </c>
      <c r="C81" s="410"/>
      <c r="D81" s="410"/>
      <c r="E81" s="411">
        <f>E82+E84</f>
        <v>3556587709.6100001</v>
      </c>
      <c r="F81" s="411">
        <f>F82+F84</f>
        <v>2928955045.5100002</v>
      </c>
      <c r="G81" s="411">
        <f>G82+G84</f>
        <v>2928955045.5100002</v>
      </c>
      <c r="H81" s="1"/>
      <c r="I81" s="1"/>
    </row>
    <row r="82" spans="1:9" ht="24" customHeight="1" x14ac:dyDescent="0.2">
      <c r="A82" s="178"/>
      <c r="B82" s="417">
        <v>35</v>
      </c>
      <c r="C82" s="413" t="s">
        <v>401</v>
      </c>
      <c r="D82" s="414"/>
      <c r="E82" s="415">
        <f>E83</f>
        <v>3319087709.6100001</v>
      </c>
      <c r="F82" s="415">
        <f>F83</f>
        <v>2702437594.5100002</v>
      </c>
      <c r="G82" s="415">
        <f>G83</f>
        <v>2702437594.5100002</v>
      </c>
    </row>
    <row r="83" spans="1:9" s="27" customFormat="1" ht="53.25" customHeight="1" x14ac:dyDescent="0.2">
      <c r="A83" s="198"/>
      <c r="B83" s="73"/>
      <c r="C83" s="56">
        <v>3502</v>
      </c>
      <c r="D83" s="188" t="s">
        <v>402</v>
      </c>
      <c r="E83" s="192">
        <f>SUM('SGTO POAI VIGENCIA 2021'!BP77:BP84)</f>
        <v>3319087709.6100001</v>
      </c>
      <c r="F83" s="192">
        <f>SUM('SGTO POAI VIGENCIA 2021'!BQ77:BQ84)</f>
        <v>2702437594.5100002</v>
      </c>
      <c r="G83" s="192">
        <f>SUM('SGTO POAI VIGENCIA 2021'!BR77:BR84)</f>
        <v>2702437594.5100002</v>
      </c>
    </row>
    <row r="84" spans="1:9" ht="24" customHeight="1" x14ac:dyDescent="0.2">
      <c r="A84" s="179"/>
      <c r="B84" s="417">
        <v>36</v>
      </c>
      <c r="C84" s="418" t="s">
        <v>433</v>
      </c>
      <c r="D84" s="419"/>
      <c r="E84" s="415">
        <f>E85</f>
        <v>237500000</v>
      </c>
      <c r="F84" s="415">
        <f>F85</f>
        <v>226517451</v>
      </c>
      <c r="G84" s="415">
        <f>G85</f>
        <v>226517451</v>
      </c>
    </row>
    <row r="85" spans="1:9" s="27" customFormat="1" ht="53.25" customHeight="1" x14ac:dyDescent="0.2">
      <c r="A85" s="184"/>
      <c r="B85" s="73"/>
      <c r="C85" s="56">
        <v>3602</v>
      </c>
      <c r="D85" s="188" t="s">
        <v>434</v>
      </c>
      <c r="E85" s="192">
        <f>SUM('SGTO POAI VIGENCIA 2021'!BP85:BP88)</f>
        <v>237500000</v>
      </c>
      <c r="F85" s="192">
        <f>SUM('SGTO POAI VIGENCIA 2021'!BQ85:BQ88)</f>
        <v>226517451</v>
      </c>
      <c r="G85" s="192">
        <f>SUM('SGTO POAI VIGENCIA 2021'!BR85:BR88)</f>
        <v>226517451</v>
      </c>
    </row>
    <row r="86" spans="1:9" s="7" customFormat="1" x14ac:dyDescent="0.2">
      <c r="A86" s="93"/>
      <c r="B86" s="93"/>
      <c r="C86" s="93"/>
      <c r="D86" s="94"/>
      <c r="E86" s="174"/>
      <c r="F86" s="174"/>
      <c r="G86" s="174"/>
      <c r="H86" s="14"/>
      <c r="I86" s="14"/>
    </row>
    <row r="87" spans="1:9" ht="24" customHeight="1" x14ac:dyDescent="0.2">
      <c r="A87" s="41" t="s">
        <v>450</v>
      </c>
      <c r="B87" s="405"/>
      <c r="C87" s="407"/>
      <c r="D87" s="408"/>
      <c r="E87" s="406">
        <f>E88+E99</f>
        <v>3838799887.6300001</v>
      </c>
      <c r="F87" s="406">
        <f>F88+F99</f>
        <v>2309257005.5699997</v>
      </c>
      <c r="G87" s="406">
        <f>G88+G99</f>
        <v>2309257005.5699997</v>
      </c>
    </row>
    <row r="88" spans="1:9" ht="24" customHeight="1" x14ac:dyDescent="0.2">
      <c r="A88" s="440">
        <v>2</v>
      </c>
      <c r="B88" s="410" t="s">
        <v>400</v>
      </c>
      <c r="C88" s="410"/>
      <c r="D88" s="410"/>
      <c r="E88" s="411">
        <f>E89+E97</f>
        <v>2201711999.6300001</v>
      </c>
      <c r="F88" s="411">
        <f>F89+F97</f>
        <v>1701149489</v>
      </c>
      <c r="G88" s="411">
        <f>G89+G97</f>
        <v>1701149489</v>
      </c>
      <c r="H88" s="17"/>
    </row>
    <row r="89" spans="1:9" ht="24" customHeight="1" x14ac:dyDescent="0.2">
      <c r="A89" s="178"/>
      <c r="B89" s="412">
        <v>17</v>
      </c>
      <c r="C89" s="413" t="s">
        <v>451</v>
      </c>
      <c r="D89" s="414"/>
      <c r="E89" s="415">
        <f>SUM(E90:E96)</f>
        <v>2165711999.6300001</v>
      </c>
      <c r="F89" s="415">
        <f>SUM(F90:F96)</f>
        <v>1666954489</v>
      </c>
      <c r="G89" s="415">
        <f>SUM(G90:G96)</f>
        <v>1666954489</v>
      </c>
    </row>
    <row r="90" spans="1:9" ht="57.75" customHeight="1" x14ac:dyDescent="0.2">
      <c r="A90" s="202"/>
      <c r="B90" s="210"/>
      <c r="C90" s="73">
        <v>1702</v>
      </c>
      <c r="D90" s="188" t="s">
        <v>452</v>
      </c>
      <c r="E90" s="192">
        <f>SUM('SGTO POAI VIGENCIA 2021'!BP89:BP99)</f>
        <v>1562901499.6300001</v>
      </c>
      <c r="F90" s="192">
        <f>SUM('SGTO POAI VIGENCIA 2021'!BQ89:BQ99)</f>
        <v>1092284323</v>
      </c>
      <c r="G90" s="192">
        <f>SUM('SGTO POAI VIGENCIA 2021'!BR89:BR99)</f>
        <v>1092284323</v>
      </c>
      <c r="H90" s="17"/>
    </row>
    <row r="91" spans="1:9" ht="54" customHeight="1" x14ac:dyDescent="0.2">
      <c r="A91" s="202"/>
      <c r="B91" s="204"/>
      <c r="C91" s="73">
        <v>1703</v>
      </c>
      <c r="D91" s="188" t="s">
        <v>500</v>
      </c>
      <c r="E91" s="192">
        <f>SUM('SGTO POAI VIGENCIA 2021'!BP100)</f>
        <v>325000000</v>
      </c>
      <c r="F91" s="192">
        <f>SUM('SGTO POAI VIGENCIA 2021'!BQ100)</f>
        <v>324995000</v>
      </c>
      <c r="G91" s="192">
        <f>SUM('SGTO POAI VIGENCIA 2021'!BR100)</f>
        <v>324995000</v>
      </c>
      <c r="H91" s="17"/>
      <c r="I91" s="1"/>
    </row>
    <row r="92" spans="1:9" ht="62.25" customHeight="1" x14ac:dyDescent="0.2">
      <c r="A92" s="202"/>
      <c r="B92" s="204"/>
      <c r="C92" s="73">
        <v>1704</v>
      </c>
      <c r="D92" s="188" t="s">
        <v>507</v>
      </c>
      <c r="E92" s="192">
        <f>SUM('SGTO POAI VIGENCIA 2021'!BP101:BP102)</f>
        <v>69255500</v>
      </c>
      <c r="F92" s="192">
        <f>SUM('SGTO POAI VIGENCIA 2021'!BQ101:BQ102)</f>
        <v>69255166</v>
      </c>
      <c r="G92" s="192">
        <f>SUM('SGTO POAI VIGENCIA 2021'!BR101:BR102)</f>
        <v>69255166</v>
      </c>
      <c r="H92" s="17"/>
      <c r="I92" s="1"/>
    </row>
    <row r="93" spans="1:9" ht="42" customHeight="1" x14ac:dyDescent="0.2">
      <c r="A93" s="202"/>
      <c r="B93" s="204"/>
      <c r="C93" s="73">
        <v>1706</v>
      </c>
      <c r="D93" s="188" t="s">
        <v>516</v>
      </c>
      <c r="E93" s="192">
        <f>'SGTO POAI VIGENCIA 2021'!BP103</f>
        <v>20000000</v>
      </c>
      <c r="F93" s="192">
        <f>'SGTO POAI VIGENCIA 2021'!BQ103</f>
        <v>20000000</v>
      </c>
      <c r="G93" s="192">
        <f>'SGTO POAI VIGENCIA 2021'!BR103</f>
        <v>20000000</v>
      </c>
      <c r="H93" s="17"/>
      <c r="I93" s="1"/>
    </row>
    <row r="94" spans="1:9" ht="57" customHeight="1" x14ac:dyDescent="0.2">
      <c r="A94" s="202"/>
      <c r="B94" s="204"/>
      <c r="C94" s="73">
        <v>1707</v>
      </c>
      <c r="D94" s="188" t="s">
        <v>523</v>
      </c>
      <c r="E94" s="192">
        <f>'SGTO POAI VIGENCIA 2021'!BP104</f>
        <v>43000000</v>
      </c>
      <c r="F94" s="192">
        <f>'SGTO POAI VIGENCIA 2021'!BQ104</f>
        <v>34865000</v>
      </c>
      <c r="G94" s="192">
        <f>'SGTO POAI VIGENCIA 2021'!BR104</f>
        <v>34865000</v>
      </c>
      <c r="H94" s="17"/>
      <c r="I94" s="1"/>
    </row>
    <row r="95" spans="1:9" ht="60.75" customHeight="1" x14ac:dyDescent="0.2">
      <c r="A95" s="202"/>
      <c r="B95" s="204"/>
      <c r="C95" s="73">
        <v>1708</v>
      </c>
      <c r="D95" s="188" t="s">
        <v>530</v>
      </c>
      <c r="E95" s="192">
        <f>SUM('SGTO POAI VIGENCIA 2021'!BP105:BP106)</f>
        <v>37555000</v>
      </c>
      <c r="F95" s="192">
        <f>SUM('SGTO POAI VIGENCIA 2021'!BQ105:BQ106)</f>
        <v>17555000</v>
      </c>
      <c r="G95" s="192">
        <f>SUM('SGTO POAI VIGENCIA 2021'!BR105:BR106)</f>
        <v>17555000</v>
      </c>
      <c r="H95" s="17"/>
    </row>
    <row r="96" spans="1:9" ht="42" customHeight="1" x14ac:dyDescent="0.2">
      <c r="A96" s="202"/>
      <c r="B96" s="206"/>
      <c r="C96" s="73">
        <v>1709</v>
      </c>
      <c r="D96" s="188" t="s">
        <v>539</v>
      </c>
      <c r="E96" s="192">
        <f>SUM('SGTO POAI VIGENCIA 2021'!BP107:BP109)</f>
        <v>108000000</v>
      </c>
      <c r="F96" s="192">
        <f>SUM('SGTO POAI VIGENCIA 2021'!BQ107:BQ109)</f>
        <v>108000000</v>
      </c>
      <c r="G96" s="192">
        <f>SUM('SGTO POAI VIGENCIA 2021'!BR107:BR109)</f>
        <v>108000000</v>
      </c>
      <c r="H96" s="17"/>
    </row>
    <row r="97" spans="1:9" ht="24" customHeight="1" x14ac:dyDescent="0.2">
      <c r="A97" s="179"/>
      <c r="B97" s="423">
        <v>35</v>
      </c>
      <c r="C97" s="413" t="s">
        <v>401</v>
      </c>
      <c r="D97" s="414"/>
      <c r="E97" s="415">
        <f>E98</f>
        <v>36000000</v>
      </c>
      <c r="F97" s="415">
        <f>F98</f>
        <v>34195000</v>
      </c>
      <c r="G97" s="415">
        <f>G98</f>
        <v>34195000</v>
      </c>
    </row>
    <row r="98" spans="1:9" ht="73.5" customHeight="1" x14ac:dyDescent="0.2">
      <c r="A98" s="194"/>
      <c r="B98" s="201"/>
      <c r="C98" s="44">
        <v>3502</v>
      </c>
      <c r="D98" s="188" t="s">
        <v>402</v>
      </c>
      <c r="E98" s="192">
        <f>SUM('SGTO POAI VIGENCIA 2021'!BP110:BP111)</f>
        <v>36000000</v>
      </c>
      <c r="F98" s="192">
        <f>SUM('SGTO POAI VIGENCIA 2021'!BQ110:BQ111)</f>
        <v>34195000</v>
      </c>
      <c r="G98" s="192">
        <f>SUM('SGTO POAI VIGENCIA 2021'!BR110:BR111)</f>
        <v>34195000</v>
      </c>
      <c r="H98" s="17"/>
    </row>
    <row r="99" spans="1:9" ht="24" customHeight="1" x14ac:dyDescent="0.2">
      <c r="A99" s="409">
        <v>3</v>
      </c>
      <c r="B99" s="410" t="s">
        <v>186</v>
      </c>
      <c r="C99" s="410"/>
      <c r="D99" s="410"/>
      <c r="E99" s="411">
        <f>E100</f>
        <v>1637087888</v>
      </c>
      <c r="F99" s="411">
        <f>F100</f>
        <v>608107516.56999993</v>
      </c>
      <c r="G99" s="411">
        <f>G100</f>
        <v>608107516.56999993</v>
      </c>
      <c r="H99" s="17"/>
    </row>
    <row r="100" spans="1:9" ht="24" customHeight="1" x14ac:dyDescent="0.2">
      <c r="A100" s="178"/>
      <c r="B100" s="412">
        <v>32</v>
      </c>
      <c r="C100" s="413" t="s">
        <v>207</v>
      </c>
      <c r="D100" s="414"/>
      <c r="E100" s="415">
        <f>SUM(E101:E105)</f>
        <v>1637087888</v>
      </c>
      <c r="F100" s="415">
        <f>SUM(F101:F105)</f>
        <v>608107516.56999993</v>
      </c>
      <c r="G100" s="415">
        <f>SUM(G101:G105)</f>
        <v>608107516.56999993</v>
      </c>
    </row>
    <row r="101" spans="1:9" s="27" customFormat="1" ht="52.5" customHeight="1" x14ac:dyDescent="0.2">
      <c r="A101" s="207"/>
      <c r="B101" s="208"/>
      <c r="C101" s="73" t="s">
        <v>557</v>
      </c>
      <c r="D101" s="188" t="s">
        <v>558</v>
      </c>
      <c r="E101" s="192">
        <f>SUM('SGTO POAI VIGENCIA 2021'!BP112:BP113)</f>
        <v>81456499</v>
      </c>
      <c r="F101" s="192">
        <f>SUM('SGTO POAI VIGENCIA 2021'!BQ112:BQ113)</f>
        <v>81456499</v>
      </c>
      <c r="G101" s="192">
        <f>SUM('SGTO POAI VIGENCIA 2021'!BR112:BR113)</f>
        <v>81456499</v>
      </c>
      <c r="H101" s="18"/>
    </row>
    <row r="102" spans="1:9" s="27" customFormat="1" ht="52.5" customHeight="1" x14ac:dyDescent="0.2">
      <c r="A102" s="207"/>
      <c r="B102" s="198"/>
      <c r="C102" s="73">
        <v>3202</v>
      </c>
      <c r="D102" s="188" t="s">
        <v>568</v>
      </c>
      <c r="E102" s="192">
        <f>SUM('SGTO POAI VIGENCIA 2021'!BP114:BP119)</f>
        <v>1235631389</v>
      </c>
      <c r="F102" s="192">
        <f>SUM('SGTO POAI VIGENCIA 2021'!BQ114:BQ119)</f>
        <v>464280684.56999999</v>
      </c>
      <c r="G102" s="192">
        <f>SUM('SGTO POAI VIGENCIA 2021'!BR114:BR119)</f>
        <v>464280684.56999999</v>
      </c>
      <c r="H102" s="18"/>
    </row>
    <row r="103" spans="1:9" s="27" customFormat="1" ht="52.5" customHeight="1" x14ac:dyDescent="0.2">
      <c r="A103" s="207"/>
      <c r="B103" s="198"/>
      <c r="C103" s="73" t="s">
        <v>598</v>
      </c>
      <c r="D103" s="188" t="s">
        <v>599</v>
      </c>
      <c r="E103" s="192">
        <f>SUM('SGTO POAI VIGENCIA 2021'!BP120)</f>
        <v>120000000</v>
      </c>
      <c r="F103" s="192">
        <f>SUM('SGTO POAI VIGENCIA 2021'!BQ120)</f>
        <v>52835333</v>
      </c>
      <c r="G103" s="192">
        <f>SUM('SGTO POAI VIGENCIA 2021'!BR120)</f>
        <v>52835333</v>
      </c>
      <c r="H103" s="18"/>
    </row>
    <row r="104" spans="1:9" s="27" customFormat="1" ht="52.5" customHeight="1" x14ac:dyDescent="0.2">
      <c r="A104" s="207"/>
      <c r="B104" s="198"/>
      <c r="C104" s="73">
        <v>3205</v>
      </c>
      <c r="D104" s="188" t="s">
        <v>208</v>
      </c>
      <c r="E104" s="192">
        <f>SUM('SGTO POAI VIGENCIA 2021'!BP121:BP123)</f>
        <v>82000000</v>
      </c>
      <c r="F104" s="192">
        <f>SUM('SGTO POAI VIGENCIA 2021'!BQ121:BQ123)</f>
        <v>0</v>
      </c>
      <c r="G104" s="192">
        <f>SUM('SGTO POAI VIGENCIA 2021'!BR121:BR123)</f>
        <v>0</v>
      </c>
      <c r="H104" s="18"/>
    </row>
    <row r="105" spans="1:9" s="27" customFormat="1" ht="52.5" customHeight="1" x14ac:dyDescent="0.2">
      <c r="A105" s="209"/>
      <c r="B105" s="184"/>
      <c r="C105" s="73" t="s">
        <v>617</v>
      </c>
      <c r="D105" s="188" t="s">
        <v>618</v>
      </c>
      <c r="E105" s="192">
        <f>SUM('SGTO POAI VIGENCIA 2021'!BP124:BP126)</f>
        <v>118000000</v>
      </c>
      <c r="F105" s="192">
        <f>SUM('SGTO POAI VIGENCIA 2021'!BQ124:BQ126)</f>
        <v>9535000</v>
      </c>
      <c r="G105" s="192">
        <f>SUM('SGTO POAI VIGENCIA 2021'!BR124:BR126)</f>
        <v>9535000</v>
      </c>
      <c r="H105" s="18"/>
    </row>
    <row r="106" spans="1:9" s="7" customFormat="1" x14ac:dyDescent="0.2">
      <c r="A106" s="93"/>
      <c r="B106" s="93"/>
      <c r="C106" s="93"/>
      <c r="D106" s="94"/>
      <c r="E106" s="174"/>
      <c r="F106" s="174"/>
      <c r="G106" s="174"/>
      <c r="H106" s="14"/>
      <c r="I106" s="14"/>
    </row>
    <row r="107" spans="1:9" ht="24" customHeight="1" x14ac:dyDescent="0.2">
      <c r="A107" s="41" t="s">
        <v>633</v>
      </c>
      <c r="B107" s="405"/>
      <c r="C107" s="407"/>
      <c r="D107" s="408"/>
      <c r="E107" s="406">
        <f t="shared" ref="E107:G108" si="6">E108</f>
        <v>1177000000</v>
      </c>
      <c r="F107" s="406">
        <f t="shared" si="6"/>
        <v>1175258655.9299998</v>
      </c>
      <c r="G107" s="406">
        <f t="shared" si="6"/>
        <v>1175258655.9299998</v>
      </c>
    </row>
    <row r="108" spans="1:9" ht="24" customHeight="1" x14ac:dyDescent="0.2">
      <c r="A108" s="440">
        <v>4</v>
      </c>
      <c r="B108" s="410" t="s">
        <v>37</v>
      </c>
      <c r="C108" s="410"/>
      <c r="D108" s="410"/>
      <c r="E108" s="411">
        <f t="shared" si="6"/>
        <v>1177000000</v>
      </c>
      <c r="F108" s="411">
        <f t="shared" si="6"/>
        <v>1175258655.9299998</v>
      </c>
      <c r="G108" s="411">
        <f t="shared" si="6"/>
        <v>1175258655.9299998</v>
      </c>
    </row>
    <row r="109" spans="1:9" ht="24" customHeight="1" x14ac:dyDescent="0.2">
      <c r="A109" s="178"/>
      <c r="B109" s="412">
        <v>45</v>
      </c>
      <c r="C109" s="413" t="s">
        <v>38</v>
      </c>
      <c r="D109" s="414"/>
      <c r="E109" s="415">
        <f>SUM(E110:E111)</f>
        <v>1177000000</v>
      </c>
      <c r="F109" s="415">
        <f>SUM(F110:F111)</f>
        <v>1175258655.9299998</v>
      </c>
      <c r="G109" s="415">
        <f>SUM(G110:G111)</f>
        <v>1175258655.9299998</v>
      </c>
    </row>
    <row r="110" spans="1:9" s="211" customFormat="1" ht="74.25" customHeight="1" x14ac:dyDescent="0.25">
      <c r="A110" s="207"/>
      <c r="B110" s="208"/>
      <c r="C110" s="73">
        <v>4599</v>
      </c>
      <c r="D110" s="188" t="s">
        <v>634</v>
      </c>
      <c r="E110" s="192">
        <f>SUM('SGTO POAI VIGENCIA 2021'!BP127:BP128)</f>
        <v>1032712500.02</v>
      </c>
      <c r="F110" s="192">
        <f>SUM('SGTO POAI VIGENCIA 2021'!BQ127:BQ128)</f>
        <v>1030971155.9499999</v>
      </c>
      <c r="G110" s="192">
        <f>SUM('SGTO POAI VIGENCIA 2021'!BR127:BR128)</f>
        <v>1030971155.9499999</v>
      </c>
    </row>
    <row r="111" spans="1:9" s="27" customFormat="1" ht="54.75" customHeight="1" x14ac:dyDescent="0.2">
      <c r="A111" s="209"/>
      <c r="B111" s="184"/>
      <c r="C111" s="73">
        <v>4502</v>
      </c>
      <c r="D111" s="188" t="s">
        <v>60</v>
      </c>
      <c r="E111" s="124">
        <f>'SGTO POAI VIGENCIA 2021'!BP129</f>
        <v>144287499.97999999</v>
      </c>
      <c r="F111" s="124">
        <f>'SGTO POAI VIGENCIA 2021'!BQ129</f>
        <v>144287499.97999999</v>
      </c>
      <c r="G111" s="124">
        <f>'SGTO POAI VIGENCIA 2021'!BR129</f>
        <v>144287499.97999999</v>
      </c>
    </row>
    <row r="112" spans="1:9" s="7" customFormat="1" x14ac:dyDescent="0.2">
      <c r="A112" s="93"/>
      <c r="B112" s="93"/>
      <c r="C112" s="93"/>
      <c r="D112" s="94"/>
      <c r="E112" s="174"/>
      <c r="F112" s="174"/>
      <c r="G112" s="174"/>
      <c r="H112" s="14"/>
      <c r="I112" s="14"/>
    </row>
    <row r="113" spans="1:9" ht="24" customHeight="1" x14ac:dyDescent="0.2">
      <c r="A113" s="41" t="s">
        <v>651</v>
      </c>
      <c r="B113" s="405"/>
      <c r="C113" s="407"/>
      <c r="D113" s="408"/>
      <c r="E113" s="406">
        <f>E114+E118</f>
        <v>193197400269.78006</v>
      </c>
      <c r="F113" s="406">
        <f>F114+F118</f>
        <v>188842332007.94998</v>
      </c>
      <c r="G113" s="406">
        <f>G114+G118</f>
        <v>188842332007.94998</v>
      </c>
      <c r="H113" s="1"/>
      <c r="I113" s="1"/>
    </row>
    <row r="114" spans="1:9" ht="24" customHeight="1" x14ac:dyDescent="0.2">
      <c r="A114" s="440">
        <v>1</v>
      </c>
      <c r="B114" s="410" t="s">
        <v>136</v>
      </c>
      <c r="C114" s="410"/>
      <c r="D114" s="410"/>
      <c r="E114" s="411">
        <f>E115</f>
        <v>193189900269.78006</v>
      </c>
      <c r="F114" s="411">
        <f>F115</f>
        <v>188834832007.94998</v>
      </c>
      <c r="G114" s="411">
        <f>G115</f>
        <v>188834832007.94998</v>
      </c>
      <c r="H114" s="1"/>
      <c r="I114" s="1"/>
    </row>
    <row r="115" spans="1:9" ht="24" customHeight="1" x14ac:dyDescent="0.2">
      <c r="A115" s="178"/>
      <c r="B115" s="182">
        <v>22</v>
      </c>
      <c r="C115" s="42" t="s">
        <v>156</v>
      </c>
      <c r="D115" s="92"/>
      <c r="E115" s="98">
        <f>SUM(E116:E117)</f>
        <v>193189900269.78006</v>
      </c>
      <c r="F115" s="98">
        <f>SUM(F116:F117)</f>
        <v>188834832007.94998</v>
      </c>
      <c r="G115" s="98">
        <f>SUM(G116:G117)</f>
        <v>188834832007.94998</v>
      </c>
    </row>
    <row r="116" spans="1:9" s="27" customFormat="1" ht="55.5" customHeight="1" x14ac:dyDescent="0.2">
      <c r="A116" s="198"/>
      <c r="B116" s="199"/>
      <c r="C116" s="191">
        <v>2201</v>
      </c>
      <c r="D116" s="188" t="s">
        <v>277</v>
      </c>
      <c r="E116" s="124">
        <f>SUM('SGTO POAI VIGENCIA 2021'!BP130:BP163)</f>
        <v>192750842017.78006</v>
      </c>
      <c r="F116" s="124">
        <f>SUM('SGTO POAI VIGENCIA 2021'!BQ130:BQ163)</f>
        <v>188402251245.94998</v>
      </c>
      <c r="G116" s="124">
        <f>SUM('SGTO POAI VIGENCIA 2021'!BR130:BR163)</f>
        <v>188402251245.94998</v>
      </c>
    </row>
    <row r="117" spans="1:9" s="27" customFormat="1" ht="55.5" customHeight="1" x14ac:dyDescent="0.2">
      <c r="A117" s="184"/>
      <c r="B117" s="200"/>
      <c r="C117" s="73">
        <v>2202</v>
      </c>
      <c r="D117" s="188" t="s">
        <v>1482</v>
      </c>
      <c r="E117" s="192">
        <f>SUM('SGTO POAI VIGENCIA 2021'!BP164)</f>
        <v>439058252</v>
      </c>
      <c r="F117" s="192">
        <f>SUM('SGTO POAI VIGENCIA 2021'!BQ164)</f>
        <v>432580762</v>
      </c>
      <c r="G117" s="192">
        <f>SUM('SGTO POAI VIGENCIA 2021'!BR164)</f>
        <v>432580762</v>
      </c>
    </row>
    <row r="118" spans="1:9" ht="24" customHeight="1" x14ac:dyDescent="0.2">
      <c r="A118" s="409">
        <v>2</v>
      </c>
      <c r="B118" s="441" t="s">
        <v>400</v>
      </c>
      <c r="C118" s="410"/>
      <c r="D118" s="410"/>
      <c r="E118" s="411">
        <f t="shared" ref="E118:G119" si="7">E119</f>
        <v>7500000</v>
      </c>
      <c r="F118" s="411">
        <f t="shared" si="7"/>
        <v>7500000</v>
      </c>
      <c r="G118" s="411">
        <f t="shared" si="7"/>
        <v>7500000</v>
      </c>
      <c r="H118" s="17"/>
    </row>
    <row r="119" spans="1:9" ht="24" customHeight="1" x14ac:dyDescent="0.2">
      <c r="A119" s="178"/>
      <c r="B119" s="417">
        <v>39</v>
      </c>
      <c r="C119" s="413" t="s">
        <v>1483</v>
      </c>
      <c r="D119" s="413"/>
      <c r="E119" s="415">
        <f t="shared" si="7"/>
        <v>7500000</v>
      </c>
      <c r="F119" s="415">
        <f t="shared" si="7"/>
        <v>7500000</v>
      </c>
      <c r="G119" s="415">
        <f t="shared" si="7"/>
        <v>7500000</v>
      </c>
    </row>
    <row r="120" spans="1:9" s="27" customFormat="1" ht="39.75" customHeight="1" x14ac:dyDescent="0.2">
      <c r="A120" s="184"/>
      <c r="B120" s="73"/>
      <c r="C120" s="44">
        <v>3904</v>
      </c>
      <c r="D120" s="188" t="s">
        <v>759</v>
      </c>
      <c r="E120" s="192">
        <f>'SGTO POAI VIGENCIA 2021'!BP165</f>
        <v>7500000</v>
      </c>
      <c r="F120" s="192">
        <f>'SGTO POAI VIGENCIA 2021'!BQ165</f>
        <v>7500000</v>
      </c>
      <c r="G120" s="192">
        <f>'SGTO POAI VIGENCIA 2021'!BR165</f>
        <v>7500000</v>
      </c>
    </row>
    <row r="121" spans="1:9" s="7" customFormat="1" x14ac:dyDescent="0.2">
      <c r="A121" s="93"/>
      <c r="B121" s="93"/>
      <c r="C121" s="93"/>
      <c r="D121" s="94"/>
      <c r="E121" s="174"/>
      <c r="F121" s="174"/>
      <c r="G121" s="174"/>
      <c r="H121" s="14"/>
      <c r="I121" s="14"/>
    </row>
    <row r="122" spans="1:9" s="7" customFormat="1" ht="24" customHeight="1" x14ac:dyDescent="0.2">
      <c r="A122" s="41" t="s">
        <v>767</v>
      </c>
      <c r="B122" s="405"/>
      <c r="C122" s="407"/>
      <c r="D122" s="408"/>
      <c r="E122" s="406">
        <f>E123+E132+E137</f>
        <v>6915266350.0100002</v>
      </c>
      <c r="F122" s="406">
        <f>F123+F132+F137</f>
        <v>5456827952.6399994</v>
      </c>
      <c r="G122" s="406">
        <f>G123+G132+G137</f>
        <v>5456827952.6399994</v>
      </c>
      <c r="H122" s="14"/>
      <c r="I122" s="14"/>
    </row>
    <row r="123" spans="1:9" s="7" customFormat="1" ht="24" customHeight="1" x14ac:dyDescent="0.2">
      <c r="A123" s="440">
        <v>1</v>
      </c>
      <c r="B123" s="410" t="s">
        <v>136</v>
      </c>
      <c r="C123" s="410"/>
      <c r="D123" s="410"/>
      <c r="E123" s="411">
        <f>E124+E126+E128</f>
        <v>6381976847.0100002</v>
      </c>
      <c r="F123" s="411">
        <f>F124+F126+F128</f>
        <v>4991209544.6399994</v>
      </c>
      <c r="G123" s="411">
        <f>G124+G126+G128</f>
        <v>4991209544.6399994</v>
      </c>
      <c r="H123" s="14"/>
      <c r="I123" s="14"/>
    </row>
    <row r="124" spans="1:9" ht="24" customHeight="1" x14ac:dyDescent="0.2">
      <c r="A124" s="178"/>
      <c r="B124" s="417">
        <v>19</v>
      </c>
      <c r="C124" s="413" t="s">
        <v>147</v>
      </c>
      <c r="D124" s="414"/>
      <c r="E124" s="415">
        <f>E125</f>
        <v>170000000</v>
      </c>
      <c r="F124" s="415">
        <f>F125</f>
        <v>165845884</v>
      </c>
      <c r="G124" s="415">
        <f>G125</f>
        <v>165845884</v>
      </c>
    </row>
    <row r="125" spans="1:9" s="28" customFormat="1" ht="51" customHeight="1" x14ac:dyDescent="0.2">
      <c r="A125" s="198"/>
      <c r="B125" s="73"/>
      <c r="C125" s="44">
        <v>1905</v>
      </c>
      <c r="D125" s="47" t="s">
        <v>768</v>
      </c>
      <c r="E125" s="192">
        <f>SUM('SGTO POAI VIGENCIA 2021'!BP166:BP167)</f>
        <v>170000000</v>
      </c>
      <c r="F125" s="192">
        <f>SUM('SGTO POAI VIGENCIA 2021'!BQ166:BQ167)</f>
        <v>165845884</v>
      </c>
      <c r="G125" s="192">
        <f>SUM('SGTO POAI VIGENCIA 2021'!BR166:BR167)</f>
        <v>165845884</v>
      </c>
    </row>
    <row r="126" spans="1:9" ht="24" customHeight="1" x14ac:dyDescent="0.2">
      <c r="A126" s="179"/>
      <c r="B126" s="417">
        <v>33</v>
      </c>
      <c r="C126" s="418" t="s">
        <v>166</v>
      </c>
      <c r="D126" s="419"/>
      <c r="E126" s="415">
        <f>E127</f>
        <v>14250000</v>
      </c>
      <c r="F126" s="415">
        <f>F127</f>
        <v>14250000</v>
      </c>
      <c r="G126" s="415">
        <f>G127</f>
        <v>14250000</v>
      </c>
    </row>
    <row r="127" spans="1:9" s="28" customFormat="1" ht="51.75" customHeight="1" x14ac:dyDescent="0.2">
      <c r="A127" s="198"/>
      <c r="B127" s="73"/>
      <c r="C127" s="44">
        <v>3301</v>
      </c>
      <c r="D127" s="188" t="s">
        <v>167</v>
      </c>
      <c r="E127" s="192">
        <f>'SGTO POAI VIGENCIA 2021'!BP168</f>
        <v>14250000</v>
      </c>
      <c r="F127" s="192">
        <f>'SGTO POAI VIGENCIA 2021'!BQ168</f>
        <v>14250000</v>
      </c>
      <c r="G127" s="192">
        <f>'SGTO POAI VIGENCIA 2021'!BR168</f>
        <v>14250000</v>
      </c>
    </row>
    <row r="128" spans="1:9" ht="24" customHeight="1" x14ac:dyDescent="0.2">
      <c r="A128" s="179"/>
      <c r="B128" s="412">
        <v>41</v>
      </c>
      <c r="C128" s="413" t="s">
        <v>784</v>
      </c>
      <c r="D128" s="414"/>
      <c r="E128" s="415">
        <f>SUM(E129:E131)</f>
        <v>6197726847.0100002</v>
      </c>
      <c r="F128" s="415">
        <f>SUM(F129:F131)</f>
        <v>4811113660.6399994</v>
      </c>
      <c r="G128" s="415">
        <f>SUM(G129:G131)</f>
        <v>4811113660.6399994</v>
      </c>
    </row>
    <row r="129" spans="1:9" s="28" customFormat="1" ht="53.25" customHeight="1" x14ac:dyDescent="0.2">
      <c r="A129" s="207"/>
      <c r="B129" s="208"/>
      <c r="C129" s="73">
        <v>4102</v>
      </c>
      <c r="D129" s="188" t="s">
        <v>785</v>
      </c>
      <c r="E129" s="192">
        <f>SUM('SGTO POAI VIGENCIA 2021'!BP169:BP178)</f>
        <v>1174562889</v>
      </c>
      <c r="F129" s="192">
        <f>SUM('SGTO POAI VIGENCIA 2021'!BQ169:BQ178)</f>
        <v>1067412570</v>
      </c>
      <c r="G129" s="192">
        <f>SUM('SGTO POAI VIGENCIA 2021'!BR169:BR178)</f>
        <v>1067412570</v>
      </c>
    </row>
    <row r="130" spans="1:9" s="28" customFormat="1" ht="48.75" customHeight="1" x14ac:dyDescent="0.2">
      <c r="A130" s="207"/>
      <c r="B130" s="198"/>
      <c r="C130" s="73">
        <v>4103</v>
      </c>
      <c r="D130" s="188" t="s">
        <v>302</v>
      </c>
      <c r="E130" s="192">
        <f>SUM('SGTO POAI VIGENCIA 2021'!BP179:BP185)</f>
        <v>233793714</v>
      </c>
      <c r="F130" s="192">
        <f>SUM('SGTO POAI VIGENCIA 2021'!BQ179:BQ185)</f>
        <v>226708797.38999999</v>
      </c>
      <c r="G130" s="192">
        <f>SUM('SGTO POAI VIGENCIA 2021'!BR179:BR185)</f>
        <v>226708797.38999999</v>
      </c>
    </row>
    <row r="131" spans="1:9" s="28" customFormat="1" ht="51.75" customHeight="1" x14ac:dyDescent="0.2">
      <c r="A131" s="209"/>
      <c r="B131" s="184"/>
      <c r="C131" s="73">
        <v>4104</v>
      </c>
      <c r="D131" s="188" t="s">
        <v>893</v>
      </c>
      <c r="E131" s="192">
        <f>SUM('SGTO POAI VIGENCIA 2021'!BP186:BP190)</f>
        <v>4789370244.0100002</v>
      </c>
      <c r="F131" s="192">
        <f>SUM('SGTO POAI VIGENCIA 2021'!BQ186:BQ190)</f>
        <v>3516992293.25</v>
      </c>
      <c r="G131" s="192">
        <f>SUM('SGTO POAI VIGENCIA 2021'!BR186:BR190)</f>
        <v>3516992293.25</v>
      </c>
    </row>
    <row r="132" spans="1:9" s="7" customFormat="1" ht="24" customHeight="1" x14ac:dyDescent="0.2">
      <c r="A132" s="409">
        <v>2</v>
      </c>
      <c r="B132" s="441" t="s">
        <v>400</v>
      </c>
      <c r="C132" s="410"/>
      <c r="D132" s="410"/>
      <c r="E132" s="411">
        <f>E133+E135</f>
        <v>56195000</v>
      </c>
      <c r="F132" s="411">
        <f>F133+F135</f>
        <v>55005000</v>
      </c>
      <c r="G132" s="411">
        <f>G133+G135</f>
        <v>55005000</v>
      </c>
      <c r="H132" s="14"/>
      <c r="I132" s="14"/>
    </row>
    <row r="133" spans="1:9" ht="24" customHeight="1" x14ac:dyDescent="0.2">
      <c r="A133" s="178"/>
      <c r="B133" s="417">
        <v>17</v>
      </c>
      <c r="C133" s="413" t="s">
        <v>451</v>
      </c>
      <c r="D133" s="414"/>
      <c r="E133" s="415">
        <f>E134</f>
        <v>18000000</v>
      </c>
      <c r="F133" s="415">
        <f>F134</f>
        <v>17310000</v>
      </c>
      <c r="G133" s="415">
        <f>G134</f>
        <v>17310000</v>
      </c>
    </row>
    <row r="134" spans="1:9" s="28" customFormat="1" ht="51.75" customHeight="1" x14ac:dyDescent="0.2">
      <c r="A134" s="198"/>
      <c r="B134" s="73"/>
      <c r="C134" s="44">
        <v>1702</v>
      </c>
      <c r="D134" s="188" t="s">
        <v>452</v>
      </c>
      <c r="E134" s="192">
        <f>SUM('SGTO POAI VIGENCIA 2021'!BP191)</f>
        <v>18000000</v>
      </c>
      <c r="F134" s="192">
        <f>SUM('SGTO POAI VIGENCIA 2021'!BQ191)</f>
        <v>17310000</v>
      </c>
      <c r="G134" s="192">
        <f>SUM('SGTO POAI VIGENCIA 2021'!BR191)</f>
        <v>17310000</v>
      </c>
    </row>
    <row r="135" spans="1:9" ht="25.5" customHeight="1" x14ac:dyDescent="0.2">
      <c r="A135" s="179"/>
      <c r="B135" s="417">
        <v>36</v>
      </c>
      <c r="C135" s="418" t="s">
        <v>433</v>
      </c>
      <c r="D135" s="419"/>
      <c r="E135" s="415">
        <f>E136</f>
        <v>38195000</v>
      </c>
      <c r="F135" s="415">
        <f>F136</f>
        <v>37695000</v>
      </c>
      <c r="G135" s="415">
        <f>G136</f>
        <v>37695000</v>
      </c>
    </row>
    <row r="136" spans="1:9" s="28" customFormat="1" ht="51" customHeight="1" x14ac:dyDescent="0.2">
      <c r="A136" s="184"/>
      <c r="B136" s="73"/>
      <c r="C136" s="44">
        <v>3604</v>
      </c>
      <c r="D136" s="188" t="s">
        <v>932</v>
      </c>
      <c r="E136" s="192">
        <f>'SGTO POAI VIGENCIA 2021'!BP192</f>
        <v>38195000</v>
      </c>
      <c r="F136" s="192">
        <f>'SGTO POAI VIGENCIA 2021'!BQ192</f>
        <v>37695000</v>
      </c>
      <c r="G136" s="192">
        <f>'SGTO POAI VIGENCIA 2021'!BR192</f>
        <v>37695000</v>
      </c>
    </row>
    <row r="137" spans="1:9" s="7" customFormat="1" ht="24" customHeight="1" x14ac:dyDescent="0.2">
      <c r="A137" s="409">
        <v>4</v>
      </c>
      <c r="B137" s="410" t="s">
        <v>37</v>
      </c>
      <c r="C137" s="410"/>
      <c r="D137" s="410"/>
      <c r="E137" s="411">
        <f>E138</f>
        <v>477094503</v>
      </c>
      <c r="F137" s="411">
        <f>F138</f>
        <v>410613408</v>
      </c>
      <c r="G137" s="411">
        <f>G138</f>
        <v>410613408</v>
      </c>
      <c r="H137" s="14"/>
      <c r="I137" s="14"/>
    </row>
    <row r="138" spans="1:9" ht="24" customHeight="1" x14ac:dyDescent="0.2">
      <c r="A138" s="178"/>
      <c r="B138" s="412">
        <v>45</v>
      </c>
      <c r="C138" s="427" t="s">
        <v>938</v>
      </c>
      <c r="D138" s="428"/>
      <c r="E138" s="429">
        <f>SUM(E139:E140)</f>
        <v>477094503</v>
      </c>
      <c r="F138" s="429">
        <f>SUM(F139:F140)</f>
        <v>410613408</v>
      </c>
      <c r="G138" s="429">
        <f>SUM(G139:G140)</f>
        <v>410613408</v>
      </c>
    </row>
    <row r="139" spans="1:9" ht="50.25" customHeight="1" x14ac:dyDescent="0.2">
      <c r="A139" s="198"/>
      <c r="B139" s="212"/>
      <c r="C139" s="213">
        <v>4502</v>
      </c>
      <c r="D139" s="214" t="s">
        <v>60</v>
      </c>
      <c r="E139" s="215">
        <f>SUM('SGTO POAI VIGENCIA 2021'!BP193:BP197)</f>
        <v>266000000</v>
      </c>
      <c r="F139" s="215">
        <f>SUM('SGTO POAI VIGENCIA 2021'!BQ193:BQ197)</f>
        <v>238134764</v>
      </c>
      <c r="G139" s="215">
        <f>SUM('SGTO POAI VIGENCIA 2021'!BR193:BR197)</f>
        <v>238134764</v>
      </c>
    </row>
    <row r="140" spans="1:9" ht="76.5" customHeight="1" x14ac:dyDescent="0.2">
      <c r="A140" s="184"/>
      <c r="B140" s="212"/>
      <c r="C140" s="213">
        <v>4599</v>
      </c>
      <c r="D140" s="216" t="s">
        <v>634</v>
      </c>
      <c r="E140" s="215">
        <f>SUM('SGTO POAI VIGENCIA 2021'!BP198:BP200)</f>
        <v>211094503</v>
      </c>
      <c r="F140" s="215">
        <f>SUM('SGTO POAI VIGENCIA 2021'!BQ198:BQ200)</f>
        <v>172478644</v>
      </c>
      <c r="G140" s="215">
        <f>SUM('SGTO POAI VIGENCIA 2021'!BR198:BR200)</f>
        <v>172478644</v>
      </c>
    </row>
    <row r="141" spans="1:9" s="7" customFormat="1" x14ac:dyDescent="0.2">
      <c r="A141" s="93"/>
      <c r="B141" s="93"/>
      <c r="C141" s="93"/>
      <c r="D141" s="94"/>
      <c r="E141" s="174"/>
      <c r="F141" s="174"/>
      <c r="G141" s="174"/>
      <c r="H141" s="14"/>
      <c r="I141" s="14"/>
    </row>
    <row r="142" spans="1:9" ht="24" customHeight="1" x14ac:dyDescent="0.2">
      <c r="A142" s="41" t="s">
        <v>986</v>
      </c>
      <c r="B142" s="405"/>
      <c r="C142" s="407"/>
      <c r="D142" s="408"/>
      <c r="E142" s="406">
        <f>E143</f>
        <v>75161612366.110001</v>
      </c>
      <c r="F142" s="406">
        <f t="shared" ref="E142:G143" si="8">F143</f>
        <v>69848426417.649994</v>
      </c>
      <c r="G142" s="406">
        <f t="shared" si="8"/>
        <v>69848426417.649994</v>
      </c>
    </row>
    <row r="143" spans="1:9" ht="24" customHeight="1" x14ac:dyDescent="0.2">
      <c r="A143" s="440">
        <v>1</v>
      </c>
      <c r="B143" s="410" t="s">
        <v>136</v>
      </c>
      <c r="C143" s="52"/>
      <c r="D143" s="410"/>
      <c r="E143" s="411">
        <f t="shared" si="8"/>
        <v>75161612366.110001</v>
      </c>
      <c r="F143" s="411">
        <f t="shared" si="8"/>
        <v>69848426417.649994</v>
      </c>
      <c r="G143" s="411">
        <f t="shared" si="8"/>
        <v>69848426417.649994</v>
      </c>
    </row>
    <row r="144" spans="1:9" ht="24" customHeight="1" x14ac:dyDescent="0.2">
      <c r="A144" s="178"/>
      <c r="B144" s="182">
        <v>19</v>
      </c>
      <c r="C144" s="41" t="s">
        <v>147</v>
      </c>
      <c r="D144" s="92"/>
      <c r="E144" s="98">
        <f>SUM(E145:E147)</f>
        <v>75161612366.110001</v>
      </c>
      <c r="F144" s="98">
        <f>SUM(F145:F147)</f>
        <v>69848426417.649994</v>
      </c>
      <c r="G144" s="98">
        <f>SUM(G145:G147)</f>
        <v>69848426417.649994</v>
      </c>
    </row>
    <row r="145" spans="1:9" s="27" customFormat="1" ht="35.25" customHeight="1" x14ac:dyDescent="0.2">
      <c r="A145" s="198"/>
      <c r="B145" s="199"/>
      <c r="C145" s="73">
        <v>1903</v>
      </c>
      <c r="D145" s="188" t="s">
        <v>987</v>
      </c>
      <c r="E145" s="192">
        <f>SUM('SGTO POAI VIGENCIA 2021'!BP201:BP222)</f>
        <v>3182666735.21</v>
      </c>
      <c r="F145" s="192">
        <f>SUM('SGTO POAI VIGENCIA 2021'!BQ201:BQ222)</f>
        <v>2169681626.6599998</v>
      </c>
      <c r="G145" s="192">
        <f>SUM('SGTO POAI VIGENCIA 2021'!BR201:BR222)</f>
        <v>2169681626.6599998</v>
      </c>
    </row>
    <row r="146" spans="1:9" s="27" customFormat="1" ht="31.5" customHeight="1" x14ac:dyDescent="0.2">
      <c r="A146" s="198"/>
      <c r="B146" s="205"/>
      <c r="C146" s="73">
        <v>1905</v>
      </c>
      <c r="D146" s="188" t="s">
        <v>768</v>
      </c>
      <c r="E146" s="192">
        <f>SUM('SGTO POAI VIGENCIA 2021'!BP223:BP251)</f>
        <v>6992718049.7600002</v>
      </c>
      <c r="F146" s="192">
        <f>SUM('SGTO POAI VIGENCIA 2021'!BQ223:BQ251)</f>
        <v>4494770472.7600002</v>
      </c>
      <c r="G146" s="192">
        <f>SUM('SGTO POAI VIGENCIA 2021'!BR223:BR251)</f>
        <v>4494770472.7600002</v>
      </c>
    </row>
    <row r="147" spans="1:9" s="27" customFormat="1" ht="57.75" customHeight="1" x14ac:dyDescent="0.2">
      <c r="A147" s="184"/>
      <c r="B147" s="200"/>
      <c r="C147" s="73">
        <v>1906</v>
      </c>
      <c r="D147" s="188" t="s">
        <v>148</v>
      </c>
      <c r="E147" s="192">
        <f>SUM('SGTO POAI VIGENCIA 2021'!BP252:BP261)</f>
        <v>64986227581.139999</v>
      </c>
      <c r="F147" s="192">
        <f>SUM('SGTO POAI VIGENCIA 2021'!BQ252:BQ261)</f>
        <v>63183974318.229996</v>
      </c>
      <c r="G147" s="192">
        <f>SUM('SGTO POAI VIGENCIA 2021'!BR252:BR261)</f>
        <v>63183974318.229996</v>
      </c>
    </row>
    <row r="148" spans="1:9" s="7" customFormat="1" x14ac:dyDescent="0.2">
      <c r="A148" s="93"/>
      <c r="B148" s="93"/>
      <c r="C148" s="93"/>
      <c r="D148" s="94"/>
      <c r="E148" s="174"/>
      <c r="F148" s="174"/>
      <c r="G148" s="174"/>
      <c r="H148" s="14"/>
      <c r="I148" s="14"/>
    </row>
    <row r="149" spans="1:9" s="6" customFormat="1" ht="24" customHeight="1" x14ac:dyDescent="0.25">
      <c r="A149" s="41" t="s">
        <v>1197</v>
      </c>
      <c r="B149" s="405"/>
      <c r="C149" s="407"/>
      <c r="D149" s="408"/>
      <c r="E149" s="406">
        <f>E150+E154+E158</f>
        <v>1196000000</v>
      </c>
      <c r="F149" s="406">
        <f>F150+F154+F158</f>
        <v>1057106946.9200001</v>
      </c>
      <c r="G149" s="406">
        <f>G150+G154+G158</f>
        <v>1057106946.9200001</v>
      </c>
      <c r="H149" s="5"/>
      <c r="I149" s="5"/>
    </row>
    <row r="150" spans="1:9" s="6" customFormat="1" ht="24" customHeight="1" x14ac:dyDescent="0.25">
      <c r="A150" s="440">
        <v>1</v>
      </c>
      <c r="B150" s="410" t="s">
        <v>136</v>
      </c>
      <c r="C150" s="410"/>
      <c r="D150" s="410"/>
      <c r="E150" s="411">
        <f>E151</f>
        <v>820000000</v>
      </c>
      <c r="F150" s="411">
        <f>F151</f>
        <v>714748949.42000008</v>
      </c>
      <c r="G150" s="411">
        <f>G151</f>
        <v>714748949.42000008</v>
      </c>
      <c r="H150" s="5"/>
      <c r="I150" s="5"/>
    </row>
    <row r="151" spans="1:9" ht="24" customHeight="1" x14ac:dyDescent="0.2">
      <c r="A151" s="178"/>
      <c r="B151" s="412">
        <v>23</v>
      </c>
      <c r="C151" s="413" t="s">
        <v>1198</v>
      </c>
      <c r="D151" s="414"/>
      <c r="E151" s="415">
        <f>SUM(E152:E153)</f>
        <v>820000000</v>
      </c>
      <c r="F151" s="415">
        <f>SUM(F152:F153)</f>
        <v>714748949.42000008</v>
      </c>
      <c r="G151" s="415">
        <f>SUM(G152:G153)</f>
        <v>714748949.42000008</v>
      </c>
    </row>
    <row r="152" spans="1:9" s="211" customFormat="1" ht="75.75" customHeight="1" x14ac:dyDescent="0.25">
      <c r="A152" s="198"/>
      <c r="B152" s="199"/>
      <c r="C152" s="191">
        <v>2301</v>
      </c>
      <c r="D152" s="188" t="s">
        <v>1199</v>
      </c>
      <c r="E152" s="192">
        <f>SUM('SGTO POAI VIGENCIA 2021'!BP262:BP270)</f>
        <v>674000000</v>
      </c>
      <c r="F152" s="192">
        <f>SUM('SGTO POAI VIGENCIA 2021'!BQ262:BQ270)</f>
        <v>584138115.42000008</v>
      </c>
      <c r="G152" s="192">
        <f>SUM('SGTO POAI VIGENCIA 2021'!BR262:BR270)</f>
        <v>584138115.42000008</v>
      </c>
    </row>
    <row r="153" spans="1:9" s="211" customFormat="1" ht="76.5" customHeight="1" x14ac:dyDescent="0.25">
      <c r="A153" s="184"/>
      <c r="B153" s="200"/>
      <c r="C153" s="191">
        <v>2302</v>
      </c>
      <c r="D153" s="188" t="s">
        <v>1487</v>
      </c>
      <c r="E153" s="192">
        <f>SUM('SGTO POAI VIGENCIA 2021'!BP271:BP275)</f>
        <v>146000000</v>
      </c>
      <c r="F153" s="192">
        <f>SUM('SGTO POAI VIGENCIA 2021'!BQ271:BQ275)</f>
        <v>130610834</v>
      </c>
      <c r="G153" s="192">
        <f>SUM('SGTO POAI VIGENCIA 2021'!BR271:BR275)</f>
        <v>130610834</v>
      </c>
    </row>
    <row r="154" spans="1:9" s="6" customFormat="1" ht="24" customHeight="1" x14ac:dyDescent="0.25">
      <c r="A154" s="409">
        <v>2</v>
      </c>
      <c r="B154" s="441" t="s">
        <v>400</v>
      </c>
      <c r="C154" s="410"/>
      <c r="D154" s="410"/>
      <c r="E154" s="411">
        <f>E155</f>
        <v>78000000</v>
      </c>
      <c r="F154" s="411">
        <f>F155</f>
        <v>64780832</v>
      </c>
      <c r="G154" s="411">
        <f>G155</f>
        <v>64780832</v>
      </c>
      <c r="H154" s="5"/>
      <c r="I154" s="5"/>
    </row>
    <row r="155" spans="1:9" ht="24" customHeight="1" x14ac:dyDescent="0.2">
      <c r="A155" s="178"/>
      <c r="B155" s="412">
        <v>39</v>
      </c>
      <c r="C155" s="427" t="s">
        <v>1483</v>
      </c>
      <c r="D155" s="414"/>
      <c r="E155" s="415">
        <f>SUM(E156:E157)</f>
        <v>78000000</v>
      </c>
      <c r="F155" s="415">
        <f>SUM(F156:F157)</f>
        <v>64780832</v>
      </c>
      <c r="G155" s="415">
        <f>SUM(G156:G157)</f>
        <v>64780832</v>
      </c>
    </row>
    <row r="156" spans="1:9" s="211" customFormat="1" ht="44.25" customHeight="1" x14ac:dyDescent="0.25">
      <c r="A156" s="198"/>
      <c r="B156" s="75"/>
      <c r="C156" s="217" t="s">
        <v>1239</v>
      </c>
      <c r="D156" s="218" t="s">
        <v>1240</v>
      </c>
      <c r="E156" s="192">
        <f>SUM('SGTO POAI VIGENCIA 2021'!BP276:BP278)</f>
        <v>60000000</v>
      </c>
      <c r="F156" s="192">
        <f>SUM('SGTO POAI VIGENCIA 2021'!BQ276:BQ278)</f>
        <v>58180832</v>
      </c>
      <c r="G156" s="192">
        <f>SUM('SGTO POAI VIGENCIA 2021'!BR276:BR278)</f>
        <v>58180832</v>
      </c>
    </row>
    <row r="157" spans="1:9" s="211" customFormat="1" ht="44.25" customHeight="1" x14ac:dyDescent="0.25">
      <c r="A157" s="184"/>
      <c r="B157" s="75"/>
      <c r="C157" s="217">
        <v>3904</v>
      </c>
      <c r="D157" s="218" t="s">
        <v>759</v>
      </c>
      <c r="E157" s="192">
        <f>'SGTO POAI VIGENCIA 2021'!BP279</f>
        <v>18000000</v>
      </c>
      <c r="F157" s="192">
        <f>'SGTO POAI VIGENCIA 2021'!BQ279</f>
        <v>6600000</v>
      </c>
      <c r="G157" s="192">
        <f>'SGTO POAI VIGENCIA 2021'!BR279</f>
        <v>6600000</v>
      </c>
    </row>
    <row r="158" spans="1:9" s="6" customFormat="1" ht="24" customHeight="1" x14ac:dyDescent="0.25">
      <c r="A158" s="409">
        <v>4</v>
      </c>
      <c r="B158" s="441" t="s">
        <v>37</v>
      </c>
      <c r="C158" s="441"/>
      <c r="D158" s="410"/>
      <c r="E158" s="411">
        <f t="shared" ref="E158:G159" si="9">E159</f>
        <v>298000000</v>
      </c>
      <c r="F158" s="411">
        <f t="shared" si="9"/>
        <v>277577165.5</v>
      </c>
      <c r="G158" s="411">
        <f t="shared" si="9"/>
        <v>277577165.5</v>
      </c>
      <c r="H158" s="5"/>
      <c r="I158" s="5"/>
    </row>
    <row r="159" spans="1:9" ht="24" customHeight="1" x14ac:dyDescent="0.2">
      <c r="A159" s="178"/>
      <c r="B159" s="417">
        <v>23</v>
      </c>
      <c r="C159" s="413" t="s">
        <v>1198</v>
      </c>
      <c r="D159" s="413"/>
      <c r="E159" s="415">
        <f t="shared" si="9"/>
        <v>298000000</v>
      </c>
      <c r="F159" s="415">
        <f t="shared" si="9"/>
        <v>277577165.5</v>
      </c>
      <c r="G159" s="415">
        <f t="shared" si="9"/>
        <v>277577165.5</v>
      </c>
    </row>
    <row r="160" spans="1:9" s="211" customFormat="1" ht="99.75" customHeight="1" x14ac:dyDescent="0.25">
      <c r="A160" s="184"/>
      <c r="B160" s="73"/>
      <c r="C160" s="56">
        <v>2302</v>
      </c>
      <c r="D160" s="188" t="s">
        <v>1487</v>
      </c>
      <c r="E160" s="192">
        <f>SUM('SGTO POAI VIGENCIA 2021'!BP280:BP285)</f>
        <v>298000000</v>
      </c>
      <c r="F160" s="192">
        <f>SUM('SGTO POAI VIGENCIA 2021'!BQ280:BQ285)</f>
        <v>277577165.5</v>
      </c>
      <c r="G160" s="192">
        <f>SUM('SGTO POAI VIGENCIA 2021'!BR280:BR285)</f>
        <v>277577165.5</v>
      </c>
    </row>
    <row r="161" spans="1:9" s="7" customFormat="1" ht="18.75" customHeight="1" x14ac:dyDescent="0.2">
      <c r="A161" s="93"/>
      <c r="B161" s="93"/>
      <c r="C161" s="93"/>
      <c r="D161" s="94"/>
      <c r="E161" s="174"/>
      <c r="F161" s="174"/>
      <c r="G161" s="174"/>
      <c r="H161" s="14"/>
      <c r="I161" s="14"/>
    </row>
    <row r="162" spans="1:9" s="20" customFormat="1" ht="30" customHeight="1" x14ac:dyDescent="0.25">
      <c r="A162" s="41" t="s">
        <v>1272</v>
      </c>
      <c r="B162" s="41"/>
      <c r="C162" s="433"/>
      <c r="D162" s="68"/>
      <c r="E162" s="250">
        <f>E7+E13+E19+E24+E52+E74+E80+E87+E107+E113+E122+E142+E149</f>
        <v>319490464131.91003</v>
      </c>
      <c r="F162" s="250">
        <f>F7+F13+F19+F24+F52+F74+F80+F87+F107+F113+F122+F142+F149</f>
        <v>286065239361.58002</v>
      </c>
      <c r="G162" s="250">
        <f>G7+G13+G19+G24+G52+G74+G80+G87+G107+G113+G122+G142+G149</f>
        <v>286065239361.58002</v>
      </c>
      <c r="H162" s="19"/>
      <c r="I162" s="19"/>
    </row>
    <row r="163" spans="1:9" s="7" customFormat="1" ht="29.25" customHeight="1" x14ac:dyDescent="0.2">
      <c r="A163" s="93"/>
      <c r="B163" s="93"/>
      <c r="C163" s="93"/>
      <c r="D163" s="94"/>
      <c r="E163" s="174"/>
      <c r="F163" s="174"/>
      <c r="G163" s="174"/>
      <c r="H163" s="14"/>
      <c r="I163" s="14"/>
    </row>
    <row r="164" spans="1:9" ht="24" customHeight="1" x14ac:dyDescent="0.2">
      <c r="A164" s="41" t="s">
        <v>1273</v>
      </c>
      <c r="B164" s="405"/>
      <c r="C164" s="407"/>
      <c r="D164" s="408"/>
      <c r="E164" s="406">
        <f t="shared" ref="E164:G165" si="10">E165</f>
        <v>7160417690.0300007</v>
      </c>
      <c r="F164" s="406">
        <f t="shared" si="10"/>
        <v>4672994056.9699993</v>
      </c>
      <c r="G164" s="406">
        <f t="shared" si="10"/>
        <v>4652079056.9699993</v>
      </c>
    </row>
    <row r="165" spans="1:9" ht="24" customHeight="1" x14ac:dyDescent="0.2">
      <c r="A165" s="440">
        <v>1</v>
      </c>
      <c r="B165" s="410" t="s">
        <v>136</v>
      </c>
      <c r="C165" s="410"/>
      <c r="D165" s="410"/>
      <c r="E165" s="411">
        <f t="shared" si="10"/>
        <v>7160417690.0300007</v>
      </c>
      <c r="F165" s="411">
        <f t="shared" si="10"/>
        <v>4672994056.9699993</v>
      </c>
      <c r="G165" s="411">
        <f t="shared" si="10"/>
        <v>4652079056.9699993</v>
      </c>
    </row>
    <row r="166" spans="1:9" ht="24" customHeight="1" x14ac:dyDescent="0.2">
      <c r="A166" s="178"/>
      <c r="B166" s="412">
        <v>43</v>
      </c>
      <c r="C166" s="413" t="s">
        <v>176</v>
      </c>
      <c r="D166" s="414"/>
      <c r="E166" s="415">
        <f>SUM(E167:E168)</f>
        <v>7160417690.0300007</v>
      </c>
      <c r="F166" s="415">
        <f>SUM(F167:F168)</f>
        <v>4672994056.9699993</v>
      </c>
      <c r="G166" s="415">
        <f>SUM(G167:G168)</f>
        <v>4652079056.9699993</v>
      </c>
    </row>
    <row r="167" spans="1:9" s="27" customFormat="1" ht="76.5" customHeight="1" x14ac:dyDescent="0.2">
      <c r="A167" s="207"/>
      <c r="B167" s="208"/>
      <c r="C167" s="73">
        <v>4301</v>
      </c>
      <c r="D167" s="219" t="s">
        <v>177</v>
      </c>
      <c r="E167" s="192">
        <f>SUM('SGTO POAI VIGENCIA 2021'!BP286:BP289)</f>
        <v>2847287098.98</v>
      </c>
      <c r="F167" s="192">
        <f>SUM('SGTO POAI VIGENCIA 2021'!BQ286:BQ289)</f>
        <v>2191949700.79</v>
      </c>
      <c r="G167" s="192">
        <f>SUM('SGTO POAI VIGENCIA 2021'!BR286:BR289)</f>
        <v>2191949700.79</v>
      </c>
    </row>
    <row r="168" spans="1:9" s="27" customFormat="1" ht="37.5" customHeight="1" x14ac:dyDescent="0.2">
      <c r="A168" s="209"/>
      <c r="B168" s="184"/>
      <c r="C168" s="73">
        <v>4302</v>
      </c>
      <c r="D168" s="219" t="s">
        <v>1287</v>
      </c>
      <c r="E168" s="192">
        <f>SUM('SGTO POAI VIGENCIA 2021'!BP290:BP291)</f>
        <v>4313130591.0500002</v>
      </c>
      <c r="F168" s="192">
        <f>SUM('SGTO POAI VIGENCIA 2021'!BQ290:BQ291)</f>
        <v>2481044356.1799998</v>
      </c>
      <c r="G168" s="192">
        <f>SUM('SGTO POAI VIGENCIA 2021'!BR290:BR291)</f>
        <v>2460129356.1799998</v>
      </c>
    </row>
    <row r="169" spans="1:9" s="7" customFormat="1" ht="18.75" customHeight="1" x14ac:dyDescent="0.2">
      <c r="A169" s="93"/>
      <c r="B169" s="93"/>
      <c r="C169" s="93"/>
      <c r="D169" s="94"/>
      <c r="E169" s="174"/>
      <c r="F169" s="174"/>
      <c r="G169" s="174"/>
      <c r="H169" s="14"/>
      <c r="I169" s="14"/>
    </row>
    <row r="170" spans="1:9" s="7" customFormat="1" ht="24" customHeight="1" x14ac:dyDescent="0.2">
      <c r="A170" s="41" t="s">
        <v>1299</v>
      </c>
      <c r="B170" s="405"/>
      <c r="C170" s="407"/>
      <c r="D170" s="408"/>
      <c r="E170" s="406">
        <f>E171+E176</f>
        <v>2637286334.9400001</v>
      </c>
      <c r="F170" s="406">
        <f>F171+F176</f>
        <v>2383790557.2240133</v>
      </c>
      <c r="G170" s="406">
        <f>G171+G176</f>
        <v>2216880294.2925234</v>
      </c>
      <c r="H170" s="14"/>
      <c r="I170" s="14"/>
    </row>
    <row r="171" spans="1:9" s="7" customFormat="1" ht="24" customHeight="1" x14ac:dyDescent="0.2">
      <c r="A171" s="440">
        <v>1</v>
      </c>
      <c r="B171" s="410" t="s">
        <v>136</v>
      </c>
      <c r="C171" s="410"/>
      <c r="D171" s="410"/>
      <c r="E171" s="411">
        <f>E172+E174</f>
        <v>1019472941.71</v>
      </c>
      <c r="F171" s="411">
        <f>F172+F174</f>
        <v>974351224.8099997</v>
      </c>
      <c r="G171" s="411">
        <f>G172+G174</f>
        <v>974351224.8099997</v>
      </c>
      <c r="H171" s="14"/>
      <c r="I171" s="14"/>
    </row>
    <row r="172" spans="1:9" ht="24" customHeight="1" x14ac:dyDescent="0.2">
      <c r="A172" s="178"/>
      <c r="B172" s="430">
        <v>43</v>
      </c>
      <c r="C172" s="431" t="s">
        <v>176</v>
      </c>
      <c r="D172" s="414"/>
      <c r="E172" s="415">
        <f>E173</f>
        <v>690464077.75999999</v>
      </c>
      <c r="F172" s="415">
        <f>F173</f>
        <v>683590194.49999976</v>
      </c>
      <c r="G172" s="415">
        <f>G173</f>
        <v>683590194.49999976</v>
      </c>
    </row>
    <row r="173" spans="1:9" s="28" customFormat="1" ht="76.5" customHeight="1" x14ac:dyDescent="0.2">
      <c r="A173" s="220"/>
      <c r="B173" s="191"/>
      <c r="C173" s="44">
        <v>4301</v>
      </c>
      <c r="D173" s="188" t="s">
        <v>177</v>
      </c>
      <c r="E173" s="192">
        <f>'SGTO POAI VIGENCIA 2021'!BP292</f>
        <v>690464077.75999999</v>
      </c>
      <c r="F173" s="192">
        <f>'SGTO POAI VIGENCIA 2021'!BQ292</f>
        <v>683590194.49999976</v>
      </c>
      <c r="G173" s="192">
        <f>'SGTO POAI VIGENCIA 2021'!BR292</f>
        <v>683590194.49999976</v>
      </c>
    </row>
    <row r="174" spans="1:9" ht="24" customHeight="1" x14ac:dyDescent="0.2">
      <c r="A174" s="179"/>
      <c r="B174" s="430">
        <v>22</v>
      </c>
      <c r="C174" s="417" t="s">
        <v>156</v>
      </c>
      <c r="D174" s="414"/>
      <c r="E174" s="415">
        <f>E175</f>
        <v>329008863.94999999</v>
      </c>
      <c r="F174" s="415">
        <f>F175</f>
        <v>290761030.31</v>
      </c>
      <c r="G174" s="415">
        <f>G175</f>
        <v>290761030.31</v>
      </c>
    </row>
    <row r="175" spans="1:9" s="28" customFormat="1" ht="53.25" customHeight="1" x14ac:dyDescent="0.2">
      <c r="A175" s="221"/>
      <c r="B175" s="191"/>
      <c r="C175" s="44">
        <v>2201</v>
      </c>
      <c r="D175" s="188" t="s">
        <v>277</v>
      </c>
      <c r="E175" s="192">
        <f>'SGTO POAI VIGENCIA 2021'!BP293</f>
        <v>329008863.94999999</v>
      </c>
      <c r="F175" s="192">
        <f>'SGTO POAI VIGENCIA 2021'!BQ293</f>
        <v>290761030.31</v>
      </c>
      <c r="G175" s="192">
        <f>'SGTO POAI VIGENCIA 2021'!BR293</f>
        <v>290761030.31</v>
      </c>
    </row>
    <row r="176" spans="1:9" s="7" customFormat="1" ht="24" customHeight="1" x14ac:dyDescent="0.2">
      <c r="A176" s="409">
        <v>3</v>
      </c>
      <c r="B176" s="410" t="s">
        <v>186</v>
      </c>
      <c r="C176" s="410"/>
      <c r="D176" s="410"/>
      <c r="E176" s="411">
        <f>E177+E179</f>
        <v>1617813393.23</v>
      </c>
      <c r="F176" s="411">
        <f>F177+F179</f>
        <v>1409439332.4140139</v>
      </c>
      <c r="G176" s="411">
        <f>G177+G179</f>
        <v>1242529069.4825239</v>
      </c>
      <c r="H176" s="14"/>
      <c r="I176" s="14"/>
    </row>
    <row r="177" spans="1:9" ht="24" customHeight="1" x14ac:dyDescent="0.2">
      <c r="A177" s="178"/>
      <c r="B177" s="430">
        <v>24</v>
      </c>
      <c r="C177" s="417" t="s">
        <v>187</v>
      </c>
      <c r="D177" s="419"/>
      <c r="E177" s="415">
        <f>E178</f>
        <v>348896731.19999999</v>
      </c>
      <c r="F177" s="415">
        <f>F178</f>
        <v>347384923.11000001</v>
      </c>
      <c r="G177" s="415">
        <f>G178</f>
        <v>240924657.09</v>
      </c>
    </row>
    <row r="178" spans="1:9" s="7" customFormat="1" ht="42" customHeight="1" x14ac:dyDescent="0.2">
      <c r="A178" s="222"/>
      <c r="B178" s="223"/>
      <c r="C178" s="44">
        <v>2402</v>
      </c>
      <c r="D178" s="187" t="s">
        <v>188</v>
      </c>
      <c r="E178" s="224">
        <f>'SGTO POAI VIGENCIA 2021'!BP294</f>
        <v>348896731.19999999</v>
      </c>
      <c r="F178" s="224">
        <f>'SGTO POAI VIGENCIA 2021'!BQ294</f>
        <v>347384923.11000001</v>
      </c>
      <c r="G178" s="224">
        <f>'SGTO POAI VIGENCIA 2021'!BR294</f>
        <v>240924657.09</v>
      </c>
      <c r="H178" s="14"/>
      <c r="I178" s="14"/>
    </row>
    <row r="179" spans="1:9" ht="24" customHeight="1" x14ac:dyDescent="0.2">
      <c r="A179" s="179"/>
      <c r="B179" s="430">
        <v>40</v>
      </c>
      <c r="C179" s="431" t="s">
        <v>221</v>
      </c>
      <c r="D179" s="419"/>
      <c r="E179" s="415">
        <f>E180</f>
        <v>1268916662.03</v>
      </c>
      <c r="F179" s="415">
        <f>F180</f>
        <v>1062054409.304014</v>
      </c>
      <c r="G179" s="415">
        <f>G180</f>
        <v>1001604412.3925239</v>
      </c>
    </row>
    <row r="180" spans="1:9" s="7" customFormat="1" ht="44.25" customHeight="1" x14ac:dyDescent="0.2">
      <c r="A180" s="225"/>
      <c r="B180" s="223"/>
      <c r="C180" s="44">
        <v>4001</v>
      </c>
      <c r="D180" s="226" t="s">
        <v>222</v>
      </c>
      <c r="E180" s="224">
        <f>SUM('SGTO POAI VIGENCIA 2021'!BP295:BP301)</f>
        <v>1268916662.03</v>
      </c>
      <c r="F180" s="224">
        <f>SUM('SGTO POAI VIGENCIA 2021'!BQ295:BQ301)</f>
        <v>1062054409.304014</v>
      </c>
      <c r="G180" s="224">
        <f>SUM('SGTO POAI VIGENCIA 2021'!BR295:BR301)</f>
        <v>1001604412.3925239</v>
      </c>
      <c r="H180" s="14"/>
      <c r="I180" s="14"/>
    </row>
    <row r="181" spans="1:9" s="7" customFormat="1" ht="18.75" customHeight="1" x14ac:dyDescent="0.2">
      <c r="A181" s="93"/>
      <c r="B181" s="93"/>
      <c r="C181" s="93"/>
      <c r="D181" s="94"/>
      <c r="E181" s="174"/>
      <c r="F181" s="174"/>
      <c r="G181" s="174"/>
      <c r="H181" s="14"/>
      <c r="I181" s="14"/>
    </row>
    <row r="182" spans="1:9" ht="24" customHeight="1" x14ac:dyDescent="0.2">
      <c r="A182" s="41" t="s">
        <v>1333</v>
      </c>
      <c r="B182" s="405"/>
      <c r="C182" s="407"/>
      <c r="D182" s="408"/>
      <c r="E182" s="406">
        <f>E183</f>
        <v>110210000</v>
      </c>
      <c r="F182" s="406">
        <f t="shared" ref="F182:G184" si="11">F183</f>
        <v>107716000</v>
      </c>
      <c r="G182" s="406">
        <f t="shared" si="11"/>
        <v>107716000</v>
      </c>
    </row>
    <row r="183" spans="1:9" ht="24" customHeight="1" x14ac:dyDescent="0.2">
      <c r="A183" s="440">
        <v>3</v>
      </c>
      <c r="B183" s="410" t="s">
        <v>186</v>
      </c>
      <c r="C183" s="410"/>
      <c r="D183" s="410"/>
      <c r="E183" s="411">
        <f>E184</f>
        <v>110210000</v>
      </c>
      <c r="F183" s="411">
        <f t="shared" si="11"/>
        <v>107716000</v>
      </c>
      <c r="G183" s="411">
        <f t="shared" si="11"/>
        <v>107716000</v>
      </c>
    </row>
    <row r="184" spans="1:9" ht="24" customHeight="1" x14ac:dyDescent="0.2">
      <c r="A184" s="178"/>
      <c r="B184" s="417">
        <v>24</v>
      </c>
      <c r="C184" s="432" t="s">
        <v>187</v>
      </c>
      <c r="D184" s="419"/>
      <c r="E184" s="415">
        <f>E185</f>
        <v>110210000</v>
      </c>
      <c r="F184" s="415">
        <f t="shared" si="11"/>
        <v>107716000</v>
      </c>
      <c r="G184" s="415">
        <f t="shared" si="11"/>
        <v>107716000</v>
      </c>
    </row>
    <row r="185" spans="1:9" s="27" customFormat="1" ht="54" customHeight="1" x14ac:dyDescent="0.2">
      <c r="A185" s="184"/>
      <c r="B185" s="73"/>
      <c r="C185" s="44">
        <v>2409</v>
      </c>
      <c r="D185" s="188" t="s">
        <v>1334</v>
      </c>
      <c r="E185" s="192">
        <f>SUM('SGTO POAI VIGENCIA 2021'!BP302:BP305)</f>
        <v>110210000</v>
      </c>
      <c r="F185" s="192">
        <f>SUM('SGTO POAI VIGENCIA 2021'!BQ302:BQ305)</f>
        <v>107716000</v>
      </c>
      <c r="G185" s="192">
        <f>SUM('SGTO POAI VIGENCIA 2021'!BR302:BR305)</f>
        <v>107716000</v>
      </c>
    </row>
    <row r="186" spans="1:9" s="30" customFormat="1" ht="23.25" customHeight="1" x14ac:dyDescent="0.2">
      <c r="A186" s="9"/>
      <c r="B186" s="9"/>
      <c r="C186" s="9"/>
      <c r="D186" s="10"/>
      <c r="E186" s="175"/>
      <c r="F186" s="175"/>
      <c r="G186" s="175"/>
      <c r="H186" s="14"/>
      <c r="I186" s="14"/>
    </row>
    <row r="187" spans="1:9" s="26" customFormat="1" ht="30" customHeight="1" x14ac:dyDescent="0.25">
      <c r="A187" s="41" t="s">
        <v>1351</v>
      </c>
      <c r="B187" s="41"/>
      <c r="C187" s="41"/>
      <c r="D187" s="41"/>
      <c r="E187" s="250">
        <f>E182+E170+E164</f>
        <v>9907914024.9700012</v>
      </c>
      <c r="F187" s="250">
        <f>F182+F170+F164</f>
        <v>7164500614.1940126</v>
      </c>
      <c r="G187" s="250">
        <f>G182+G170+G164</f>
        <v>6976675351.2625227</v>
      </c>
    </row>
    <row r="188" spans="1:9" s="26" customFormat="1" ht="16.5" thickBot="1" x14ac:dyDescent="0.3">
      <c r="A188" s="24"/>
      <c r="B188" s="24"/>
      <c r="C188" s="24"/>
      <c r="D188" s="25"/>
      <c r="E188" s="176"/>
      <c r="F188" s="176"/>
      <c r="G188" s="176"/>
    </row>
    <row r="189" spans="1:9" s="26" customFormat="1" ht="30" customHeight="1" thickBot="1" x14ac:dyDescent="0.3">
      <c r="A189" s="59" t="s">
        <v>1352</v>
      </c>
      <c r="B189" s="60"/>
      <c r="C189" s="60"/>
      <c r="D189" s="434"/>
      <c r="E189" s="435">
        <f>E162+E187</f>
        <v>329398378156.88</v>
      </c>
      <c r="F189" s="435">
        <f>F162+F187</f>
        <v>293229739975.77405</v>
      </c>
      <c r="G189" s="435">
        <f>G162+G187</f>
        <v>293041914712.84253</v>
      </c>
    </row>
    <row r="191" spans="1:9" ht="28.5" customHeight="1" x14ac:dyDescent="0.2"/>
  </sheetData>
  <mergeCells count="5">
    <mergeCell ref="E5:G5"/>
    <mergeCell ref="A1:G3"/>
    <mergeCell ref="A5:A6"/>
    <mergeCell ref="B5:B6"/>
    <mergeCell ref="C5:D6"/>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I216"/>
  <sheetViews>
    <sheetView showGridLines="0" topLeftCell="F196" zoomScale="60" zoomScaleNormal="60" workbookViewId="0">
      <selection sqref="A1:N1"/>
    </sheetView>
  </sheetViews>
  <sheetFormatPr baseColWidth="10" defaultColWidth="11.42578125" defaultRowHeight="15" x14ac:dyDescent="0.2"/>
  <cols>
    <col min="1" max="1" width="15.85546875" style="1" customWidth="1"/>
    <col min="2" max="2" width="18.5703125" style="9" customWidth="1"/>
    <col min="3" max="3" width="13.85546875" style="9" customWidth="1"/>
    <col min="4" max="4" width="15" style="9" customWidth="1"/>
    <col min="5" max="5" width="70.7109375" style="10" customWidth="1"/>
    <col min="6" max="6" width="35.85546875" style="10" customWidth="1"/>
    <col min="7" max="7" width="35.140625" style="16" customWidth="1"/>
    <col min="8" max="8" width="33.5703125" style="2" customWidth="1"/>
    <col min="9" max="9" width="36.28515625" style="2" customWidth="1"/>
    <col min="10" max="10" width="32.140625" style="2" customWidth="1"/>
    <col min="11" max="11" width="33.140625" style="2" customWidth="1"/>
    <col min="12" max="12" width="31.5703125" style="31" customWidth="1"/>
    <col min="13" max="13" width="35.5703125" style="1" customWidth="1"/>
    <col min="14" max="14" width="32.5703125" style="1" customWidth="1"/>
    <col min="15" max="15" width="30.7109375" style="1" customWidth="1"/>
    <col min="16" max="18" width="29.5703125" style="1" customWidth="1"/>
    <col min="19" max="21" width="31.7109375" style="1" customWidth="1"/>
    <col min="22" max="24" width="32.28515625" style="1" customWidth="1"/>
    <col min="25" max="27" width="30.140625" style="1" customWidth="1"/>
    <col min="28" max="30" width="33.7109375" style="1" customWidth="1"/>
    <col min="31" max="16384" width="11.42578125" style="1"/>
  </cols>
  <sheetData>
    <row r="1" spans="1:14" ht="55.5" customHeight="1" x14ac:dyDescent="0.2">
      <c r="A1" s="611" t="s">
        <v>1689</v>
      </c>
      <c r="B1" s="612"/>
      <c r="C1" s="612"/>
      <c r="D1" s="612"/>
      <c r="E1" s="612"/>
      <c r="F1" s="612"/>
      <c r="G1" s="612"/>
      <c r="H1" s="612"/>
      <c r="I1" s="612"/>
      <c r="J1" s="612"/>
      <c r="K1" s="612"/>
      <c r="L1" s="612"/>
      <c r="M1" s="612"/>
      <c r="N1" s="612"/>
    </row>
    <row r="2" spans="1:14" ht="24.75" customHeight="1" x14ac:dyDescent="0.2">
      <c r="A2" s="460"/>
      <c r="B2" s="404"/>
      <c r="C2" s="22"/>
      <c r="D2" s="22"/>
      <c r="E2" s="22"/>
      <c r="F2" s="22"/>
    </row>
    <row r="3" spans="1:14" s="4" customFormat="1" ht="24" customHeight="1" x14ac:dyDescent="0.25">
      <c r="A3" s="609" t="s">
        <v>4</v>
      </c>
      <c r="B3" s="602" t="s">
        <v>5</v>
      </c>
      <c r="C3" s="602" t="s">
        <v>6</v>
      </c>
      <c r="D3" s="602" t="s">
        <v>1355</v>
      </c>
      <c r="E3" s="603" t="s">
        <v>7</v>
      </c>
      <c r="F3" s="588" t="s">
        <v>1356</v>
      </c>
      <c r="G3" s="588"/>
      <c r="H3" s="588"/>
      <c r="I3" s="3"/>
      <c r="J3" s="3"/>
      <c r="K3" s="3"/>
      <c r="L3" s="32"/>
    </row>
    <row r="4" spans="1:14" s="4" customFormat="1" ht="24" customHeight="1" x14ac:dyDescent="0.25">
      <c r="A4" s="610"/>
      <c r="B4" s="602"/>
      <c r="C4" s="602"/>
      <c r="D4" s="602"/>
      <c r="E4" s="603"/>
      <c r="F4" s="447" t="s">
        <v>1641</v>
      </c>
      <c r="G4" s="447" t="s">
        <v>1490</v>
      </c>
      <c r="H4" s="447" t="s">
        <v>1491</v>
      </c>
      <c r="I4" s="3"/>
      <c r="J4" s="3"/>
      <c r="K4" s="3"/>
      <c r="L4" s="32"/>
    </row>
    <row r="5" spans="1:14" s="6" customFormat="1" ht="24" customHeight="1" x14ac:dyDescent="0.25">
      <c r="A5" s="92" t="s">
        <v>36</v>
      </c>
      <c r="B5" s="467"/>
      <c r="C5" s="467"/>
      <c r="D5" s="467"/>
      <c r="E5" s="473"/>
      <c r="F5" s="470">
        <f t="shared" ref="F5:H6" si="0">F6</f>
        <v>457524940</v>
      </c>
      <c r="G5" s="470">
        <f t="shared" si="0"/>
        <v>421596834.77999997</v>
      </c>
      <c r="H5" s="470">
        <f t="shared" si="0"/>
        <v>421596834.77999997</v>
      </c>
      <c r="I5" s="5"/>
      <c r="J5" s="5"/>
      <c r="K5" s="5"/>
      <c r="L5" s="33"/>
    </row>
    <row r="6" spans="1:14" s="6" customFormat="1" ht="24" customHeight="1" x14ac:dyDescent="0.25">
      <c r="A6" s="48"/>
      <c r="B6" s="450">
        <v>4</v>
      </c>
      <c r="C6" s="451" t="s">
        <v>37</v>
      </c>
      <c r="D6" s="451"/>
      <c r="E6" s="451"/>
      <c r="F6" s="453">
        <f t="shared" si="0"/>
        <v>457524940</v>
      </c>
      <c r="G6" s="453">
        <f t="shared" si="0"/>
        <v>421596834.77999997</v>
      </c>
      <c r="H6" s="453">
        <f t="shared" si="0"/>
        <v>421596834.77999997</v>
      </c>
      <c r="I6" s="5"/>
      <c r="J6" s="5"/>
      <c r="K6" s="5"/>
      <c r="L6" s="33"/>
    </row>
    <row r="7" spans="1:14" s="6" customFormat="1" ht="24" customHeight="1" x14ac:dyDescent="0.25">
      <c r="A7" s="48"/>
      <c r="B7" s="45"/>
      <c r="C7" s="422">
        <v>45</v>
      </c>
      <c r="D7" s="413" t="s">
        <v>38</v>
      </c>
      <c r="E7" s="414"/>
      <c r="F7" s="415">
        <f>SUM(F8:F9)</f>
        <v>457524940</v>
      </c>
      <c r="G7" s="415">
        <f>SUM(G8:G9)</f>
        <v>421596834.77999997</v>
      </c>
      <c r="H7" s="415">
        <f>SUM(H8:H9)</f>
        <v>421596834.77999997</v>
      </c>
      <c r="I7" s="5"/>
      <c r="J7" s="5"/>
      <c r="K7" s="5"/>
      <c r="L7" s="33"/>
    </row>
    <row r="8" spans="1:14" ht="52.5" customHeight="1" x14ac:dyDescent="0.2">
      <c r="A8" s="49"/>
      <c r="B8" s="186"/>
      <c r="C8" s="186"/>
      <c r="D8" s="56">
        <v>4599</v>
      </c>
      <c r="E8" s="188" t="s">
        <v>39</v>
      </c>
      <c r="F8" s="192">
        <f>SUM('SGTO POAI VIGENCIA 2021'!BP8:BP10)</f>
        <v>376981574</v>
      </c>
      <c r="G8" s="192">
        <f>SUM('SGTO POAI VIGENCIA 2021'!BQ8:BQ10)</f>
        <v>355164820</v>
      </c>
      <c r="H8" s="192">
        <f>SUM('SGTO POAI VIGENCIA 2021'!BR8:BR10)</f>
        <v>355164820</v>
      </c>
    </row>
    <row r="9" spans="1:14" ht="59.25" customHeight="1" x14ac:dyDescent="0.2">
      <c r="A9" s="49"/>
      <c r="B9" s="186"/>
      <c r="C9" s="186"/>
      <c r="D9" s="56">
        <v>4502</v>
      </c>
      <c r="E9" s="188" t="s">
        <v>60</v>
      </c>
      <c r="F9" s="124">
        <f>'SGTO POAI VIGENCIA 2021'!BP11</f>
        <v>80543366</v>
      </c>
      <c r="G9" s="124">
        <f>'SGTO POAI VIGENCIA 2021'!BQ11</f>
        <v>66432014.780000001</v>
      </c>
      <c r="H9" s="124">
        <f>'SGTO POAI VIGENCIA 2021'!BR11</f>
        <v>66432014.780000001</v>
      </c>
    </row>
    <row r="10" spans="1:14" ht="18" customHeight="1" x14ac:dyDescent="0.2">
      <c r="A10" s="36"/>
      <c r="B10" s="93"/>
      <c r="C10" s="93"/>
      <c r="D10" s="93"/>
      <c r="E10" s="43"/>
      <c r="F10" s="94"/>
    </row>
    <row r="11" spans="1:14" s="4" customFormat="1" ht="24" customHeight="1" x14ac:dyDescent="0.25">
      <c r="A11" s="609" t="s">
        <v>4</v>
      </c>
      <c r="B11" s="602" t="s">
        <v>5</v>
      </c>
      <c r="C11" s="602" t="s">
        <v>6</v>
      </c>
      <c r="D11" s="602" t="s">
        <v>1355</v>
      </c>
      <c r="E11" s="603" t="s">
        <v>7</v>
      </c>
      <c r="F11" s="588" t="s">
        <v>1356</v>
      </c>
      <c r="G11" s="588"/>
      <c r="H11" s="588"/>
      <c r="I11" s="3"/>
      <c r="J11" s="3"/>
      <c r="K11" s="3"/>
      <c r="L11" s="32"/>
    </row>
    <row r="12" spans="1:14" s="4" customFormat="1" ht="24" customHeight="1" x14ac:dyDescent="0.25">
      <c r="A12" s="610"/>
      <c r="B12" s="602"/>
      <c r="C12" s="602"/>
      <c r="D12" s="602"/>
      <c r="E12" s="603"/>
      <c r="F12" s="447" t="s">
        <v>1641</v>
      </c>
      <c r="G12" s="447" t="s">
        <v>1490</v>
      </c>
      <c r="H12" s="447" t="s">
        <v>1491</v>
      </c>
      <c r="I12" s="3"/>
      <c r="J12" s="3"/>
      <c r="K12" s="3"/>
      <c r="L12" s="32"/>
    </row>
    <row r="13" spans="1:14" s="6" customFormat="1" ht="24" customHeight="1" x14ac:dyDescent="0.25">
      <c r="A13" s="41" t="s">
        <v>69</v>
      </c>
      <c r="B13" s="405"/>
      <c r="C13" s="405"/>
      <c r="D13" s="405"/>
      <c r="E13" s="472"/>
      <c r="F13" s="470">
        <f t="shared" ref="F13:H14" si="1">F14</f>
        <v>910965833</v>
      </c>
      <c r="G13" s="470">
        <f t="shared" si="1"/>
        <v>877866456</v>
      </c>
      <c r="H13" s="470">
        <f t="shared" si="1"/>
        <v>877866456</v>
      </c>
      <c r="I13" s="5"/>
      <c r="J13" s="5"/>
      <c r="K13" s="5"/>
      <c r="L13" s="33"/>
    </row>
    <row r="14" spans="1:14" ht="24" customHeight="1" x14ac:dyDescent="0.2">
      <c r="A14" s="49"/>
      <c r="B14" s="450">
        <v>4</v>
      </c>
      <c r="C14" s="451" t="s">
        <v>37</v>
      </c>
      <c r="D14" s="451"/>
      <c r="E14" s="452"/>
      <c r="F14" s="453">
        <f t="shared" si="1"/>
        <v>910965833</v>
      </c>
      <c r="G14" s="453">
        <f t="shared" si="1"/>
        <v>877866456</v>
      </c>
      <c r="H14" s="453">
        <f t="shared" si="1"/>
        <v>877866456</v>
      </c>
    </row>
    <row r="15" spans="1:14" ht="24" customHeight="1" x14ac:dyDescent="0.2">
      <c r="A15" s="49"/>
      <c r="B15" s="45"/>
      <c r="C15" s="422">
        <v>45</v>
      </c>
      <c r="D15" s="413" t="s">
        <v>38</v>
      </c>
      <c r="E15" s="414"/>
      <c r="F15" s="415">
        <f>SUM(F16:F17)</f>
        <v>910965833</v>
      </c>
      <c r="G15" s="415">
        <f>SUM(G16:G17)</f>
        <v>877866456</v>
      </c>
      <c r="H15" s="415">
        <f>SUM(H16:H17)</f>
        <v>877866456</v>
      </c>
    </row>
    <row r="16" spans="1:14" s="27" customFormat="1" ht="58.5" customHeight="1" x14ac:dyDescent="0.2">
      <c r="A16" s="54"/>
      <c r="B16" s="44"/>
      <c r="C16" s="44"/>
      <c r="D16" s="56">
        <v>4502</v>
      </c>
      <c r="E16" s="188" t="s">
        <v>60</v>
      </c>
      <c r="F16" s="192">
        <f>SUM('SGTO POAI VIGENCIA 2021'!BP12:BP13)</f>
        <v>125525000</v>
      </c>
      <c r="G16" s="192">
        <f>SUM('SGTO POAI VIGENCIA 2021'!BQ12:BQ13)</f>
        <v>102033467</v>
      </c>
      <c r="H16" s="192">
        <f>SUM('SGTO POAI VIGENCIA 2021'!BR12:BR13)</f>
        <v>102033467</v>
      </c>
      <c r="L16" s="34"/>
    </row>
    <row r="17" spans="1:24" s="27" customFormat="1" ht="60.75" customHeight="1" x14ac:dyDescent="0.2">
      <c r="A17" s="54"/>
      <c r="B17" s="44"/>
      <c r="C17" s="44"/>
      <c r="D17" s="56">
        <v>4599</v>
      </c>
      <c r="E17" s="188" t="s">
        <v>39</v>
      </c>
      <c r="F17" s="192">
        <f>SUM('SGTO POAI VIGENCIA 2021'!BP14:BP23)</f>
        <v>785440833</v>
      </c>
      <c r="G17" s="192">
        <f>SUM('SGTO POAI VIGENCIA 2021'!BQ14:BQ23)</f>
        <v>775832989</v>
      </c>
      <c r="H17" s="192">
        <f>SUM('SGTO POAI VIGENCIA 2021'!BR14:BR23)</f>
        <v>775832989</v>
      </c>
      <c r="L17" s="34"/>
    </row>
    <row r="18" spans="1:24" ht="18" customHeight="1" x14ac:dyDescent="0.2">
      <c r="A18" s="36"/>
      <c r="B18" s="93"/>
      <c r="C18" s="93"/>
      <c r="D18" s="93"/>
      <c r="E18" s="43"/>
      <c r="F18" s="94"/>
    </row>
    <row r="19" spans="1:24" ht="24" customHeight="1" x14ac:dyDescent="0.2">
      <c r="A19" s="602" t="s">
        <v>4</v>
      </c>
      <c r="B19" s="602" t="s">
        <v>5</v>
      </c>
      <c r="C19" s="602" t="s">
        <v>6</v>
      </c>
      <c r="D19" s="602" t="s">
        <v>1355</v>
      </c>
      <c r="E19" s="603" t="s">
        <v>7</v>
      </c>
      <c r="F19" s="607" t="s">
        <v>1356</v>
      </c>
      <c r="G19" s="605"/>
      <c r="H19" s="606"/>
      <c r="I19" s="604" t="s">
        <v>1357</v>
      </c>
      <c r="J19" s="605"/>
      <c r="K19" s="605"/>
      <c r="L19" s="588" t="s">
        <v>12</v>
      </c>
      <c r="M19" s="588"/>
      <c r="N19" s="588"/>
    </row>
    <row r="20" spans="1:24" ht="24" customHeight="1" x14ac:dyDescent="0.2">
      <c r="A20" s="602"/>
      <c r="B20" s="602"/>
      <c r="C20" s="602"/>
      <c r="D20" s="602"/>
      <c r="E20" s="603"/>
      <c r="F20" s="447" t="s">
        <v>1641</v>
      </c>
      <c r="G20" s="447" t="s">
        <v>1490</v>
      </c>
      <c r="H20" s="447" t="s">
        <v>1491</v>
      </c>
      <c r="I20" s="447" t="s">
        <v>1641</v>
      </c>
      <c r="J20" s="447" t="s">
        <v>1490</v>
      </c>
      <c r="K20" s="447" t="s">
        <v>1491</v>
      </c>
      <c r="L20" s="447" t="s">
        <v>1641</v>
      </c>
      <c r="M20" s="447" t="s">
        <v>1490</v>
      </c>
      <c r="N20" s="447" t="s">
        <v>1491</v>
      </c>
    </row>
    <row r="21" spans="1:24" ht="24" customHeight="1" x14ac:dyDescent="0.2">
      <c r="A21" s="466" t="s">
        <v>1354</v>
      </c>
      <c r="B21" s="467"/>
      <c r="C21" s="467"/>
      <c r="D21" s="467"/>
      <c r="E21" s="468"/>
      <c r="F21" s="470">
        <f t="shared" ref="F21:N23" si="2">F22</f>
        <v>2297395879</v>
      </c>
      <c r="G21" s="470">
        <f t="shared" si="2"/>
        <v>1842253929</v>
      </c>
      <c r="H21" s="470">
        <f t="shared" si="2"/>
        <v>1842253929</v>
      </c>
      <c r="I21" s="470">
        <f t="shared" si="2"/>
        <v>504229463.83999997</v>
      </c>
      <c r="J21" s="470">
        <f t="shared" si="2"/>
        <v>347030689.68000001</v>
      </c>
      <c r="K21" s="470">
        <f t="shared" si="2"/>
        <v>347030689.68000001</v>
      </c>
      <c r="L21" s="470">
        <f t="shared" si="2"/>
        <v>2801625342.8400002</v>
      </c>
      <c r="M21" s="470">
        <f t="shared" si="2"/>
        <v>2189284618.6799998</v>
      </c>
      <c r="N21" s="470">
        <f t="shared" si="2"/>
        <v>2189284618.6799998</v>
      </c>
      <c r="O21" s="2"/>
      <c r="P21" s="31"/>
    </row>
    <row r="22" spans="1:24" ht="24" customHeight="1" x14ac:dyDescent="0.2">
      <c r="A22" s="49"/>
      <c r="B22" s="450">
        <v>4</v>
      </c>
      <c r="C22" s="451" t="s">
        <v>37</v>
      </c>
      <c r="D22" s="451"/>
      <c r="E22" s="452"/>
      <c r="F22" s="453">
        <f>F23</f>
        <v>2297395879</v>
      </c>
      <c r="G22" s="453">
        <f t="shared" si="2"/>
        <v>1842253929</v>
      </c>
      <c r="H22" s="453">
        <f t="shared" si="2"/>
        <v>1842253929</v>
      </c>
      <c r="I22" s="453">
        <f t="shared" si="2"/>
        <v>504229463.83999997</v>
      </c>
      <c r="J22" s="453">
        <f t="shared" si="2"/>
        <v>347030689.68000001</v>
      </c>
      <c r="K22" s="453">
        <f t="shared" si="2"/>
        <v>347030689.68000001</v>
      </c>
      <c r="L22" s="453">
        <f t="shared" si="2"/>
        <v>2801625342.8400002</v>
      </c>
      <c r="M22" s="453">
        <f t="shared" si="2"/>
        <v>2189284618.6799998</v>
      </c>
      <c r="N22" s="453">
        <f t="shared" si="2"/>
        <v>2189284618.6799998</v>
      </c>
      <c r="O22" s="2"/>
      <c r="P22" s="31"/>
    </row>
    <row r="23" spans="1:24" ht="24" customHeight="1" x14ac:dyDescent="0.2">
      <c r="A23" s="49"/>
      <c r="B23" s="45"/>
      <c r="C23" s="422">
        <v>45</v>
      </c>
      <c r="D23" s="413" t="s">
        <v>38</v>
      </c>
      <c r="E23" s="414"/>
      <c r="F23" s="415">
        <f>F24</f>
        <v>2297395879</v>
      </c>
      <c r="G23" s="415">
        <f t="shared" si="2"/>
        <v>1842253929</v>
      </c>
      <c r="H23" s="415">
        <f t="shared" si="2"/>
        <v>1842253929</v>
      </c>
      <c r="I23" s="415">
        <f>I24</f>
        <v>504229463.83999997</v>
      </c>
      <c r="J23" s="415">
        <f t="shared" si="2"/>
        <v>347030689.68000001</v>
      </c>
      <c r="K23" s="415">
        <f t="shared" si="2"/>
        <v>347030689.68000001</v>
      </c>
      <c r="L23" s="415">
        <f t="shared" si="2"/>
        <v>2801625342.8400002</v>
      </c>
      <c r="M23" s="415">
        <f t="shared" si="2"/>
        <v>2189284618.6799998</v>
      </c>
      <c r="N23" s="415">
        <f t="shared" si="2"/>
        <v>2189284618.6799998</v>
      </c>
      <c r="O23" s="2"/>
      <c r="P23" s="31"/>
    </row>
    <row r="24" spans="1:24" ht="54.75" customHeight="1" x14ac:dyDescent="0.2">
      <c r="A24" s="49"/>
      <c r="B24" s="186"/>
      <c r="C24" s="186"/>
      <c r="D24" s="56">
        <v>4599</v>
      </c>
      <c r="E24" s="188" t="s">
        <v>39</v>
      </c>
      <c r="F24" s="192">
        <f>SUM('SGTO POAI VIGENCIA 2021'!BD24:BD25)</f>
        <v>2297395879</v>
      </c>
      <c r="G24" s="192">
        <f>SUM('SGTO POAI VIGENCIA 2021'!BE24:BE25)</f>
        <v>1842253929</v>
      </c>
      <c r="H24" s="192">
        <f>SUM('SGTO POAI VIGENCIA 2021'!BF24:BF25)</f>
        <v>1842253929</v>
      </c>
      <c r="I24" s="192">
        <f>'SGTO POAI VIGENCIA 2021'!BJ24</f>
        <v>504229463.83999997</v>
      </c>
      <c r="J24" s="192">
        <f>'SGTO POAI VIGENCIA 2021'!BK24</f>
        <v>347030689.68000001</v>
      </c>
      <c r="K24" s="192">
        <f>'SGTO POAI VIGENCIA 2021'!BL24</f>
        <v>347030689.68000001</v>
      </c>
      <c r="L24" s="192">
        <f>F24+I24</f>
        <v>2801625342.8400002</v>
      </c>
      <c r="M24" s="192">
        <f>G24+J24</f>
        <v>2189284618.6799998</v>
      </c>
      <c r="N24" s="192">
        <f>H24+K24</f>
        <v>2189284618.6799998</v>
      </c>
      <c r="O24" s="2"/>
      <c r="P24" s="31"/>
    </row>
    <row r="25" spans="1:24" s="7" customFormat="1" x14ac:dyDescent="0.2">
      <c r="A25" s="36"/>
      <c r="B25" s="93"/>
      <c r="C25" s="93"/>
      <c r="D25" s="93"/>
      <c r="E25" s="97"/>
      <c r="F25" s="94"/>
      <c r="G25" s="29"/>
      <c r="H25" s="14"/>
      <c r="I25" s="14"/>
      <c r="J25" s="14"/>
      <c r="K25" s="14"/>
      <c r="L25" s="35"/>
    </row>
    <row r="26" spans="1:24" s="7" customFormat="1" ht="24" customHeight="1" x14ac:dyDescent="0.2">
      <c r="A26" s="602" t="s">
        <v>4</v>
      </c>
      <c r="B26" s="602" t="s">
        <v>5</v>
      </c>
      <c r="C26" s="602" t="s">
        <v>6</v>
      </c>
      <c r="D26" s="602" t="s">
        <v>1355</v>
      </c>
      <c r="E26" s="603" t="s">
        <v>7</v>
      </c>
      <c r="F26" s="600" t="s">
        <v>1500</v>
      </c>
      <c r="G26" s="600"/>
      <c r="H26" s="601"/>
      <c r="I26" s="599" t="s">
        <v>1498</v>
      </c>
      <c r="J26" s="600"/>
      <c r="K26" s="601"/>
      <c r="L26" s="599" t="s">
        <v>1358</v>
      </c>
      <c r="M26" s="600"/>
      <c r="N26" s="600"/>
      <c r="O26" s="588" t="s">
        <v>1359</v>
      </c>
      <c r="P26" s="588"/>
      <c r="Q26" s="588"/>
      <c r="R26" s="588" t="s">
        <v>1503</v>
      </c>
      <c r="S26" s="588"/>
      <c r="T26" s="588"/>
      <c r="U26" s="588" t="s">
        <v>12</v>
      </c>
      <c r="V26" s="588"/>
      <c r="W26" s="588"/>
      <c r="X26" s="35"/>
    </row>
    <row r="27" spans="1:24" s="7" customFormat="1" ht="24" customHeight="1" x14ac:dyDescent="0.2">
      <c r="A27" s="602"/>
      <c r="B27" s="602"/>
      <c r="C27" s="602"/>
      <c r="D27" s="602"/>
      <c r="E27" s="603"/>
      <c r="F27" s="448" t="s">
        <v>1641</v>
      </c>
      <c r="G27" s="447" t="s">
        <v>1490</v>
      </c>
      <c r="H27" s="447" t="s">
        <v>1491</v>
      </c>
      <c r="I27" s="447" t="s">
        <v>1641</v>
      </c>
      <c r="J27" s="447" t="s">
        <v>1490</v>
      </c>
      <c r="K27" s="447" t="s">
        <v>1491</v>
      </c>
      <c r="L27" s="447" t="s">
        <v>1641</v>
      </c>
      <c r="M27" s="447" t="s">
        <v>1490</v>
      </c>
      <c r="N27" s="447" t="s">
        <v>1491</v>
      </c>
      <c r="O27" s="447" t="s">
        <v>1641</v>
      </c>
      <c r="P27" s="447" t="s">
        <v>1490</v>
      </c>
      <c r="Q27" s="447" t="s">
        <v>1491</v>
      </c>
      <c r="R27" s="447" t="s">
        <v>1641</v>
      </c>
      <c r="S27" s="447" t="s">
        <v>1490</v>
      </c>
      <c r="T27" s="447" t="s">
        <v>1491</v>
      </c>
      <c r="U27" s="447" t="s">
        <v>1641</v>
      </c>
      <c r="V27" s="447" t="s">
        <v>1490</v>
      </c>
      <c r="W27" s="447" t="s">
        <v>1491</v>
      </c>
      <c r="X27" s="35"/>
    </row>
    <row r="28" spans="1:24" ht="24" customHeight="1" x14ac:dyDescent="0.2">
      <c r="A28" s="466" t="s">
        <v>135</v>
      </c>
      <c r="B28" s="467"/>
      <c r="C28" s="467"/>
      <c r="D28" s="467"/>
      <c r="E28" s="468"/>
      <c r="F28" s="470">
        <f t="shared" ref="F28:N28" si="3">F29+F43+F51</f>
        <v>5231878639.6000004</v>
      </c>
      <c r="G28" s="470">
        <f t="shared" si="3"/>
        <v>1033262817.51</v>
      </c>
      <c r="H28" s="470">
        <f t="shared" si="3"/>
        <v>1033262817.51</v>
      </c>
      <c r="I28" s="470">
        <f t="shared" si="3"/>
        <v>56108067</v>
      </c>
      <c r="J28" s="470">
        <f t="shared" si="3"/>
        <v>37529205.509999998</v>
      </c>
      <c r="K28" s="470">
        <f t="shared" si="3"/>
        <v>37529205.509999998</v>
      </c>
      <c r="L28" s="470">
        <f t="shared" si="3"/>
        <v>2895159641.6800003</v>
      </c>
      <c r="M28" s="470">
        <f t="shared" si="3"/>
        <v>2895132862</v>
      </c>
      <c r="N28" s="470">
        <f t="shared" si="3"/>
        <v>2895132862</v>
      </c>
      <c r="O28" s="470">
        <f>O29+O43+O51+O40</f>
        <v>3863882240</v>
      </c>
      <c r="P28" s="470">
        <f t="shared" ref="P28:W28" si="4">P29+P43+P51+P40</f>
        <v>965795534.95000005</v>
      </c>
      <c r="Q28" s="470">
        <f t="shared" si="4"/>
        <v>965795534.95000005</v>
      </c>
      <c r="R28" s="470">
        <f t="shared" si="4"/>
        <v>7798323517</v>
      </c>
      <c r="S28" s="470">
        <f t="shared" si="4"/>
        <v>44406667</v>
      </c>
      <c r="T28" s="470">
        <f t="shared" si="4"/>
        <v>44406667</v>
      </c>
      <c r="U28" s="470">
        <f t="shared" si="4"/>
        <v>19845352105.279999</v>
      </c>
      <c r="V28" s="470">
        <f t="shared" si="4"/>
        <v>4976127086.9700003</v>
      </c>
      <c r="W28" s="470">
        <f t="shared" si="4"/>
        <v>4976127086.9700003</v>
      </c>
      <c r="X28" s="31"/>
    </row>
    <row r="29" spans="1:24" ht="24" customHeight="1" x14ac:dyDescent="0.2">
      <c r="A29" s="49"/>
      <c r="B29" s="450">
        <v>1</v>
      </c>
      <c r="C29" s="451" t="s">
        <v>136</v>
      </c>
      <c r="D29" s="451"/>
      <c r="E29" s="452"/>
      <c r="F29" s="453">
        <f>F30+F32+F34+F36+F38</f>
        <v>4526878639.5</v>
      </c>
      <c r="G29" s="453">
        <f>G30+G32+G34+G36+G38</f>
        <v>871702566.50999999</v>
      </c>
      <c r="H29" s="453">
        <f>H30+H32+H34+H36+H38</f>
        <v>871702566.50999999</v>
      </c>
      <c r="I29" s="453"/>
      <c r="J29" s="453"/>
      <c r="K29" s="453"/>
      <c r="L29" s="453">
        <f>L30+L32+L34+L36+L38</f>
        <v>0</v>
      </c>
      <c r="M29" s="453">
        <f>M30+M32+M34+M36+M38</f>
        <v>0</v>
      </c>
      <c r="N29" s="453">
        <f>N30+N32+N34+N36+N38</f>
        <v>0</v>
      </c>
      <c r="O29" s="453">
        <f>O30+O32+O34+O36+O38</f>
        <v>594601769</v>
      </c>
      <c r="P29" s="453">
        <f t="shared" ref="P29:W29" si="5">P30+P32+P34+P36+P38</f>
        <v>81883895</v>
      </c>
      <c r="Q29" s="453">
        <f t="shared" si="5"/>
        <v>81883895</v>
      </c>
      <c r="R29" s="453">
        <f t="shared" si="5"/>
        <v>0</v>
      </c>
      <c r="S29" s="453">
        <f t="shared" si="5"/>
        <v>0</v>
      </c>
      <c r="T29" s="453">
        <f t="shared" si="5"/>
        <v>0</v>
      </c>
      <c r="U29" s="453">
        <f t="shared" si="5"/>
        <v>5121480408.5</v>
      </c>
      <c r="V29" s="453">
        <f t="shared" si="5"/>
        <v>953586461.50999999</v>
      </c>
      <c r="W29" s="453">
        <f t="shared" si="5"/>
        <v>953586461.50999999</v>
      </c>
      <c r="X29" s="31"/>
    </row>
    <row r="30" spans="1:24" ht="24" customHeight="1" x14ac:dyDescent="0.2">
      <c r="A30" s="49"/>
      <c r="B30" s="45"/>
      <c r="C30" s="422">
        <v>12</v>
      </c>
      <c r="D30" s="413" t="s">
        <v>137</v>
      </c>
      <c r="E30" s="413"/>
      <c r="F30" s="461">
        <f>F31</f>
        <v>0</v>
      </c>
      <c r="G30" s="461">
        <f>G31</f>
        <v>0</v>
      </c>
      <c r="H30" s="461">
        <f>H31</f>
        <v>0</v>
      </c>
      <c r="I30" s="461"/>
      <c r="J30" s="461"/>
      <c r="K30" s="461"/>
      <c r="L30" s="461">
        <f t="shared" ref="L30:W30" si="6">L31</f>
        <v>0</v>
      </c>
      <c r="M30" s="461">
        <f t="shared" si="6"/>
        <v>0</v>
      </c>
      <c r="N30" s="461">
        <f t="shared" si="6"/>
        <v>0</v>
      </c>
      <c r="O30" s="461">
        <f t="shared" si="6"/>
        <v>24750000</v>
      </c>
      <c r="P30" s="461">
        <f t="shared" si="6"/>
        <v>22616827</v>
      </c>
      <c r="Q30" s="461">
        <f t="shared" si="6"/>
        <v>22616827</v>
      </c>
      <c r="R30" s="461">
        <f t="shared" si="6"/>
        <v>0</v>
      </c>
      <c r="S30" s="461">
        <f t="shared" si="6"/>
        <v>0</v>
      </c>
      <c r="T30" s="461">
        <f t="shared" si="6"/>
        <v>0</v>
      </c>
      <c r="U30" s="461">
        <f t="shared" si="6"/>
        <v>24750000</v>
      </c>
      <c r="V30" s="461">
        <f t="shared" si="6"/>
        <v>22616827</v>
      </c>
      <c r="W30" s="461">
        <f t="shared" si="6"/>
        <v>22616827</v>
      </c>
      <c r="X30" s="31"/>
    </row>
    <row r="31" spans="1:24" ht="44.25" customHeight="1" x14ac:dyDescent="0.2">
      <c r="A31" s="49"/>
      <c r="B31" s="186"/>
      <c r="C31" s="186"/>
      <c r="D31" s="44">
        <v>1202</v>
      </c>
      <c r="E31" s="188" t="s">
        <v>138</v>
      </c>
      <c r="F31" s="192"/>
      <c r="G31" s="192"/>
      <c r="H31" s="192"/>
      <c r="I31" s="192"/>
      <c r="J31" s="192"/>
      <c r="K31" s="192"/>
      <c r="L31" s="192"/>
      <c r="M31" s="192"/>
      <c r="N31" s="192"/>
      <c r="O31" s="192">
        <f>'SGTO POAI VIGENCIA 2021'!BD26</f>
        <v>24750000</v>
      </c>
      <c r="P31" s="192">
        <f>'SGTO POAI VIGENCIA 2021'!BE26</f>
        <v>22616827</v>
      </c>
      <c r="Q31" s="192">
        <f>'SGTO POAI VIGENCIA 2021'!BF26</f>
        <v>22616827</v>
      </c>
      <c r="R31" s="192"/>
      <c r="S31" s="192"/>
      <c r="T31" s="192"/>
      <c r="U31" s="192">
        <f>F31+L31+O31+I31</f>
        <v>24750000</v>
      </c>
      <c r="V31" s="192">
        <f>G31+M31+P31+J31</f>
        <v>22616827</v>
      </c>
      <c r="W31" s="192">
        <f>H31+N31+Q31+K31</f>
        <v>22616827</v>
      </c>
      <c r="X31" s="31"/>
    </row>
    <row r="32" spans="1:24" ht="24" customHeight="1" x14ac:dyDescent="0.2">
      <c r="A32" s="49"/>
      <c r="B32" s="45"/>
      <c r="C32" s="422">
        <v>19</v>
      </c>
      <c r="D32" s="413" t="s">
        <v>147</v>
      </c>
      <c r="E32" s="414"/>
      <c r="F32" s="415">
        <f>F33</f>
        <v>0</v>
      </c>
      <c r="G32" s="415">
        <f>G33</f>
        <v>0</v>
      </c>
      <c r="H32" s="415">
        <f>H33</f>
        <v>0</v>
      </c>
      <c r="I32" s="415"/>
      <c r="J32" s="415"/>
      <c r="K32" s="415"/>
      <c r="L32" s="415">
        <f t="shared" ref="L32:Q32" si="7">L33</f>
        <v>0</v>
      </c>
      <c r="M32" s="415">
        <f t="shared" si="7"/>
        <v>0</v>
      </c>
      <c r="N32" s="415">
        <f t="shared" si="7"/>
        <v>0</v>
      </c>
      <c r="O32" s="415">
        <f t="shared" si="7"/>
        <v>459746979</v>
      </c>
      <c r="P32" s="415">
        <f t="shared" si="7"/>
        <v>6880000</v>
      </c>
      <c r="Q32" s="415">
        <f t="shared" si="7"/>
        <v>6880000</v>
      </c>
      <c r="R32" s="415"/>
      <c r="S32" s="415"/>
      <c r="T32" s="415"/>
      <c r="U32" s="415">
        <f>U33</f>
        <v>459746979</v>
      </c>
      <c r="V32" s="415">
        <f>V33</f>
        <v>6880000</v>
      </c>
      <c r="W32" s="415">
        <f>W33</f>
        <v>6880000</v>
      </c>
      <c r="X32" s="31"/>
    </row>
    <row r="33" spans="1:24" ht="42.75" customHeight="1" x14ac:dyDescent="0.2">
      <c r="A33" s="49"/>
      <c r="B33" s="186"/>
      <c r="C33" s="186"/>
      <c r="D33" s="44">
        <v>1906</v>
      </c>
      <c r="E33" s="188" t="s">
        <v>148</v>
      </c>
      <c r="F33" s="192"/>
      <c r="G33" s="192"/>
      <c r="H33" s="192"/>
      <c r="I33" s="192"/>
      <c r="J33" s="192"/>
      <c r="K33" s="192"/>
      <c r="L33" s="192"/>
      <c r="M33" s="192"/>
      <c r="N33" s="192"/>
      <c r="O33" s="192">
        <f>'SGTO POAI VIGENCIA 2021'!BD27</f>
        <v>459746979</v>
      </c>
      <c r="P33" s="192">
        <f>'SGTO POAI VIGENCIA 2021'!BE27</f>
        <v>6880000</v>
      </c>
      <c r="Q33" s="192">
        <f>'SGTO POAI VIGENCIA 2021'!BF27</f>
        <v>6880000</v>
      </c>
      <c r="R33" s="192"/>
      <c r="S33" s="192"/>
      <c r="T33" s="192"/>
      <c r="U33" s="192">
        <f>F33+L33+O33+I33</f>
        <v>459746979</v>
      </c>
      <c r="V33" s="192">
        <f>G33+M33+P33+J33</f>
        <v>6880000</v>
      </c>
      <c r="W33" s="192">
        <f>H33+N33+Q33+K33</f>
        <v>6880000</v>
      </c>
      <c r="X33" s="31"/>
    </row>
    <row r="34" spans="1:24" ht="24" customHeight="1" x14ac:dyDescent="0.2">
      <c r="A34" s="49"/>
      <c r="B34" s="45"/>
      <c r="C34" s="422">
        <v>22</v>
      </c>
      <c r="D34" s="413" t="s">
        <v>156</v>
      </c>
      <c r="E34" s="419"/>
      <c r="F34" s="462">
        <f>F35</f>
        <v>1765974462.4000001</v>
      </c>
      <c r="G34" s="462">
        <f>G35</f>
        <v>298522254</v>
      </c>
      <c r="H34" s="462">
        <f>H35</f>
        <v>298522254</v>
      </c>
      <c r="I34" s="462"/>
      <c r="J34" s="462"/>
      <c r="K34" s="462"/>
      <c r="L34" s="462">
        <f t="shared" ref="L34:Q34" si="8">L35</f>
        <v>0</v>
      </c>
      <c r="M34" s="462">
        <f t="shared" si="8"/>
        <v>0</v>
      </c>
      <c r="N34" s="462">
        <f t="shared" si="8"/>
        <v>0</v>
      </c>
      <c r="O34" s="462">
        <f t="shared" si="8"/>
        <v>0</v>
      </c>
      <c r="P34" s="462">
        <f t="shared" si="8"/>
        <v>0</v>
      </c>
      <c r="Q34" s="462">
        <f t="shared" si="8"/>
        <v>0</v>
      </c>
      <c r="R34" s="462"/>
      <c r="S34" s="462"/>
      <c r="T34" s="462"/>
      <c r="U34" s="462">
        <f>U35</f>
        <v>1765974462.4000001</v>
      </c>
      <c r="V34" s="462">
        <f>V35</f>
        <v>298522254</v>
      </c>
      <c r="W34" s="462">
        <f>W35</f>
        <v>298522254</v>
      </c>
      <c r="X34" s="31"/>
    </row>
    <row r="35" spans="1:24" ht="52.5" customHeight="1" x14ac:dyDescent="0.2">
      <c r="A35" s="49"/>
      <c r="B35" s="186"/>
      <c r="C35" s="186"/>
      <c r="D35" s="44">
        <v>2201</v>
      </c>
      <c r="E35" s="188" t="s">
        <v>157</v>
      </c>
      <c r="F35" s="192">
        <f>'SGTO POAI VIGENCIA 2021'!Z28</f>
        <v>1765974462.4000001</v>
      </c>
      <c r="G35" s="192">
        <f>'SGTO POAI VIGENCIA 2021'!AA28</f>
        <v>298522254</v>
      </c>
      <c r="H35" s="192">
        <f>'SGTO POAI VIGENCIA 2021'!AB28</f>
        <v>298522254</v>
      </c>
      <c r="I35" s="192"/>
      <c r="J35" s="192"/>
      <c r="K35" s="192"/>
      <c r="L35" s="192"/>
      <c r="M35" s="192"/>
      <c r="N35" s="192"/>
      <c r="O35" s="192"/>
      <c r="P35" s="192"/>
      <c r="Q35" s="192"/>
      <c r="R35" s="192"/>
      <c r="S35" s="192"/>
      <c r="T35" s="192"/>
      <c r="U35" s="192">
        <f>F35+L35+O35+I35</f>
        <v>1765974462.4000001</v>
      </c>
      <c r="V35" s="192">
        <f>G35+M35+P35+J35</f>
        <v>298522254</v>
      </c>
      <c r="W35" s="192">
        <f>H35+N35+Q35+K35</f>
        <v>298522254</v>
      </c>
      <c r="X35" s="31"/>
    </row>
    <row r="36" spans="1:24" ht="24" customHeight="1" x14ac:dyDescent="0.2">
      <c r="A36" s="49"/>
      <c r="B36" s="45"/>
      <c r="C36" s="422">
        <v>33</v>
      </c>
      <c r="D36" s="418" t="s">
        <v>166</v>
      </c>
      <c r="E36" s="419"/>
      <c r="F36" s="462">
        <f>SUM(F37)</f>
        <v>0</v>
      </c>
      <c r="G36" s="462">
        <f>SUM(G37)</f>
        <v>0</v>
      </c>
      <c r="H36" s="462">
        <f>SUM(H37)</f>
        <v>0</v>
      </c>
      <c r="I36" s="462"/>
      <c r="J36" s="462"/>
      <c r="K36" s="462"/>
      <c r="L36" s="462">
        <f t="shared" ref="L36:Q36" si="9">SUM(L37)</f>
        <v>0</v>
      </c>
      <c r="M36" s="462">
        <f t="shared" si="9"/>
        <v>0</v>
      </c>
      <c r="N36" s="462">
        <f t="shared" si="9"/>
        <v>0</v>
      </c>
      <c r="O36" s="462">
        <f t="shared" si="9"/>
        <v>110104790</v>
      </c>
      <c r="P36" s="462">
        <f t="shared" si="9"/>
        <v>52387068</v>
      </c>
      <c r="Q36" s="462">
        <f t="shared" si="9"/>
        <v>52387068</v>
      </c>
      <c r="R36" s="462"/>
      <c r="S36" s="462"/>
      <c r="T36" s="462"/>
      <c r="U36" s="462">
        <f>SUM(U37)</f>
        <v>110104790</v>
      </c>
      <c r="V36" s="462">
        <f>SUM(V37)</f>
        <v>52387068</v>
      </c>
      <c r="W36" s="462">
        <f>SUM(W37)</f>
        <v>52387068</v>
      </c>
      <c r="X36" s="31"/>
    </row>
    <row r="37" spans="1:24" ht="48" customHeight="1" x14ac:dyDescent="0.2">
      <c r="A37" s="49"/>
      <c r="B37" s="186"/>
      <c r="C37" s="186"/>
      <c r="D37" s="44">
        <v>3301</v>
      </c>
      <c r="E37" s="188" t="s">
        <v>167</v>
      </c>
      <c r="F37" s="192"/>
      <c r="G37" s="192"/>
      <c r="H37" s="192"/>
      <c r="I37" s="192"/>
      <c r="J37" s="192"/>
      <c r="K37" s="192"/>
      <c r="L37" s="192"/>
      <c r="M37" s="192"/>
      <c r="N37" s="192"/>
      <c r="O37" s="192">
        <f>'SGTO POAI VIGENCIA 2021'!BD29</f>
        <v>110104790</v>
      </c>
      <c r="P37" s="192">
        <f>'SGTO POAI VIGENCIA 2021'!BE29</f>
        <v>52387068</v>
      </c>
      <c r="Q37" s="192">
        <f>'SGTO POAI VIGENCIA 2021'!BF29</f>
        <v>52387068</v>
      </c>
      <c r="R37" s="192"/>
      <c r="S37" s="192"/>
      <c r="T37" s="192"/>
      <c r="U37" s="192">
        <f>F37+L37+O37+I37</f>
        <v>110104790</v>
      </c>
      <c r="V37" s="192">
        <f>G37+M37+P37+J37</f>
        <v>52387068</v>
      </c>
      <c r="W37" s="192">
        <f>H37+N37+Q37+K37</f>
        <v>52387068</v>
      </c>
      <c r="X37" s="31"/>
    </row>
    <row r="38" spans="1:24" ht="24" customHeight="1" x14ac:dyDescent="0.2">
      <c r="A38" s="49"/>
      <c r="B38" s="45"/>
      <c r="C38" s="422">
        <v>43</v>
      </c>
      <c r="D38" s="413" t="s">
        <v>176</v>
      </c>
      <c r="E38" s="463"/>
      <c r="F38" s="461">
        <f>SUM(F39)</f>
        <v>2760904177.1000004</v>
      </c>
      <c r="G38" s="461">
        <f>SUM(G39)</f>
        <v>573180312.50999999</v>
      </c>
      <c r="H38" s="461">
        <f>SUM(H39)</f>
        <v>573180312.50999999</v>
      </c>
      <c r="I38" s="461"/>
      <c r="J38" s="461"/>
      <c r="K38" s="461"/>
      <c r="L38" s="461">
        <f t="shared" ref="L38:Q38" si="10">SUM(L39)</f>
        <v>0</v>
      </c>
      <c r="M38" s="461">
        <f t="shared" si="10"/>
        <v>0</v>
      </c>
      <c r="N38" s="461">
        <f t="shared" si="10"/>
        <v>0</v>
      </c>
      <c r="O38" s="461">
        <f t="shared" si="10"/>
        <v>0</v>
      </c>
      <c r="P38" s="461">
        <f t="shared" si="10"/>
        <v>0</v>
      </c>
      <c r="Q38" s="461">
        <f t="shared" si="10"/>
        <v>0</v>
      </c>
      <c r="R38" s="461"/>
      <c r="S38" s="461"/>
      <c r="T38" s="461"/>
      <c r="U38" s="461">
        <f>SUM(U39)</f>
        <v>2760904177.1000004</v>
      </c>
      <c r="V38" s="461">
        <f>SUM(V39)</f>
        <v>573180312.50999999</v>
      </c>
      <c r="W38" s="461">
        <f>SUM(W39)</f>
        <v>573180312.50999999</v>
      </c>
      <c r="X38" s="31"/>
    </row>
    <row r="39" spans="1:24" ht="69.75" customHeight="1" x14ac:dyDescent="0.2">
      <c r="A39" s="49"/>
      <c r="B39" s="186"/>
      <c r="C39" s="186"/>
      <c r="D39" s="44">
        <v>4301</v>
      </c>
      <c r="E39" s="188" t="s">
        <v>177</v>
      </c>
      <c r="F39" s="192">
        <f>'SGTO POAI VIGENCIA 2021'!Z30</f>
        <v>2760904177.1000004</v>
      </c>
      <c r="G39" s="192">
        <f>'SGTO POAI VIGENCIA 2021'!AA30</f>
        <v>573180312.50999999</v>
      </c>
      <c r="H39" s="192">
        <f>'SGTO POAI VIGENCIA 2021'!AB30</f>
        <v>573180312.50999999</v>
      </c>
      <c r="I39" s="192"/>
      <c r="J39" s="192"/>
      <c r="K39" s="192"/>
      <c r="L39" s="192"/>
      <c r="M39" s="192"/>
      <c r="N39" s="192"/>
      <c r="O39" s="192"/>
      <c r="P39" s="192"/>
      <c r="Q39" s="192"/>
      <c r="R39" s="192"/>
      <c r="S39" s="192"/>
      <c r="T39" s="192"/>
      <c r="U39" s="192">
        <f>F39+L39+O39+I39</f>
        <v>2760904177.1000004</v>
      </c>
      <c r="V39" s="192">
        <f>G39+M39+P39+J39</f>
        <v>573180312.50999999</v>
      </c>
      <c r="W39" s="192">
        <f>H39+N39+Q39+K39</f>
        <v>573180312.50999999</v>
      </c>
      <c r="X39" s="36"/>
    </row>
    <row r="40" spans="1:24" ht="30" customHeight="1" x14ac:dyDescent="0.2">
      <c r="B40" s="458">
        <v>2</v>
      </c>
      <c r="C40" s="459" t="s">
        <v>400</v>
      </c>
      <c r="D40" s="451"/>
      <c r="E40" s="451"/>
      <c r="F40" s="453">
        <f t="shared" ref="F40:O41" si="11">F41</f>
        <v>0</v>
      </c>
      <c r="G40" s="453">
        <f t="shared" si="11"/>
        <v>0</v>
      </c>
      <c r="H40" s="453">
        <f t="shared" si="11"/>
        <v>0</v>
      </c>
      <c r="I40" s="453">
        <f t="shared" si="11"/>
        <v>0</v>
      </c>
      <c r="J40" s="453">
        <f t="shared" si="11"/>
        <v>0</v>
      </c>
      <c r="K40" s="453">
        <f t="shared" si="11"/>
        <v>0</v>
      </c>
      <c r="L40" s="453">
        <f t="shared" si="11"/>
        <v>0</v>
      </c>
      <c r="M40" s="453">
        <f t="shared" si="11"/>
        <v>0</v>
      </c>
      <c r="N40" s="453">
        <f t="shared" si="11"/>
        <v>0</v>
      </c>
      <c r="O40" s="453">
        <f t="shared" si="11"/>
        <v>1</v>
      </c>
      <c r="P40" s="453">
        <f t="shared" ref="P40:W41" si="12">P41</f>
        <v>0</v>
      </c>
      <c r="Q40" s="453">
        <f t="shared" si="12"/>
        <v>0</v>
      </c>
      <c r="R40" s="453">
        <f t="shared" si="12"/>
        <v>0</v>
      </c>
      <c r="S40" s="453">
        <f t="shared" si="12"/>
        <v>0</v>
      </c>
      <c r="T40" s="453">
        <f t="shared" si="12"/>
        <v>0</v>
      </c>
      <c r="U40" s="453">
        <f t="shared" si="12"/>
        <v>1</v>
      </c>
      <c r="V40" s="453">
        <f t="shared" si="12"/>
        <v>0</v>
      </c>
      <c r="W40" s="453">
        <f t="shared" si="12"/>
        <v>0</v>
      </c>
    </row>
    <row r="41" spans="1:24" ht="27.75" customHeight="1" x14ac:dyDescent="0.2">
      <c r="A41" s="375"/>
      <c r="B41" s="374"/>
      <c r="C41" s="420">
        <v>35</v>
      </c>
      <c r="D41" s="413" t="s">
        <v>401</v>
      </c>
      <c r="E41" s="464"/>
      <c r="F41" s="429">
        <f t="shared" si="11"/>
        <v>0</v>
      </c>
      <c r="G41" s="429">
        <f t="shared" si="11"/>
        <v>0</v>
      </c>
      <c r="H41" s="429">
        <f t="shared" si="11"/>
        <v>0</v>
      </c>
      <c r="I41" s="429">
        <f t="shared" si="11"/>
        <v>0</v>
      </c>
      <c r="J41" s="429">
        <f t="shared" si="11"/>
        <v>0</v>
      </c>
      <c r="K41" s="429">
        <f t="shared" si="11"/>
        <v>0</v>
      </c>
      <c r="L41" s="429">
        <f t="shared" si="11"/>
        <v>0</v>
      </c>
      <c r="M41" s="429">
        <f t="shared" si="11"/>
        <v>0</v>
      </c>
      <c r="N41" s="429">
        <f t="shared" si="11"/>
        <v>0</v>
      </c>
      <c r="O41" s="429">
        <f t="shared" si="11"/>
        <v>1</v>
      </c>
      <c r="P41" s="429">
        <f t="shared" si="12"/>
        <v>0</v>
      </c>
      <c r="Q41" s="429">
        <f t="shared" si="12"/>
        <v>0</v>
      </c>
      <c r="R41" s="429">
        <f t="shared" si="12"/>
        <v>0</v>
      </c>
      <c r="S41" s="429">
        <f t="shared" si="12"/>
        <v>0</v>
      </c>
      <c r="T41" s="429">
        <f t="shared" si="12"/>
        <v>0</v>
      </c>
      <c r="U41" s="429">
        <f t="shared" si="12"/>
        <v>1</v>
      </c>
      <c r="V41" s="429">
        <f t="shared" si="12"/>
        <v>0</v>
      </c>
      <c r="W41" s="429">
        <f t="shared" si="12"/>
        <v>0</v>
      </c>
    </row>
    <row r="42" spans="1:24" ht="65.25" customHeight="1" x14ac:dyDescent="0.2">
      <c r="B42" s="186"/>
      <c r="C42" s="186"/>
      <c r="D42" s="376">
        <v>3502</v>
      </c>
      <c r="E42" s="214" t="s">
        <v>1680</v>
      </c>
      <c r="F42" s="215"/>
      <c r="G42" s="215"/>
      <c r="H42" s="215"/>
      <c r="I42" s="375"/>
      <c r="J42" s="375"/>
      <c r="K42" s="375"/>
      <c r="L42" s="375"/>
      <c r="M42" s="375"/>
      <c r="N42" s="375"/>
      <c r="O42" s="192">
        <f>'SGTO POAI VIGENCIA 2021'!BP31</f>
        <v>1</v>
      </c>
      <c r="P42" s="192">
        <f>'SGTO POAI VIGENCIA 2021'!BQ31</f>
        <v>0</v>
      </c>
      <c r="Q42" s="192">
        <f>'SGTO POAI VIGENCIA 2021'!BR31</f>
        <v>0</v>
      </c>
      <c r="R42" s="375"/>
      <c r="S42" s="375"/>
      <c r="T42" s="375"/>
      <c r="U42" s="192">
        <f>F42+L42+O42+I42</f>
        <v>1</v>
      </c>
      <c r="V42" s="192">
        <f>G42+M42+P42+J42</f>
        <v>0</v>
      </c>
      <c r="W42" s="192">
        <f>H42+N42+Q42+K42</f>
        <v>0</v>
      </c>
    </row>
    <row r="43" spans="1:24" ht="24" customHeight="1" x14ac:dyDescent="0.2">
      <c r="A43" s="49"/>
      <c r="B43" s="450">
        <v>3</v>
      </c>
      <c r="C43" s="451" t="s">
        <v>186</v>
      </c>
      <c r="D43" s="451"/>
      <c r="E43" s="456"/>
      <c r="F43" s="457">
        <f t="shared" ref="F43:W43" si="13">F44+F46+F48</f>
        <v>705000000.10000002</v>
      </c>
      <c r="G43" s="457">
        <f t="shared" si="13"/>
        <v>161560251</v>
      </c>
      <c r="H43" s="457">
        <f t="shared" si="13"/>
        <v>161560251</v>
      </c>
      <c r="I43" s="457">
        <f t="shared" si="13"/>
        <v>56108067</v>
      </c>
      <c r="J43" s="457">
        <f t="shared" si="13"/>
        <v>37529205.509999998</v>
      </c>
      <c r="K43" s="457">
        <f t="shared" si="13"/>
        <v>37529205.509999998</v>
      </c>
      <c r="L43" s="457">
        <f t="shared" si="13"/>
        <v>2895159641.6800003</v>
      </c>
      <c r="M43" s="457">
        <f t="shared" si="13"/>
        <v>2895132862</v>
      </c>
      <c r="N43" s="457">
        <f t="shared" si="13"/>
        <v>2895132862</v>
      </c>
      <c r="O43" s="457">
        <f t="shared" si="13"/>
        <v>3019284071</v>
      </c>
      <c r="P43" s="457">
        <f t="shared" si="13"/>
        <v>719956873.27999997</v>
      </c>
      <c r="Q43" s="457">
        <f t="shared" si="13"/>
        <v>719956873.27999997</v>
      </c>
      <c r="R43" s="457">
        <f t="shared" si="13"/>
        <v>7798323517</v>
      </c>
      <c r="S43" s="457">
        <f t="shared" si="13"/>
        <v>44406667</v>
      </c>
      <c r="T43" s="457">
        <f t="shared" si="13"/>
        <v>44406667</v>
      </c>
      <c r="U43" s="457">
        <f t="shared" si="13"/>
        <v>14473875296.780001</v>
      </c>
      <c r="V43" s="457">
        <f t="shared" si="13"/>
        <v>3858585858.79</v>
      </c>
      <c r="W43" s="457">
        <f t="shared" si="13"/>
        <v>3858585858.79</v>
      </c>
      <c r="X43" s="36"/>
    </row>
    <row r="44" spans="1:24" ht="24" customHeight="1" x14ac:dyDescent="0.2">
      <c r="A44" s="49"/>
      <c r="B44" s="45"/>
      <c r="C44" s="420">
        <v>24</v>
      </c>
      <c r="D44" s="413" t="s">
        <v>187</v>
      </c>
      <c r="E44" s="414"/>
      <c r="F44" s="415">
        <f>F45</f>
        <v>0</v>
      </c>
      <c r="G44" s="415">
        <f>G45</f>
        <v>0</v>
      </c>
      <c r="H44" s="415">
        <f>H45</f>
        <v>0</v>
      </c>
      <c r="I44" s="415"/>
      <c r="J44" s="415"/>
      <c r="K44" s="415"/>
      <c r="L44" s="415">
        <f t="shared" ref="L44:Q44" si="14">L45</f>
        <v>0</v>
      </c>
      <c r="M44" s="415">
        <f t="shared" si="14"/>
        <v>0</v>
      </c>
      <c r="N44" s="415">
        <f t="shared" si="14"/>
        <v>0</v>
      </c>
      <c r="O44" s="415">
        <f t="shared" si="14"/>
        <v>792284071</v>
      </c>
      <c r="P44" s="415">
        <f t="shared" si="14"/>
        <v>325025003</v>
      </c>
      <c r="Q44" s="415">
        <f t="shared" si="14"/>
        <v>325025003</v>
      </c>
      <c r="R44" s="415">
        <f t="shared" ref="R44:W44" si="15">R45</f>
        <v>7798323517</v>
      </c>
      <c r="S44" s="415">
        <f t="shared" si="15"/>
        <v>44406667</v>
      </c>
      <c r="T44" s="415">
        <f t="shared" si="15"/>
        <v>44406667</v>
      </c>
      <c r="U44" s="415">
        <f t="shared" si="15"/>
        <v>8590607588</v>
      </c>
      <c r="V44" s="415">
        <f t="shared" si="15"/>
        <v>369431670</v>
      </c>
      <c r="W44" s="415">
        <f t="shared" si="15"/>
        <v>369431670</v>
      </c>
      <c r="X44" s="36"/>
    </row>
    <row r="45" spans="1:24" ht="48" customHeight="1" x14ac:dyDescent="0.2">
      <c r="A45" s="49"/>
      <c r="B45" s="186"/>
      <c r="C45" s="186"/>
      <c r="D45" s="44">
        <v>2402</v>
      </c>
      <c r="E45" s="188" t="s">
        <v>188</v>
      </c>
      <c r="F45" s="192"/>
      <c r="G45" s="192"/>
      <c r="H45" s="192"/>
      <c r="I45" s="192"/>
      <c r="J45" s="192"/>
      <c r="K45" s="192"/>
      <c r="L45" s="192"/>
      <c r="M45" s="192"/>
      <c r="N45" s="192"/>
      <c r="O45" s="192">
        <f>SUM('SGTO POAI VIGENCIA 2021'!BD32:BD34)</f>
        <v>792284071</v>
      </c>
      <c r="P45" s="192">
        <f>SUM('SGTO POAI VIGENCIA 2021'!BE32:BE34)</f>
        <v>325025003</v>
      </c>
      <c r="Q45" s="192">
        <f>SUM('SGTO POAI VIGENCIA 2021'!BF32:BF34)</f>
        <v>325025003</v>
      </c>
      <c r="R45" s="192">
        <f>SUM('SGTO POAI VIGENCIA 2021'!BJ32:BJ34)</f>
        <v>7798323517</v>
      </c>
      <c r="S45" s="192">
        <f>SUM('SGTO POAI VIGENCIA 2021'!BK32:BK34)</f>
        <v>44406667</v>
      </c>
      <c r="T45" s="192">
        <f>SUM('SGTO POAI VIGENCIA 2021'!BL32:BL34)</f>
        <v>44406667</v>
      </c>
      <c r="U45" s="192">
        <f>O45+R45</f>
        <v>8590607588</v>
      </c>
      <c r="V45" s="192">
        <f>P45+S45</f>
        <v>369431670</v>
      </c>
      <c r="W45" s="192">
        <f>Q45+T45</f>
        <v>369431670</v>
      </c>
      <c r="X45" s="36"/>
    </row>
    <row r="46" spans="1:24" ht="24" customHeight="1" x14ac:dyDescent="0.2">
      <c r="A46" s="49"/>
      <c r="B46" s="45"/>
      <c r="C46" s="422">
        <v>32</v>
      </c>
      <c r="D46" s="413" t="s">
        <v>207</v>
      </c>
      <c r="E46" s="463"/>
      <c r="F46" s="461">
        <f t="shared" ref="F46:Q46" si="16">F47</f>
        <v>0</v>
      </c>
      <c r="G46" s="461">
        <f t="shared" si="16"/>
        <v>0</v>
      </c>
      <c r="H46" s="461">
        <f t="shared" si="16"/>
        <v>0</v>
      </c>
      <c r="I46" s="461">
        <f t="shared" si="16"/>
        <v>56108067</v>
      </c>
      <c r="J46" s="461">
        <f t="shared" si="16"/>
        <v>37529205.509999998</v>
      </c>
      <c r="K46" s="461">
        <f t="shared" si="16"/>
        <v>37529205.509999998</v>
      </c>
      <c r="L46" s="461">
        <f t="shared" si="16"/>
        <v>0</v>
      </c>
      <c r="M46" s="461">
        <f t="shared" si="16"/>
        <v>0</v>
      </c>
      <c r="N46" s="461">
        <f t="shared" si="16"/>
        <v>0</v>
      </c>
      <c r="O46" s="461">
        <f t="shared" si="16"/>
        <v>2207000000</v>
      </c>
      <c r="P46" s="461">
        <f t="shared" si="16"/>
        <v>394931870.27999997</v>
      </c>
      <c r="Q46" s="461">
        <f t="shared" si="16"/>
        <v>394931870.27999997</v>
      </c>
      <c r="R46" s="461"/>
      <c r="S46" s="461"/>
      <c r="T46" s="461"/>
      <c r="U46" s="461">
        <f>U47</f>
        <v>2263108067</v>
      </c>
      <c r="V46" s="461">
        <f>V47</f>
        <v>432461075.78999996</v>
      </c>
      <c r="W46" s="461">
        <f>W47</f>
        <v>432461075.78999996</v>
      </c>
      <c r="X46" s="36"/>
    </row>
    <row r="47" spans="1:24" ht="41.25" customHeight="1" x14ac:dyDescent="0.2">
      <c r="A47" s="49"/>
      <c r="B47" s="186"/>
      <c r="C47" s="186"/>
      <c r="D47" s="44">
        <v>3205</v>
      </c>
      <c r="E47" s="188" t="s">
        <v>208</v>
      </c>
      <c r="F47" s="192"/>
      <c r="G47" s="192"/>
      <c r="H47" s="192"/>
      <c r="I47" s="192">
        <f>SUM('SGTO POAI VIGENCIA 2021'!AF35:AF36)</f>
        <v>56108067</v>
      </c>
      <c r="J47" s="192">
        <f>SUM('SGTO POAI VIGENCIA 2021'!AG35:AG36)</f>
        <v>37529205.509999998</v>
      </c>
      <c r="K47" s="192">
        <f>SUM('SGTO POAI VIGENCIA 2021'!AH35:AH36)</f>
        <v>37529205.509999998</v>
      </c>
      <c r="L47" s="192"/>
      <c r="M47" s="192"/>
      <c r="N47" s="192"/>
      <c r="O47" s="192">
        <f>SUM('SGTO POAI VIGENCIA 2021'!BD35:BD36)</f>
        <v>2207000000</v>
      </c>
      <c r="P47" s="192">
        <f>SUM('SGTO POAI VIGENCIA 2021'!BE35:BE36)</f>
        <v>394931870.27999997</v>
      </c>
      <c r="Q47" s="192">
        <f>SUM('SGTO POAI VIGENCIA 2021'!BF35:BF36)</f>
        <v>394931870.27999997</v>
      </c>
      <c r="R47" s="192"/>
      <c r="S47" s="192"/>
      <c r="T47" s="192"/>
      <c r="U47" s="192">
        <f>F47+L47+O47+I47</f>
        <v>2263108067</v>
      </c>
      <c r="V47" s="192">
        <f>G47+M47+P47+J47</f>
        <v>432461075.78999996</v>
      </c>
      <c r="W47" s="192">
        <f>H47+N47+Q47+K47</f>
        <v>432461075.78999996</v>
      </c>
      <c r="X47" s="36"/>
    </row>
    <row r="48" spans="1:24" ht="24" customHeight="1" x14ac:dyDescent="0.2">
      <c r="A48" s="49"/>
      <c r="B48" s="45"/>
      <c r="C48" s="422">
        <v>40</v>
      </c>
      <c r="D48" s="413" t="s">
        <v>221</v>
      </c>
      <c r="E48" s="463"/>
      <c r="F48" s="461">
        <f>SUM(F49:F50)</f>
        <v>705000000.10000002</v>
      </c>
      <c r="G48" s="461">
        <f>SUM(G49:G50)</f>
        <v>161560251</v>
      </c>
      <c r="H48" s="461">
        <f>SUM(H49:H50)</f>
        <v>161560251</v>
      </c>
      <c r="I48" s="461"/>
      <c r="J48" s="461"/>
      <c r="K48" s="461"/>
      <c r="L48" s="461">
        <f t="shared" ref="L48:Q48" si="17">SUM(L49:L50)</f>
        <v>2895159641.6800003</v>
      </c>
      <c r="M48" s="461">
        <f t="shared" si="17"/>
        <v>2895132862</v>
      </c>
      <c r="N48" s="461">
        <f t="shared" si="17"/>
        <v>2895132862</v>
      </c>
      <c r="O48" s="461">
        <f t="shared" si="17"/>
        <v>20000000</v>
      </c>
      <c r="P48" s="461">
        <f t="shared" si="17"/>
        <v>0</v>
      </c>
      <c r="Q48" s="461">
        <f t="shared" si="17"/>
        <v>0</v>
      </c>
      <c r="R48" s="461"/>
      <c r="S48" s="461"/>
      <c r="T48" s="461"/>
      <c r="U48" s="461">
        <f>SUM(U49:U50)</f>
        <v>3620159641.7800002</v>
      </c>
      <c r="V48" s="461">
        <f>SUM(V49:V50)</f>
        <v>3056693113</v>
      </c>
      <c r="W48" s="461">
        <f>SUM(W49:W50)</f>
        <v>3056693113</v>
      </c>
      <c r="X48" s="36"/>
    </row>
    <row r="49" spans="1:24" ht="42" customHeight="1" x14ac:dyDescent="0.2">
      <c r="A49" s="49"/>
      <c r="B49" s="186"/>
      <c r="C49" s="186"/>
      <c r="D49" s="44">
        <v>4001</v>
      </c>
      <c r="E49" s="188" t="s">
        <v>222</v>
      </c>
      <c r="F49" s="192">
        <f>'SGTO POAI VIGENCIA 2021'!Z37</f>
        <v>100000000.09999999</v>
      </c>
      <c r="G49" s="192">
        <f>'SGTO POAI VIGENCIA 2021'!AA37</f>
        <v>0</v>
      </c>
      <c r="H49" s="192">
        <f>'SGTO POAI VIGENCIA 2021'!AB37</f>
        <v>0</v>
      </c>
      <c r="I49" s="192"/>
      <c r="J49" s="192"/>
      <c r="K49" s="192"/>
      <c r="L49" s="192"/>
      <c r="M49" s="192"/>
      <c r="N49" s="192"/>
      <c r="O49" s="192">
        <f>'SGTO POAI VIGENCIA 2021'!BD37</f>
        <v>20000000</v>
      </c>
      <c r="P49" s="192">
        <f>'SGTO POAI VIGENCIA 2021'!BE37</f>
        <v>0</v>
      </c>
      <c r="Q49" s="192">
        <f>'SGTO POAI VIGENCIA 2021'!BF37</f>
        <v>0</v>
      </c>
      <c r="R49" s="192"/>
      <c r="S49" s="192"/>
      <c r="T49" s="192"/>
      <c r="U49" s="192">
        <f t="shared" ref="U49:W50" si="18">F49+L49+O49+I49</f>
        <v>120000000.09999999</v>
      </c>
      <c r="V49" s="192">
        <f t="shared" si="18"/>
        <v>0</v>
      </c>
      <c r="W49" s="192">
        <f t="shared" si="18"/>
        <v>0</v>
      </c>
      <c r="X49" s="36"/>
    </row>
    <row r="50" spans="1:24" ht="51.75" customHeight="1" x14ac:dyDescent="0.2">
      <c r="A50" s="49"/>
      <c r="B50" s="186"/>
      <c r="C50" s="186"/>
      <c r="D50" s="44">
        <v>4003</v>
      </c>
      <c r="E50" s="188" t="s">
        <v>230</v>
      </c>
      <c r="F50" s="192">
        <f>SUM('SGTO POAI VIGENCIA 2021'!Z38:Z43)</f>
        <v>605000000</v>
      </c>
      <c r="G50" s="192">
        <f>SUM('SGTO POAI VIGENCIA 2021'!AA38:AA43)</f>
        <v>161560251</v>
      </c>
      <c r="H50" s="192">
        <f>SUM('SGTO POAI VIGENCIA 2021'!AB38:AB43)</f>
        <v>161560251</v>
      </c>
      <c r="I50" s="192"/>
      <c r="J50" s="192"/>
      <c r="K50" s="192"/>
      <c r="L50" s="192">
        <f>SUM('SGTO POAI VIGENCIA 2021'!BA38:BA43)</f>
        <v>2895159641.6800003</v>
      </c>
      <c r="M50" s="192">
        <f>SUM('SGTO POAI VIGENCIA 2021'!BB38:BB43)</f>
        <v>2895132862</v>
      </c>
      <c r="N50" s="192">
        <f>SUM('SGTO POAI VIGENCIA 2021'!BC38:BC43)</f>
        <v>2895132862</v>
      </c>
      <c r="O50" s="192">
        <f>SUM('SGTO POAI VIGENCIA 2021'!BD38:BD43)</f>
        <v>0</v>
      </c>
      <c r="P50" s="192">
        <f>SUM('SGTO POAI VIGENCIA 2021'!BE38:BE43)</f>
        <v>0</v>
      </c>
      <c r="Q50" s="192">
        <f>SUM('SGTO POAI VIGENCIA 2021'!BF38:BF43)</f>
        <v>0</v>
      </c>
      <c r="R50" s="192"/>
      <c r="S50" s="192"/>
      <c r="T50" s="192"/>
      <c r="U50" s="192">
        <f t="shared" si="18"/>
        <v>3500159641.6800003</v>
      </c>
      <c r="V50" s="192">
        <f t="shared" si="18"/>
        <v>3056693113</v>
      </c>
      <c r="W50" s="192">
        <f t="shared" si="18"/>
        <v>3056693113</v>
      </c>
      <c r="X50" s="36"/>
    </row>
    <row r="51" spans="1:24" ht="24" customHeight="1" x14ac:dyDescent="0.2">
      <c r="A51" s="49"/>
      <c r="B51" s="450">
        <v>4</v>
      </c>
      <c r="C51" s="451" t="s">
        <v>37</v>
      </c>
      <c r="D51" s="451"/>
      <c r="E51" s="452"/>
      <c r="F51" s="453">
        <f>F52</f>
        <v>0</v>
      </c>
      <c r="G51" s="453">
        <f>G52</f>
        <v>0</v>
      </c>
      <c r="H51" s="453">
        <f>H52</f>
        <v>0</v>
      </c>
      <c r="I51" s="453"/>
      <c r="J51" s="453"/>
      <c r="K51" s="453"/>
      <c r="L51" s="453">
        <f t="shared" ref="L51:Q51" si="19">L52</f>
        <v>0</v>
      </c>
      <c r="M51" s="453">
        <f t="shared" si="19"/>
        <v>0</v>
      </c>
      <c r="N51" s="453">
        <f t="shared" si="19"/>
        <v>0</v>
      </c>
      <c r="O51" s="453">
        <f t="shared" si="19"/>
        <v>249996399</v>
      </c>
      <c r="P51" s="453">
        <f t="shared" si="19"/>
        <v>163954766.67000002</v>
      </c>
      <c r="Q51" s="453">
        <f t="shared" si="19"/>
        <v>163954766.67000002</v>
      </c>
      <c r="R51" s="453"/>
      <c r="S51" s="453"/>
      <c r="T51" s="453"/>
      <c r="U51" s="453">
        <f>U52</f>
        <v>249996399</v>
      </c>
      <c r="V51" s="453">
        <f>V52</f>
        <v>163954766.67000002</v>
      </c>
      <c r="W51" s="453">
        <f>W52</f>
        <v>163954766.67000002</v>
      </c>
      <c r="X51" s="36"/>
    </row>
    <row r="52" spans="1:24" ht="24" customHeight="1" x14ac:dyDescent="0.2">
      <c r="A52" s="49"/>
      <c r="B52" s="55"/>
      <c r="C52" s="422">
        <v>45</v>
      </c>
      <c r="D52" s="413" t="s">
        <v>38</v>
      </c>
      <c r="E52" s="414"/>
      <c r="F52" s="415">
        <f>SUM(F53:F54)</f>
        <v>0</v>
      </c>
      <c r="G52" s="415">
        <f>SUM(G53:G54)</f>
        <v>0</v>
      </c>
      <c r="H52" s="415">
        <f>SUM(H53:H54)</f>
        <v>0</v>
      </c>
      <c r="I52" s="415"/>
      <c r="J52" s="415"/>
      <c r="K52" s="415"/>
      <c r="L52" s="415">
        <f t="shared" ref="L52:Q52" si="20">SUM(L53:L54)</f>
        <v>0</v>
      </c>
      <c r="M52" s="415">
        <f t="shared" si="20"/>
        <v>0</v>
      </c>
      <c r="N52" s="415">
        <f t="shared" si="20"/>
        <v>0</v>
      </c>
      <c r="O52" s="415">
        <f t="shared" si="20"/>
        <v>249996399</v>
      </c>
      <c r="P52" s="415">
        <f t="shared" si="20"/>
        <v>163954766.67000002</v>
      </c>
      <c r="Q52" s="415">
        <f t="shared" si="20"/>
        <v>163954766.67000002</v>
      </c>
      <c r="R52" s="415"/>
      <c r="S52" s="415"/>
      <c r="T52" s="415"/>
      <c r="U52" s="415">
        <f>SUM(U53:U54)</f>
        <v>249996399</v>
      </c>
      <c r="V52" s="415">
        <f>SUM(V53:V54)</f>
        <v>163954766.67000002</v>
      </c>
      <c r="W52" s="415">
        <f>SUM(W53:W54)</f>
        <v>163954766.67000002</v>
      </c>
      <c r="X52" s="36"/>
    </row>
    <row r="53" spans="1:24" ht="69" customHeight="1" x14ac:dyDescent="0.2">
      <c r="A53" s="49"/>
      <c r="B53" s="186"/>
      <c r="C53" s="186"/>
      <c r="D53" s="44">
        <v>4599</v>
      </c>
      <c r="E53" s="188" t="s">
        <v>39</v>
      </c>
      <c r="F53" s="192"/>
      <c r="G53" s="192"/>
      <c r="H53" s="192"/>
      <c r="I53" s="192"/>
      <c r="J53" s="192"/>
      <c r="K53" s="192"/>
      <c r="L53" s="192"/>
      <c r="M53" s="192"/>
      <c r="N53" s="192"/>
      <c r="O53" s="192">
        <f>'SGTO POAI VIGENCIA 2021'!BD44</f>
        <v>218394939</v>
      </c>
      <c r="P53" s="192">
        <f>'SGTO POAI VIGENCIA 2021'!BE44</f>
        <v>132461956</v>
      </c>
      <c r="Q53" s="192">
        <f>'SGTO POAI VIGENCIA 2021'!BF44</f>
        <v>132461956</v>
      </c>
      <c r="R53" s="192"/>
      <c r="S53" s="192"/>
      <c r="T53" s="192"/>
      <c r="U53" s="192">
        <f t="shared" ref="U53:W54" si="21">F53+L53+O53+I53</f>
        <v>218394939</v>
      </c>
      <c r="V53" s="192">
        <f t="shared" si="21"/>
        <v>132461956</v>
      </c>
      <c r="W53" s="192">
        <f t="shared" si="21"/>
        <v>132461956</v>
      </c>
      <c r="X53" s="36"/>
    </row>
    <row r="54" spans="1:24" ht="51.75" customHeight="1" x14ac:dyDescent="0.2">
      <c r="A54" s="49"/>
      <c r="B54" s="186"/>
      <c r="C54" s="186"/>
      <c r="D54" s="44">
        <v>4502</v>
      </c>
      <c r="E54" s="188" t="s">
        <v>60</v>
      </c>
      <c r="F54" s="192"/>
      <c r="G54" s="192"/>
      <c r="H54" s="192"/>
      <c r="I54" s="192"/>
      <c r="J54" s="192"/>
      <c r="K54" s="192"/>
      <c r="L54" s="192"/>
      <c r="M54" s="192"/>
      <c r="N54" s="192"/>
      <c r="O54" s="192">
        <f>'SGTO POAI VIGENCIA 2021'!BD45</f>
        <v>31601460</v>
      </c>
      <c r="P54" s="192">
        <f>'SGTO POAI VIGENCIA 2021'!BE45</f>
        <v>31492810.670000002</v>
      </c>
      <c r="Q54" s="192">
        <f>'SGTO POAI VIGENCIA 2021'!BF45</f>
        <v>31492810.670000002</v>
      </c>
      <c r="R54" s="192"/>
      <c r="S54" s="192"/>
      <c r="T54" s="192"/>
      <c r="U54" s="192">
        <f t="shared" si="21"/>
        <v>31601460</v>
      </c>
      <c r="V54" s="192">
        <f t="shared" si="21"/>
        <v>31492810.670000002</v>
      </c>
      <c r="W54" s="192">
        <f t="shared" si="21"/>
        <v>31492810.670000002</v>
      </c>
      <c r="X54" s="31"/>
    </row>
    <row r="55" spans="1:24" s="7" customFormat="1" x14ac:dyDescent="0.2">
      <c r="A55" s="36"/>
      <c r="B55" s="93"/>
      <c r="C55" s="93"/>
      <c r="D55" s="93"/>
      <c r="E55" s="97"/>
      <c r="F55" s="94"/>
      <c r="G55" s="29"/>
      <c r="H55" s="14"/>
      <c r="I55" s="14"/>
      <c r="J55" s="14"/>
      <c r="K55" s="14"/>
      <c r="L55" s="35"/>
    </row>
    <row r="56" spans="1:24" ht="24" customHeight="1" x14ac:dyDescent="0.2">
      <c r="A56" s="602" t="s">
        <v>4</v>
      </c>
      <c r="B56" s="602" t="s">
        <v>5</v>
      </c>
      <c r="C56" s="602" t="s">
        <v>6</v>
      </c>
      <c r="D56" s="602" t="s">
        <v>1355</v>
      </c>
      <c r="E56" s="603" t="s">
        <v>7</v>
      </c>
      <c r="F56" s="607" t="s">
        <v>1360</v>
      </c>
      <c r="G56" s="605"/>
      <c r="H56" s="606"/>
      <c r="I56" s="604" t="s">
        <v>1356</v>
      </c>
      <c r="J56" s="605"/>
      <c r="K56" s="606"/>
      <c r="L56" s="604" t="s">
        <v>12</v>
      </c>
      <c r="M56" s="605"/>
      <c r="N56" s="606"/>
      <c r="O56" s="2"/>
      <c r="P56" s="31"/>
    </row>
    <row r="57" spans="1:24" ht="24" customHeight="1" x14ac:dyDescent="0.2">
      <c r="A57" s="602"/>
      <c r="B57" s="602"/>
      <c r="C57" s="602"/>
      <c r="D57" s="602"/>
      <c r="E57" s="603"/>
      <c r="F57" s="447" t="s">
        <v>1641</v>
      </c>
      <c r="G57" s="447" t="s">
        <v>1490</v>
      </c>
      <c r="H57" s="447" t="s">
        <v>1491</v>
      </c>
      <c r="I57" s="447" t="s">
        <v>1641</v>
      </c>
      <c r="J57" s="447" t="s">
        <v>1490</v>
      </c>
      <c r="K57" s="447" t="s">
        <v>1491</v>
      </c>
      <c r="L57" s="447" t="s">
        <v>1641</v>
      </c>
      <c r="M57" s="447" t="s">
        <v>1490</v>
      </c>
      <c r="N57" s="447" t="s">
        <v>1491</v>
      </c>
      <c r="O57" s="2"/>
      <c r="P57" s="31"/>
    </row>
    <row r="58" spans="1:24" ht="24" customHeight="1" x14ac:dyDescent="0.2">
      <c r="A58" s="466" t="s">
        <v>261</v>
      </c>
      <c r="B58" s="467"/>
      <c r="C58" s="467"/>
      <c r="D58" s="467"/>
      <c r="E58" s="468"/>
      <c r="F58" s="406">
        <f t="shared" ref="F58:N58" si="22">F59+F71+F76</f>
        <v>4387879528.3299999</v>
      </c>
      <c r="G58" s="406">
        <f t="shared" si="22"/>
        <v>1133578214.1599998</v>
      </c>
      <c r="H58" s="406">
        <f t="shared" si="22"/>
        <v>1133578214.1599998</v>
      </c>
      <c r="I58" s="406">
        <f t="shared" si="22"/>
        <v>2055842480</v>
      </c>
      <c r="J58" s="406">
        <f t="shared" si="22"/>
        <v>1449716665.01</v>
      </c>
      <c r="K58" s="406">
        <f t="shared" si="22"/>
        <v>1449716665.01</v>
      </c>
      <c r="L58" s="406">
        <f t="shared" si="22"/>
        <v>6443722008.3299999</v>
      </c>
      <c r="M58" s="406">
        <f t="shared" si="22"/>
        <v>2583294879.1700001</v>
      </c>
      <c r="N58" s="406">
        <f t="shared" si="22"/>
        <v>2583294879.1700001</v>
      </c>
      <c r="O58" s="16"/>
      <c r="P58" s="31"/>
    </row>
    <row r="59" spans="1:24" ht="24" customHeight="1" x14ac:dyDescent="0.2">
      <c r="A59" s="49"/>
      <c r="B59" s="450">
        <v>1</v>
      </c>
      <c r="C59" s="451" t="s">
        <v>136</v>
      </c>
      <c r="D59" s="451"/>
      <c r="E59" s="452"/>
      <c r="F59" s="453">
        <f t="shared" ref="F59:N59" si="23">F60+F64+F66+F69</f>
        <v>4387879528.3299999</v>
      </c>
      <c r="G59" s="453">
        <f t="shared" si="23"/>
        <v>1133578214.1599998</v>
      </c>
      <c r="H59" s="453">
        <f t="shared" si="23"/>
        <v>1133578214.1599998</v>
      </c>
      <c r="I59" s="453">
        <f t="shared" si="23"/>
        <v>893050643</v>
      </c>
      <c r="J59" s="453">
        <f t="shared" si="23"/>
        <v>717981616.95000005</v>
      </c>
      <c r="K59" s="453">
        <f t="shared" si="23"/>
        <v>717981616.95000005</v>
      </c>
      <c r="L59" s="453">
        <f t="shared" si="23"/>
        <v>5280930171.3299999</v>
      </c>
      <c r="M59" s="453">
        <f t="shared" si="23"/>
        <v>1851559831.1099999</v>
      </c>
      <c r="N59" s="453">
        <f t="shared" si="23"/>
        <v>1851559831.1099999</v>
      </c>
      <c r="O59" s="2"/>
      <c r="P59" s="31"/>
    </row>
    <row r="60" spans="1:24" ht="24" customHeight="1" x14ac:dyDescent="0.2">
      <c r="A60" s="49"/>
      <c r="B60" s="55"/>
      <c r="C60" s="422">
        <v>12</v>
      </c>
      <c r="D60" s="413" t="s">
        <v>137</v>
      </c>
      <c r="E60" s="413"/>
      <c r="F60" s="415">
        <f t="shared" ref="F60:N60" si="24">SUM(F61:F63)</f>
        <v>0</v>
      </c>
      <c r="G60" s="415">
        <f t="shared" si="24"/>
        <v>0</v>
      </c>
      <c r="H60" s="415">
        <f t="shared" si="24"/>
        <v>0</v>
      </c>
      <c r="I60" s="415">
        <f t="shared" si="24"/>
        <v>232578401</v>
      </c>
      <c r="J60" s="415">
        <f t="shared" si="24"/>
        <v>204899055</v>
      </c>
      <c r="K60" s="415">
        <f t="shared" si="24"/>
        <v>204899055</v>
      </c>
      <c r="L60" s="415">
        <f t="shared" si="24"/>
        <v>232578401</v>
      </c>
      <c r="M60" s="415">
        <f t="shared" si="24"/>
        <v>204899055</v>
      </c>
      <c r="N60" s="415">
        <f t="shared" si="24"/>
        <v>204899055</v>
      </c>
      <c r="O60" s="2"/>
      <c r="P60" s="31"/>
    </row>
    <row r="61" spans="1:24" ht="31.5" customHeight="1" x14ac:dyDescent="0.2">
      <c r="A61" s="49"/>
      <c r="B61" s="186"/>
      <c r="C61" s="186"/>
      <c r="D61" s="44">
        <v>1202</v>
      </c>
      <c r="E61" s="188" t="s">
        <v>138</v>
      </c>
      <c r="F61" s="192"/>
      <c r="G61" s="192"/>
      <c r="H61" s="192"/>
      <c r="I61" s="192">
        <f>'SGTO POAI VIGENCIA 2021'!BD46</f>
        <v>135355000</v>
      </c>
      <c r="J61" s="192">
        <f>'SGTO POAI VIGENCIA 2021'!BE46</f>
        <v>129803000</v>
      </c>
      <c r="K61" s="192">
        <f>'SGTO POAI VIGENCIA 2021'!BF46</f>
        <v>129803000</v>
      </c>
      <c r="L61" s="192">
        <f>F61+I61</f>
        <v>135355000</v>
      </c>
      <c r="M61" s="192">
        <f t="shared" ref="M61:N63" si="25">G61+J61</f>
        <v>129803000</v>
      </c>
      <c r="N61" s="192">
        <f t="shared" si="25"/>
        <v>129803000</v>
      </c>
      <c r="O61" s="2"/>
      <c r="P61" s="31"/>
    </row>
    <row r="62" spans="1:24" ht="36.75" customHeight="1" x14ac:dyDescent="0.2">
      <c r="A62" s="49"/>
      <c r="B62" s="186"/>
      <c r="C62" s="186"/>
      <c r="D62" s="44">
        <v>1203</v>
      </c>
      <c r="E62" s="188" t="s">
        <v>265</v>
      </c>
      <c r="F62" s="192"/>
      <c r="G62" s="192"/>
      <c r="H62" s="192"/>
      <c r="I62" s="192">
        <f>SUM('SGTO POAI VIGENCIA 2021'!BD47)</f>
        <v>67223401</v>
      </c>
      <c r="J62" s="192">
        <f>SUM('SGTO POAI VIGENCIA 2021'!BE47)</f>
        <v>65096055</v>
      </c>
      <c r="K62" s="192">
        <f>SUM('SGTO POAI VIGENCIA 2021'!BF47)</f>
        <v>65096055</v>
      </c>
      <c r="L62" s="192">
        <f>F62+I62</f>
        <v>67223401</v>
      </c>
      <c r="M62" s="192">
        <f t="shared" si="25"/>
        <v>65096055</v>
      </c>
      <c r="N62" s="192">
        <f t="shared" si="25"/>
        <v>65096055</v>
      </c>
      <c r="O62" s="2"/>
      <c r="P62" s="31"/>
    </row>
    <row r="63" spans="1:24" ht="57" customHeight="1" x14ac:dyDescent="0.2">
      <c r="A63" s="49"/>
      <c r="B63" s="186"/>
      <c r="C63" s="186"/>
      <c r="D63" s="44">
        <v>1206</v>
      </c>
      <c r="E63" s="188" t="s">
        <v>271</v>
      </c>
      <c r="F63" s="192"/>
      <c r="G63" s="192"/>
      <c r="H63" s="192"/>
      <c r="I63" s="192">
        <f>SUM('SGTO POAI VIGENCIA 2021'!BD48)</f>
        <v>30000000</v>
      </c>
      <c r="J63" s="192">
        <f>SUM('SGTO POAI VIGENCIA 2021'!BE48)</f>
        <v>10000000</v>
      </c>
      <c r="K63" s="192">
        <f>SUM('SGTO POAI VIGENCIA 2021'!BF48)</f>
        <v>10000000</v>
      </c>
      <c r="L63" s="192">
        <f>F63+I63</f>
        <v>30000000</v>
      </c>
      <c r="M63" s="192">
        <f t="shared" si="25"/>
        <v>10000000</v>
      </c>
      <c r="N63" s="192">
        <f t="shared" si="25"/>
        <v>10000000</v>
      </c>
      <c r="O63" s="2"/>
      <c r="P63" s="31"/>
    </row>
    <row r="64" spans="1:24" ht="24" customHeight="1" x14ac:dyDescent="0.2">
      <c r="A64" s="49"/>
      <c r="B64" s="45"/>
      <c r="C64" s="422">
        <v>22</v>
      </c>
      <c r="D64" s="413" t="s">
        <v>156</v>
      </c>
      <c r="E64" s="465"/>
      <c r="F64" s="462">
        <f t="shared" ref="F64:N64" si="26">F65</f>
        <v>0</v>
      </c>
      <c r="G64" s="462">
        <f t="shared" si="26"/>
        <v>0</v>
      </c>
      <c r="H64" s="462">
        <f t="shared" si="26"/>
        <v>0</v>
      </c>
      <c r="I64" s="462">
        <f t="shared" si="26"/>
        <v>74287500</v>
      </c>
      <c r="J64" s="462">
        <f t="shared" si="26"/>
        <v>61854666</v>
      </c>
      <c r="K64" s="462">
        <f t="shared" si="26"/>
        <v>61854666</v>
      </c>
      <c r="L64" s="462">
        <f t="shared" si="26"/>
        <v>74287500</v>
      </c>
      <c r="M64" s="462">
        <f t="shared" si="26"/>
        <v>61854666</v>
      </c>
      <c r="N64" s="462">
        <f t="shared" si="26"/>
        <v>61854666</v>
      </c>
      <c r="O64" s="2"/>
      <c r="P64" s="31"/>
    </row>
    <row r="65" spans="1:22" ht="64.5" customHeight="1" x14ac:dyDescent="0.2">
      <c r="A65" s="49"/>
      <c r="B65" s="186"/>
      <c r="C65" s="186"/>
      <c r="D65" s="44">
        <v>2201</v>
      </c>
      <c r="E65" s="188" t="s">
        <v>277</v>
      </c>
      <c r="F65" s="192"/>
      <c r="G65" s="192"/>
      <c r="H65" s="192"/>
      <c r="I65" s="192">
        <f>'SGTO POAI VIGENCIA 2021'!BD49</f>
        <v>74287500</v>
      </c>
      <c r="J65" s="192">
        <f>'SGTO POAI VIGENCIA 2021'!BE49</f>
        <v>61854666</v>
      </c>
      <c r="K65" s="192">
        <f>'SGTO POAI VIGENCIA 2021'!BF49</f>
        <v>61854666</v>
      </c>
      <c r="L65" s="192">
        <f>F65+I65</f>
        <v>74287500</v>
      </c>
      <c r="M65" s="192">
        <f>G65+J65</f>
        <v>61854666</v>
      </c>
      <c r="N65" s="192">
        <f>H65+K65</f>
        <v>61854666</v>
      </c>
      <c r="O65" s="2"/>
      <c r="P65" s="31"/>
    </row>
    <row r="66" spans="1:22" ht="24" customHeight="1" x14ac:dyDescent="0.2">
      <c r="A66" s="49"/>
      <c r="B66" s="45"/>
      <c r="C66" s="422">
        <v>41</v>
      </c>
      <c r="D66" s="413" t="s">
        <v>284</v>
      </c>
      <c r="E66" s="413"/>
      <c r="F66" s="415">
        <f t="shared" ref="F66:N66" si="27">SUM(F67:F68)</f>
        <v>0</v>
      </c>
      <c r="G66" s="415">
        <f t="shared" si="27"/>
        <v>0</v>
      </c>
      <c r="H66" s="415">
        <f t="shared" si="27"/>
        <v>0</v>
      </c>
      <c r="I66" s="415">
        <f t="shared" si="27"/>
        <v>536684742</v>
      </c>
      <c r="J66" s="415">
        <f t="shared" si="27"/>
        <v>404311396.94999999</v>
      </c>
      <c r="K66" s="415">
        <f t="shared" si="27"/>
        <v>404311396.94999999</v>
      </c>
      <c r="L66" s="415">
        <f t="shared" si="27"/>
        <v>536684742</v>
      </c>
      <c r="M66" s="415">
        <f t="shared" si="27"/>
        <v>404311396.94999999</v>
      </c>
      <c r="N66" s="415">
        <f t="shared" si="27"/>
        <v>404311396.94999999</v>
      </c>
      <c r="O66" s="2"/>
      <c r="P66" s="31"/>
    </row>
    <row r="67" spans="1:22" ht="41.25" customHeight="1" x14ac:dyDescent="0.2">
      <c r="A67" s="49"/>
      <c r="B67" s="186"/>
      <c r="C67" s="186"/>
      <c r="D67" s="44">
        <v>4101</v>
      </c>
      <c r="E67" s="188" t="s">
        <v>285</v>
      </c>
      <c r="F67" s="192"/>
      <c r="G67" s="192"/>
      <c r="H67" s="192"/>
      <c r="I67" s="192">
        <f>SUM('SGTO POAI VIGENCIA 2021'!BD50:BD54)</f>
        <v>502657113</v>
      </c>
      <c r="J67" s="192">
        <f>SUM('SGTO POAI VIGENCIA 2021'!BE50:BE54)</f>
        <v>388019267.94999999</v>
      </c>
      <c r="K67" s="192">
        <f>SUM('SGTO POAI VIGENCIA 2021'!BF50:BF54)</f>
        <v>388019267.94999999</v>
      </c>
      <c r="L67" s="192">
        <f t="shared" ref="L67:N68" si="28">F67+I67</f>
        <v>502657113</v>
      </c>
      <c r="M67" s="192">
        <f t="shared" si="28"/>
        <v>388019267.94999999</v>
      </c>
      <c r="N67" s="192">
        <f t="shared" si="28"/>
        <v>388019267.94999999</v>
      </c>
      <c r="O67" s="2"/>
      <c r="P67" s="31"/>
    </row>
    <row r="68" spans="1:22" ht="51" customHeight="1" x14ac:dyDescent="0.2">
      <c r="A68" s="49"/>
      <c r="B68" s="186"/>
      <c r="C68" s="186"/>
      <c r="D68" s="44">
        <v>4103</v>
      </c>
      <c r="E68" s="188" t="s">
        <v>302</v>
      </c>
      <c r="F68" s="192"/>
      <c r="G68" s="192"/>
      <c r="H68" s="192"/>
      <c r="I68" s="192">
        <f>SUM('SGTO POAI VIGENCIA 2021'!BD55)</f>
        <v>34027629</v>
      </c>
      <c r="J68" s="192">
        <f>SUM('SGTO POAI VIGENCIA 2021'!BE55)</f>
        <v>16292129</v>
      </c>
      <c r="K68" s="192">
        <f>SUM('SGTO POAI VIGENCIA 2021'!BF55)</f>
        <v>16292129</v>
      </c>
      <c r="L68" s="192">
        <f t="shared" si="28"/>
        <v>34027629</v>
      </c>
      <c r="M68" s="192">
        <f t="shared" si="28"/>
        <v>16292129</v>
      </c>
      <c r="N68" s="192">
        <f t="shared" si="28"/>
        <v>16292129</v>
      </c>
      <c r="P68" s="36"/>
    </row>
    <row r="69" spans="1:22" ht="24" customHeight="1" x14ac:dyDescent="0.2">
      <c r="A69" s="49"/>
      <c r="B69" s="45"/>
      <c r="C69" s="422">
        <v>45</v>
      </c>
      <c r="D69" s="413" t="s">
        <v>38</v>
      </c>
      <c r="E69" s="413"/>
      <c r="F69" s="415">
        <f t="shared" ref="F69:N69" si="29">F70</f>
        <v>4387879528.3299999</v>
      </c>
      <c r="G69" s="415">
        <f t="shared" si="29"/>
        <v>1133578214.1599998</v>
      </c>
      <c r="H69" s="415">
        <f t="shared" si="29"/>
        <v>1133578214.1599998</v>
      </c>
      <c r="I69" s="415">
        <f t="shared" si="29"/>
        <v>49500000</v>
      </c>
      <c r="J69" s="415">
        <f t="shared" si="29"/>
        <v>46916499</v>
      </c>
      <c r="K69" s="415">
        <f t="shared" si="29"/>
        <v>46916499</v>
      </c>
      <c r="L69" s="415">
        <f t="shared" si="29"/>
        <v>4437379528.3299999</v>
      </c>
      <c r="M69" s="415">
        <f t="shared" si="29"/>
        <v>1180494713.1599998</v>
      </c>
      <c r="N69" s="415">
        <f t="shared" si="29"/>
        <v>1180494713.1599998</v>
      </c>
      <c r="P69" s="36"/>
    </row>
    <row r="70" spans="1:22" s="20" customFormat="1" ht="42" customHeight="1" x14ac:dyDescent="0.25">
      <c r="A70" s="228"/>
      <c r="B70" s="45"/>
      <c r="C70" s="45"/>
      <c r="D70" s="44">
        <v>4501</v>
      </c>
      <c r="E70" s="249" t="s">
        <v>311</v>
      </c>
      <c r="F70" s="192">
        <f>SUM('SGTO POAI VIGENCIA 2021'!AC56:AC57)</f>
        <v>4387879528.3299999</v>
      </c>
      <c r="G70" s="192">
        <f>SUM('SGTO POAI VIGENCIA 2021'!AD56:AD57)</f>
        <v>1133578214.1599998</v>
      </c>
      <c r="H70" s="192">
        <f>SUM('SGTO POAI VIGENCIA 2021'!AE56:AE57)</f>
        <v>1133578214.1599998</v>
      </c>
      <c r="I70" s="192">
        <f>SUM('SGTO POAI VIGENCIA 2021'!BD56:BD57)</f>
        <v>49500000</v>
      </c>
      <c r="J70" s="192">
        <f>SUM('SGTO POAI VIGENCIA 2021'!BE56:BE57)</f>
        <v>46916499</v>
      </c>
      <c r="K70" s="192">
        <f>SUM('SGTO POAI VIGENCIA 2021'!BF56:BF57)</f>
        <v>46916499</v>
      </c>
      <c r="L70" s="251">
        <f>F70+I70</f>
        <v>4437379528.3299999</v>
      </c>
      <c r="M70" s="251">
        <f>G70+J70</f>
        <v>1180494713.1599998</v>
      </c>
      <c r="N70" s="251">
        <f>H70+K70</f>
        <v>1180494713.1599998</v>
      </c>
      <c r="P70" s="230"/>
    </row>
    <row r="71" spans="1:22" ht="24" customHeight="1" x14ac:dyDescent="0.2">
      <c r="A71" s="49"/>
      <c r="B71" s="450">
        <v>3</v>
      </c>
      <c r="C71" s="451" t="s">
        <v>186</v>
      </c>
      <c r="D71" s="451"/>
      <c r="E71" s="452"/>
      <c r="F71" s="453">
        <f t="shared" ref="F71:N71" si="30">F72+F74</f>
        <v>0</v>
      </c>
      <c r="G71" s="453">
        <f t="shared" si="30"/>
        <v>0</v>
      </c>
      <c r="H71" s="453">
        <f t="shared" si="30"/>
        <v>0</v>
      </c>
      <c r="I71" s="453">
        <f t="shared" si="30"/>
        <v>772165104</v>
      </c>
      <c r="J71" s="453">
        <f t="shared" si="30"/>
        <v>391704056.06</v>
      </c>
      <c r="K71" s="453">
        <f t="shared" si="30"/>
        <v>391704056.06</v>
      </c>
      <c r="L71" s="453">
        <f t="shared" si="30"/>
        <v>772165104</v>
      </c>
      <c r="M71" s="453">
        <f t="shared" si="30"/>
        <v>391704056.06</v>
      </c>
      <c r="N71" s="453">
        <f t="shared" si="30"/>
        <v>391704056.06</v>
      </c>
      <c r="P71" s="36"/>
    </row>
    <row r="72" spans="1:22" ht="24" customHeight="1" x14ac:dyDescent="0.2">
      <c r="A72" s="49"/>
      <c r="B72" s="55"/>
      <c r="C72" s="422">
        <v>32</v>
      </c>
      <c r="D72" s="413" t="s">
        <v>207</v>
      </c>
      <c r="E72" s="419"/>
      <c r="F72" s="415">
        <f t="shared" ref="F72:N72" si="31">F73</f>
        <v>0</v>
      </c>
      <c r="G72" s="415">
        <f t="shared" si="31"/>
        <v>0</v>
      </c>
      <c r="H72" s="415">
        <f t="shared" si="31"/>
        <v>0</v>
      </c>
      <c r="I72" s="415">
        <f t="shared" si="31"/>
        <v>243850000</v>
      </c>
      <c r="J72" s="415">
        <f t="shared" si="31"/>
        <v>100601333</v>
      </c>
      <c r="K72" s="415">
        <f t="shared" si="31"/>
        <v>100601333</v>
      </c>
      <c r="L72" s="415">
        <f t="shared" si="31"/>
        <v>243850000</v>
      </c>
      <c r="M72" s="415">
        <f t="shared" si="31"/>
        <v>100601333</v>
      </c>
      <c r="N72" s="415">
        <f t="shared" si="31"/>
        <v>100601333</v>
      </c>
      <c r="P72" s="36"/>
    </row>
    <row r="73" spans="1:22" s="27" customFormat="1" ht="48.75" customHeight="1" x14ac:dyDescent="0.2">
      <c r="A73" s="54"/>
      <c r="B73" s="44"/>
      <c r="C73" s="44"/>
      <c r="D73" s="44">
        <v>3205</v>
      </c>
      <c r="E73" s="188" t="s">
        <v>207</v>
      </c>
      <c r="F73" s="192"/>
      <c r="G73" s="192"/>
      <c r="H73" s="192"/>
      <c r="I73" s="192">
        <f>SUM('SGTO POAI VIGENCIA 2021'!BD58)</f>
        <v>243850000</v>
      </c>
      <c r="J73" s="192">
        <f>SUM('SGTO POAI VIGENCIA 2021'!BE58)</f>
        <v>100601333</v>
      </c>
      <c r="K73" s="192">
        <f>SUM('SGTO POAI VIGENCIA 2021'!BF58)</f>
        <v>100601333</v>
      </c>
      <c r="L73" s="192">
        <f>F73+I73</f>
        <v>243850000</v>
      </c>
      <c r="M73" s="192">
        <f>G73+J73</f>
        <v>100601333</v>
      </c>
      <c r="N73" s="192">
        <f>H73+K73</f>
        <v>100601333</v>
      </c>
      <c r="P73" s="34"/>
    </row>
    <row r="74" spans="1:22" s="27" customFormat="1" ht="24" customHeight="1" x14ac:dyDescent="0.2">
      <c r="A74" s="54"/>
      <c r="B74" s="55"/>
      <c r="C74" s="422">
        <v>45</v>
      </c>
      <c r="D74" s="413" t="s">
        <v>38</v>
      </c>
      <c r="E74" s="414"/>
      <c r="F74" s="415">
        <f t="shared" ref="F74:N74" si="32">F75</f>
        <v>0</v>
      </c>
      <c r="G74" s="415">
        <f t="shared" si="32"/>
        <v>0</v>
      </c>
      <c r="H74" s="415">
        <f t="shared" si="32"/>
        <v>0</v>
      </c>
      <c r="I74" s="415">
        <f t="shared" si="32"/>
        <v>528315104</v>
      </c>
      <c r="J74" s="415">
        <f t="shared" si="32"/>
        <v>291102723.06</v>
      </c>
      <c r="K74" s="415">
        <f t="shared" si="32"/>
        <v>291102723.06</v>
      </c>
      <c r="L74" s="415">
        <f t="shared" si="32"/>
        <v>528315104</v>
      </c>
      <c r="M74" s="415">
        <f t="shared" si="32"/>
        <v>291102723.06</v>
      </c>
      <c r="N74" s="415">
        <f t="shared" si="32"/>
        <v>291102723.06</v>
      </c>
      <c r="P74" s="34"/>
    </row>
    <row r="75" spans="1:22" s="27" customFormat="1" ht="45.75" customHeight="1" x14ac:dyDescent="0.2">
      <c r="A75" s="54"/>
      <c r="B75" s="44"/>
      <c r="C75" s="44"/>
      <c r="D75" s="44">
        <v>4503</v>
      </c>
      <c r="E75" s="188" t="s">
        <v>1476</v>
      </c>
      <c r="F75" s="192"/>
      <c r="G75" s="192"/>
      <c r="H75" s="192"/>
      <c r="I75" s="192">
        <f>SUM('SGTO POAI VIGENCIA 2021'!BD59:BD61)</f>
        <v>528315104</v>
      </c>
      <c r="J75" s="192">
        <f>SUM('SGTO POAI VIGENCIA 2021'!BE59:BE61)</f>
        <v>291102723.06</v>
      </c>
      <c r="K75" s="192">
        <f>SUM('SGTO POAI VIGENCIA 2021'!BF59:BF61)</f>
        <v>291102723.06</v>
      </c>
      <c r="L75" s="192">
        <f>F75+I75</f>
        <v>528315104</v>
      </c>
      <c r="M75" s="192">
        <f>G75+J75</f>
        <v>291102723.06</v>
      </c>
      <c r="N75" s="192">
        <f>H75+K75</f>
        <v>291102723.06</v>
      </c>
      <c r="P75" s="34"/>
    </row>
    <row r="76" spans="1:22" ht="24" customHeight="1" x14ac:dyDescent="0.2">
      <c r="A76" s="49"/>
      <c r="B76" s="450">
        <v>4</v>
      </c>
      <c r="C76" s="451" t="s">
        <v>37</v>
      </c>
      <c r="D76" s="451"/>
      <c r="E76" s="452"/>
      <c r="F76" s="453">
        <f t="shared" ref="F76:N77" si="33">F77</f>
        <v>0</v>
      </c>
      <c r="G76" s="453">
        <f t="shared" si="33"/>
        <v>0</v>
      </c>
      <c r="H76" s="453">
        <f t="shared" si="33"/>
        <v>0</v>
      </c>
      <c r="I76" s="453">
        <f t="shared" si="33"/>
        <v>390626733</v>
      </c>
      <c r="J76" s="453">
        <f t="shared" si="33"/>
        <v>340030992</v>
      </c>
      <c r="K76" s="453">
        <f t="shared" si="33"/>
        <v>340030992</v>
      </c>
      <c r="L76" s="453">
        <f t="shared" si="33"/>
        <v>390626733</v>
      </c>
      <c r="M76" s="453">
        <f t="shared" si="33"/>
        <v>340030992</v>
      </c>
      <c r="N76" s="453">
        <f t="shared" si="33"/>
        <v>340030992</v>
      </c>
      <c r="P76" s="36"/>
    </row>
    <row r="77" spans="1:22" ht="24" customHeight="1" x14ac:dyDescent="0.2">
      <c r="A77" s="49"/>
      <c r="B77" s="55"/>
      <c r="C77" s="422">
        <v>45</v>
      </c>
      <c r="D77" s="413" t="s">
        <v>38</v>
      </c>
      <c r="E77" s="414"/>
      <c r="F77" s="415">
        <f t="shared" si="33"/>
        <v>0</v>
      </c>
      <c r="G77" s="415">
        <f t="shared" si="33"/>
        <v>0</v>
      </c>
      <c r="H77" s="415">
        <f t="shared" si="33"/>
        <v>0</v>
      </c>
      <c r="I77" s="415">
        <f t="shared" si="33"/>
        <v>390626733</v>
      </c>
      <c r="J77" s="415">
        <f t="shared" si="33"/>
        <v>340030992</v>
      </c>
      <c r="K77" s="415">
        <f t="shared" si="33"/>
        <v>340030992</v>
      </c>
      <c r="L77" s="415">
        <f t="shared" si="33"/>
        <v>390626733</v>
      </c>
      <c r="M77" s="415">
        <f t="shared" si="33"/>
        <v>340030992</v>
      </c>
      <c r="N77" s="415">
        <f t="shared" si="33"/>
        <v>340030992</v>
      </c>
      <c r="P77" s="36"/>
    </row>
    <row r="78" spans="1:22" s="27" customFormat="1" ht="55.5" customHeight="1" x14ac:dyDescent="0.2">
      <c r="A78" s="54"/>
      <c r="B78" s="44"/>
      <c r="C78" s="44"/>
      <c r="D78" s="44">
        <v>4502</v>
      </c>
      <c r="E78" s="188" t="s">
        <v>60</v>
      </c>
      <c r="F78" s="124"/>
      <c r="G78" s="124"/>
      <c r="H78" s="124"/>
      <c r="I78" s="124">
        <f>SUM('SGTO POAI VIGENCIA 2021'!BD62:BD66)</f>
        <v>390626733</v>
      </c>
      <c r="J78" s="124">
        <f>SUM('SGTO POAI VIGENCIA 2021'!BE62:BE66)</f>
        <v>340030992</v>
      </c>
      <c r="K78" s="124">
        <f>SUM('SGTO POAI VIGENCIA 2021'!BF62:BF66)</f>
        <v>340030992</v>
      </c>
      <c r="L78" s="192">
        <f>F78+I78</f>
        <v>390626733</v>
      </c>
      <c r="M78" s="192">
        <f>G78+J78</f>
        <v>340030992</v>
      </c>
      <c r="N78" s="192">
        <f>H78+K78</f>
        <v>340030992</v>
      </c>
      <c r="P78" s="34"/>
    </row>
    <row r="79" spans="1:22" s="7" customFormat="1" x14ac:dyDescent="0.2">
      <c r="A79" s="36"/>
      <c r="B79" s="93"/>
      <c r="C79" s="93"/>
      <c r="D79" s="93"/>
      <c r="E79" s="97"/>
      <c r="F79" s="94"/>
      <c r="G79" s="29"/>
      <c r="H79" s="14"/>
      <c r="I79" s="14"/>
      <c r="J79" s="14"/>
      <c r="K79" s="14"/>
      <c r="L79" s="35"/>
    </row>
    <row r="80" spans="1:22" ht="24" customHeight="1" x14ac:dyDescent="0.2">
      <c r="A80" s="602" t="s">
        <v>4</v>
      </c>
      <c r="B80" s="602" t="s">
        <v>5</v>
      </c>
      <c r="C80" s="602" t="s">
        <v>6</v>
      </c>
      <c r="D80" s="602" t="s">
        <v>1355</v>
      </c>
      <c r="E80" s="603" t="s">
        <v>7</v>
      </c>
      <c r="F80" s="608" t="s">
        <v>1499</v>
      </c>
      <c r="G80" s="600"/>
      <c r="H80" s="601"/>
      <c r="I80" s="599" t="s">
        <v>1356</v>
      </c>
      <c r="J80" s="600"/>
      <c r="K80" s="601"/>
      <c r="L80" s="599" t="s">
        <v>1361</v>
      </c>
      <c r="M80" s="600"/>
      <c r="N80" s="601"/>
      <c r="O80" s="599" t="s">
        <v>1665</v>
      </c>
      <c r="P80" s="600"/>
      <c r="Q80" s="601"/>
      <c r="R80" s="604" t="s">
        <v>12</v>
      </c>
      <c r="S80" s="605"/>
      <c r="T80" s="606"/>
      <c r="U80" s="227"/>
      <c r="V80" s="31"/>
    </row>
    <row r="81" spans="1:22" ht="24" customHeight="1" x14ac:dyDescent="0.2">
      <c r="A81" s="602"/>
      <c r="B81" s="602"/>
      <c r="C81" s="602"/>
      <c r="D81" s="602"/>
      <c r="E81" s="603"/>
      <c r="F81" s="447" t="s">
        <v>1641</v>
      </c>
      <c r="G81" s="447" t="s">
        <v>1490</v>
      </c>
      <c r="H81" s="447" t="s">
        <v>1491</v>
      </c>
      <c r="I81" s="447" t="s">
        <v>1641</v>
      </c>
      <c r="J81" s="447" t="s">
        <v>1490</v>
      </c>
      <c r="K81" s="447" t="s">
        <v>1491</v>
      </c>
      <c r="L81" s="447" t="s">
        <v>1641</v>
      </c>
      <c r="M81" s="447" t="s">
        <v>1490</v>
      </c>
      <c r="N81" s="447" t="s">
        <v>1491</v>
      </c>
      <c r="O81" s="447" t="s">
        <v>1641</v>
      </c>
      <c r="P81" s="447" t="s">
        <v>1490</v>
      </c>
      <c r="Q81" s="447" t="s">
        <v>1491</v>
      </c>
      <c r="R81" s="447" t="s">
        <v>1641</v>
      </c>
      <c r="S81" s="447" t="s">
        <v>1490</v>
      </c>
      <c r="T81" s="447" t="s">
        <v>1491</v>
      </c>
      <c r="U81" s="227"/>
      <c r="V81" s="31"/>
    </row>
    <row r="82" spans="1:22" ht="24" customHeight="1" x14ac:dyDescent="0.2">
      <c r="A82" s="466" t="s">
        <v>359</v>
      </c>
      <c r="B82" s="467"/>
      <c r="C82" s="467"/>
      <c r="D82" s="467"/>
      <c r="E82" s="468"/>
      <c r="F82" s="406">
        <f t="shared" ref="F82:Q83" si="34">F83</f>
        <v>2980319083.0199995</v>
      </c>
      <c r="G82" s="406">
        <f t="shared" si="34"/>
        <v>2491351020.1599998</v>
      </c>
      <c r="H82" s="406">
        <f t="shared" si="34"/>
        <v>2491351020.1599998</v>
      </c>
      <c r="I82" s="406">
        <f t="shared" si="34"/>
        <v>855000000</v>
      </c>
      <c r="J82" s="406">
        <f t="shared" si="34"/>
        <v>757185630.64999998</v>
      </c>
      <c r="K82" s="406">
        <f t="shared" si="34"/>
        <v>757185630.64999998</v>
      </c>
      <c r="L82" s="406">
        <f t="shared" si="34"/>
        <v>141198236.30000001</v>
      </c>
      <c r="M82" s="406">
        <f t="shared" si="34"/>
        <v>141163803</v>
      </c>
      <c r="N82" s="406">
        <f t="shared" si="34"/>
        <v>141163803</v>
      </c>
      <c r="O82" s="406">
        <f t="shared" si="34"/>
        <v>12090000</v>
      </c>
      <c r="P82" s="406">
        <f t="shared" si="34"/>
        <v>9205000</v>
      </c>
      <c r="Q82" s="406">
        <f t="shared" si="34"/>
        <v>9205000</v>
      </c>
      <c r="R82" s="406">
        <f t="shared" ref="R82:T83" si="35">R83</f>
        <v>3988607319.3199997</v>
      </c>
      <c r="S82" s="406">
        <f t="shared" si="35"/>
        <v>3398905453.8099999</v>
      </c>
      <c r="T82" s="406">
        <f t="shared" si="35"/>
        <v>3398905453.8099999</v>
      </c>
      <c r="U82" s="227"/>
      <c r="V82" s="36"/>
    </row>
    <row r="83" spans="1:22" ht="24" customHeight="1" x14ac:dyDescent="0.2">
      <c r="A83" s="49"/>
      <c r="B83" s="450">
        <v>1</v>
      </c>
      <c r="C83" s="451" t="s">
        <v>136</v>
      </c>
      <c r="D83" s="451"/>
      <c r="E83" s="452"/>
      <c r="F83" s="453">
        <f t="shared" si="34"/>
        <v>2980319083.0199995</v>
      </c>
      <c r="G83" s="453">
        <f t="shared" si="34"/>
        <v>2491351020.1599998</v>
      </c>
      <c r="H83" s="453">
        <f t="shared" si="34"/>
        <v>2491351020.1599998</v>
      </c>
      <c r="I83" s="453">
        <f t="shared" si="34"/>
        <v>855000000</v>
      </c>
      <c r="J83" s="453">
        <f t="shared" si="34"/>
        <v>757185630.64999998</v>
      </c>
      <c r="K83" s="453">
        <f t="shared" si="34"/>
        <v>757185630.64999998</v>
      </c>
      <c r="L83" s="453">
        <f t="shared" si="34"/>
        <v>141198236.30000001</v>
      </c>
      <c r="M83" s="453">
        <f t="shared" si="34"/>
        <v>141163803</v>
      </c>
      <c r="N83" s="453">
        <f t="shared" si="34"/>
        <v>141163803</v>
      </c>
      <c r="O83" s="453">
        <f t="shared" si="34"/>
        <v>12090000</v>
      </c>
      <c r="P83" s="453">
        <f t="shared" si="34"/>
        <v>9205000</v>
      </c>
      <c r="Q83" s="453">
        <f t="shared" si="34"/>
        <v>9205000</v>
      </c>
      <c r="R83" s="453">
        <f>R84</f>
        <v>3988607319.3199997</v>
      </c>
      <c r="S83" s="453">
        <f t="shared" si="35"/>
        <v>3398905453.8099999</v>
      </c>
      <c r="T83" s="453">
        <f t="shared" si="35"/>
        <v>3398905453.8099999</v>
      </c>
      <c r="U83" s="227"/>
      <c r="V83" s="36"/>
    </row>
    <row r="84" spans="1:22" ht="25.5" customHeight="1" x14ac:dyDescent="0.2">
      <c r="A84" s="49"/>
      <c r="B84" s="55"/>
      <c r="C84" s="422">
        <v>33</v>
      </c>
      <c r="D84" s="418" t="s">
        <v>166</v>
      </c>
      <c r="E84" s="419"/>
      <c r="F84" s="415">
        <f t="shared" ref="F84:Q84" si="36">SUM(F85:F86)</f>
        <v>2980319083.0199995</v>
      </c>
      <c r="G84" s="415">
        <f t="shared" si="36"/>
        <v>2491351020.1599998</v>
      </c>
      <c r="H84" s="415">
        <f t="shared" si="36"/>
        <v>2491351020.1599998</v>
      </c>
      <c r="I84" s="415">
        <f t="shared" si="36"/>
        <v>855000000</v>
      </c>
      <c r="J84" s="415">
        <f t="shared" si="36"/>
        <v>757185630.64999998</v>
      </c>
      <c r="K84" s="415">
        <f t="shared" si="36"/>
        <v>757185630.64999998</v>
      </c>
      <c r="L84" s="415">
        <f t="shared" si="36"/>
        <v>141198236.30000001</v>
      </c>
      <c r="M84" s="415">
        <f t="shared" si="36"/>
        <v>141163803</v>
      </c>
      <c r="N84" s="415">
        <f t="shared" si="36"/>
        <v>141163803</v>
      </c>
      <c r="O84" s="415">
        <f t="shared" si="36"/>
        <v>12090000</v>
      </c>
      <c r="P84" s="415">
        <f t="shared" si="36"/>
        <v>9205000</v>
      </c>
      <c r="Q84" s="415">
        <f t="shared" si="36"/>
        <v>9205000</v>
      </c>
      <c r="R84" s="415">
        <f>SUM(R85:R86)</f>
        <v>3988607319.3199997</v>
      </c>
      <c r="S84" s="415">
        <f>SUM(S85:S86)</f>
        <v>3398905453.8099999</v>
      </c>
      <c r="T84" s="415">
        <f>SUM(T85:T86)</f>
        <v>3398905453.8099999</v>
      </c>
      <c r="U84" s="227"/>
      <c r="V84" s="36"/>
    </row>
    <row r="85" spans="1:22" s="27" customFormat="1" ht="54.75" customHeight="1" x14ac:dyDescent="0.2">
      <c r="A85" s="54"/>
      <c r="B85" s="44"/>
      <c r="C85" s="44"/>
      <c r="D85" s="44">
        <v>3301</v>
      </c>
      <c r="E85" s="188" t="s">
        <v>167</v>
      </c>
      <c r="F85" s="192">
        <f>SUM('SGTO POAI VIGENCIA 2021'!Z67:Z74)</f>
        <v>2980319083.0199995</v>
      </c>
      <c r="G85" s="192">
        <f>SUM('SGTO POAI VIGENCIA 2021'!AA67:AA74)</f>
        <v>2491351020.1599998</v>
      </c>
      <c r="H85" s="192">
        <f>SUM('SGTO POAI VIGENCIA 2021'!AB67:AB74)</f>
        <v>2491351020.1599998</v>
      </c>
      <c r="I85" s="192">
        <f>SUM('SGTO POAI VIGENCIA 2021'!BD67:BD74)</f>
        <v>722000000</v>
      </c>
      <c r="J85" s="192">
        <f>SUM('SGTO POAI VIGENCIA 2021'!BE67:BE74)</f>
        <v>638005965.64999998</v>
      </c>
      <c r="K85" s="192">
        <f>SUM('SGTO POAI VIGENCIA 2021'!BF67:BF74)</f>
        <v>638005965.64999998</v>
      </c>
      <c r="L85" s="192"/>
      <c r="M85" s="192"/>
      <c r="N85" s="192"/>
      <c r="O85" s="192">
        <f>SUM('SGTO POAI VIGENCIA 2021'!BJ67:BJ74)</f>
        <v>12090000</v>
      </c>
      <c r="P85" s="192">
        <f>SUM('SGTO POAI VIGENCIA 2021'!BK67:BK74)</f>
        <v>9205000</v>
      </c>
      <c r="Q85" s="192">
        <f>SUM('SGTO POAI VIGENCIA 2021'!BL67:BL74)</f>
        <v>9205000</v>
      </c>
      <c r="R85" s="192">
        <f t="shared" ref="R85:T86" si="37">F85+I85+L85+O85</f>
        <v>3714409083.0199995</v>
      </c>
      <c r="S85" s="192">
        <f t="shared" si="37"/>
        <v>3138561985.8099999</v>
      </c>
      <c r="T85" s="192">
        <f t="shared" si="37"/>
        <v>3138561985.8099999</v>
      </c>
      <c r="U85" s="231"/>
      <c r="V85" s="34"/>
    </row>
    <row r="86" spans="1:22" s="27" customFormat="1" ht="60" customHeight="1" x14ac:dyDescent="0.2">
      <c r="A86" s="54"/>
      <c r="B86" s="44"/>
      <c r="C86" s="44"/>
      <c r="D86" s="44">
        <v>3302</v>
      </c>
      <c r="E86" s="188" t="s">
        <v>389</v>
      </c>
      <c r="F86" s="124">
        <f>SUM('SGTO POAI VIGENCIA 2021'!Z75:Z76)</f>
        <v>0</v>
      </c>
      <c r="G86" s="124">
        <f>SUM('SGTO POAI VIGENCIA 2021'!AA75:AA76)</f>
        <v>0</v>
      </c>
      <c r="H86" s="124">
        <f>SUM('SGTO POAI VIGENCIA 2021'!AB75:AB76)</f>
        <v>0</v>
      </c>
      <c r="I86" s="124">
        <f>SUM('SGTO POAI VIGENCIA 2021'!BD75:BD76)</f>
        <v>133000000</v>
      </c>
      <c r="J86" s="124">
        <f>SUM('SGTO POAI VIGENCIA 2021'!BE75:BE76)</f>
        <v>119179665</v>
      </c>
      <c r="K86" s="124">
        <f>SUM('SGTO POAI VIGENCIA 2021'!BF75:BF76)</f>
        <v>119179665</v>
      </c>
      <c r="L86" s="124">
        <f>SUM('SGTO POAI VIGENCIA 2021'!BG75:BG76)</f>
        <v>141198236.30000001</v>
      </c>
      <c r="M86" s="124">
        <f>SUM('SGTO POAI VIGENCIA 2021'!BH75:BH76)</f>
        <v>141163803</v>
      </c>
      <c r="N86" s="124">
        <f>SUM('SGTO POAI VIGENCIA 2021'!BI75:BI76)</f>
        <v>141163803</v>
      </c>
      <c r="O86" s="124"/>
      <c r="P86" s="124"/>
      <c r="Q86" s="124"/>
      <c r="R86" s="192">
        <f t="shared" si="37"/>
        <v>274198236.30000001</v>
      </c>
      <c r="S86" s="192">
        <f t="shared" si="37"/>
        <v>260343468</v>
      </c>
      <c r="T86" s="192">
        <f t="shared" si="37"/>
        <v>260343468</v>
      </c>
      <c r="U86" s="231"/>
      <c r="V86" s="34"/>
    </row>
    <row r="87" spans="1:22" s="7" customFormat="1" x14ac:dyDescent="0.2">
      <c r="A87" s="36"/>
      <c r="B87" s="93"/>
      <c r="C87" s="93"/>
      <c r="D87" s="93"/>
      <c r="E87" s="97"/>
      <c r="F87" s="94"/>
      <c r="G87" s="29"/>
      <c r="H87" s="14"/>
      <c r="I87" s="14"/>
      <c r="J87" s="14"/>
      <c r="K87" s="14"/>
      <c r="L87" s="35"/>
    </row>
    <row r="88" spans="1:22" ht="24" customHeight="1" x14ac:dyDescent="0.2">
      <c r="A88" s="602" t="s">
        <v>4</v>
      </c>
      <c r="B88" s="602" t="s">
        <v>5</v>
      </c>
      <c r="C88" s="602" t="s">
        <v>6</v>
      </c>
      <c r="D88" s="602" t="s">
        <v>1355</v>
      </c>
      <c r="E88" s="603" t="s">
        <v>7</v>
      </c>
      <c r="F88" s="608" t="s">
        <v>1356</v>
      </c>
      <c r="G88" s="600"/>
      <c r="H88" s="601"/>
      <c r="I88" s="599" t="s">
        <v>1362</v>
      </c>
      <c r="J88" s="600"/>
      <c r="K88" s="601"/>
      <c r="L88" s="599" t="s">
        <v>12</v>
      </c>
      <c r="M88" s="600"/>
      <c r="N88" s="601"/>
      <c r="O88" s="2"/>
      <c r="P88" s="31"/>
    </row>
    <row r="89" spans="1:22" ht="24" customHeight="1" x14ac:dyDescent="0.2">
      <c r="A89" s="602"/>
      <c r="B89" s="602"/>
      <c r="C89" s="602"/>
      <c r="D89" s="602"/>
      <c r="E89" s="603"/>
      <c r="F89" s="447" t="s">
        <v>1641</v>
      </c>
      <c r="G89" s="447" t="s">
        <v>1490</v>
      </c>
      <c r="H89" s="447" t="s">
        <v>1491</v>
      </c>
      <c r="I89" s="447" t="s">
        <v>1641</v>
      </c>
      <c r="J89" s="447" t="s">
        <v>1490</v>
      </c>
      <c r="K89" s="447" t="s">
        <v>1491</v>
      </c>
      <c r="L89" s="447" t="s">
        <v>1641</v>
      </c>
      <c r="M89" s="447" t="s">
        <v>1490</v>
      </c>
      <c r="N89" s="447" t="s">
        <v>1491</v>
      </c>
      <c r="O89" s="2"/>
      <c r="P89" s="31"/>
    </row>
    <row r="90" spans="1:22" ht="24" customHeight="1" x14ac:dyDescent="0.2">
      <c r="A90" s="466" t="s">
        <v>399</v>
      </c>
      <c r="B90" s="467"/>
      <c r="C90" s="467"/>
      <c r="D90" s="467"/>
      <c r="E90" s="468"/>
      <c r="F90" s="406">
        <f t="shared" ref="F90:N90" si="38">F91</f>
        <v>2551356036</v>
      </c>
      <c r="G90" s="406">
        <f t="shared" si="38"/>
        <v>2467034650</v>
      </c>
      <c r="H90" s="406">
        <f t="shared" si="38"/>
        <v>2467034650</v>
      </c>
      <c r="I90" s="406">
        <f t="shared" si="38"/>
        <v>1005231673.61</v>
      </c>
      <c r="J90" s="406">
        <f t="shared" si="38"/>
        <v>461920395.50999999</v>
      </c>
      <c r="K90" s="406">
        <f t="shared" si="38"/>
        <v>461920395.50999999</v>
      </c>
      <c r="L90" s="406">
        <f t="shared" si="38"/>
        <v>3556587709.6100001</v>
      </c>
      <c r="M90" s="406">
        <f t="shared" si="38"/>
        <v>2928955045.5100002</v>
      </c>
      <c r="N90" s="406">
        <f t="shared" si="38"/>
        <v>2928955045.5100002</v>
      </c>
      <c r="P90" s="36"/>
    </row>
    <row r="91" spans="1:22" ht="24" customHeight="1" x14ac:dyDescent="0.2">
      <c r="A91" s="49"/>
      <c r="B91" s="455">
        <v>2</v>
      </c>
      <c r="C91" s="451" t="s">
        <v>400</v>
      </c>
      <c r="D91" s="451"/>
      <c r="E91" s="452"/>
      <c r="F91" s="453">
        <f t="shared" ref="F91:N91" si="39">F92+F94</f>
        <v>2551356036</v>
      </c>
      <c r="G91" s="453">
        <f t="shared" si="39"/>
        <v>2467034650</v>
      </c>
      <c r="H91" s="453">
        <f t="shared" si="39"/>
        <v>2467034650</v>
      </c>
      <c r="I91" s="453">
        <f t="shared" si="39"/>
        <v>1005231673.61</v>
      </c>
      <c r="J91" s="453">
        <f t="shared" si="39"/>
        <v>461920395.50999999</v>
      </c>
      <c r="K91" s="453">
        <f t="shared" si="39"/>
        <v>461920395.50999999</v>
      </c>
      <c r="L91" s="453">
        <f t="shared" si="39"/>
        <v>3556587709.6100001</v>
      </c>
      <c r="M91" s="453">
        <f t="shared" si="39"/>
        <v>2928955045.5100002</v>
      </c>
      <c r="N91" s="453">
        <f t="shared" si="39"/>
        <v>2928955045.5100002</v>
      </c>
      <c r="P91" s="36"/>
    </row>
    <row r="92" spans="1:22" ht="24" customHeight="1" x14ac:dyDescent="0.2">
      <c r="A92" s="49"/>
      <c r="B92" s="55"/>
      <c r="C92" s="422">
        <v>35</v>
      </c>
      <c r="D92" s="413" t="s">
        <v>401</v>
      </c>
      <c r="E92" s="414"/>
      <c r="F92" s="415">
        <f t="shared" ref="F92:N92" si="40">F93</f>
        <v>2313856036</v>
      </c>
      <c r="G92" s="415">
        <f t="shared" si="40"/>
        <v>2240517199</v>
      </c>
      <c r="H92" s="415">
        <f t="shared" si="40"/>
        <v>2240517199</v>
      </c>
      <c r="I92" s="415">
        <f t="shared" si="40"/>
        <v>1005231673.61</v>
      </c>
      <c r="J92" s="415">
        <f t="shared" si="40"/>
        <v>461920395.50999999</v>
      </c>
      <c r="K92" s="415">
        <f t="shared" si="40"/>
        <v>461920395.50999999</v>
      </c>
      <c r="L92" s="415">
        <f t="shared" si="40"/>
        <v>3319087709.6100001</v>
      </c>
      <c r="M92" s="415">
        <f t="shared" si="40"/>
        <v>2702437594.5100002</v>
      </c>
      <c r="N92" s="415">
        <f t="shared" si="40"/>
        <v>2702437594.5100002</v>
      </c>
      <c r="P92" s="36"/>
    </row>
    <row r="93" spans="1:22" s="27" customFormat="1" ht="44.25" customHeight="1" x14ac:dyDescent="0.2">
      <c r="A93" s="54"/>
      <c r="B93" s="44"/>
      <c r="C93" s="44"/>
      <c r="D93" s="56">
        <v>3502</v>
      </c>
      <c r="E93" s="188" t="s">
        <v>402</v>
      </c>
      <c r="F93" s="192">
        <f>SUM('SGTO POAI VIGENCIA 2021'!BD77:BD84)</f>
        <v>2313856036</v>
      </c>
      <c r="G93" s="192">
        <f>SUM('SGTO POAI VIGENCIA 2021'!BE77:BE84)</f>
        <v>2240517199</v>
      </c>
      <c r="H93" s="192">
        <f>SUM('SGTO POAI VIGENCIA 2021'!BF77:BF84)</f>
        <v>2240517199</v>
      </c>
      <c r="I93" s="192">
        <f>SUM('SGTO POAI VIGENCIA 2021'!BG77:BG84)</f>
        <v>1005231673.61</v>
      </c>
      <c r="J93" s="192">
        <f>SUM('SGTO POAI VIGENCIA 2021'!BH77:BH84)</f>
        <v>461920395.50999999</v>
      </c>
      <c r="K93" s="192">
        <f>SUM('SGTO POAI VIGENCIA 2021'!BI77:BI84)</f>
        <v>461920395.50999999</v>
      </c>
      <c r="L93" s="192">
        <f>F93+I93</f>
        <v>3319087709.6100001</v>
      </c>
      <c r="M93" s="192">
        <f>G93+J93</f>
        <v>2702437594.5100002</v>
      </c>
      <c r="N93" s="192">
        <f>H93+K93</f>
        <v>2702437594.5100002</v>
      </c>
      <c r="P93" s="34"/>
    </row>
    <row r="94" spans="1:22" s="27" customFormat="1" ht="24" customHeight="1" x14ac:dyDescent="0.2">
      <c r="A94" s="54"/>
      <c r="B94" s="55"/>
      <c r="C94" s="422">
        <v>36</v>
      </c>
      <c r="D94" s="418" t="s">
        <v>433</v>
      </c>
      <c r="E94" s="419"/>
      <c r="F94" s="461">
        <f t="shared" ref="F94:N94" si="41">F95</f>
        <v>237500000</v>
      </c>
      <c r="G94" s="461">
        <f t="shared" si="41"/>
        <v>226517451</v>
      </c>
      <c r="H94" s="461">
        <f t="shared" si="41"/>
        <v>226517451</v>
      </c>
      <c r="I94" s="461">
        <f t="shared" si="41"/>
        <v>0</v>
      </c>
      <c r="J94" s="461">
        <f t="shared" si="41"/>
        <v>0</v>
      </c>
      <c r="K94" s="461">
        <f t="shared" si="41"/>
        <v>0</v>
      </c>
      <c r="L94" s="461">
        <f t="shared" si="41"/>
        <v>237500000</v>
      </c>
      <c r="M94" s="461">
        <f t="shared" si="41"/>
        <v>226517451</v>
      </c>
      <c r="N94" s="461">
        <f t="shared" si="41"/>
        <v>226517451</v>
      </c>
      <c r="P94" s="34"/>
    </row>
    <row r="95" spans="1:22" s="27" customFormat="1" ht="45.75" customHeight="1" x14ac:dyDescent="0.2">
      <c r="A95" s="54"/>
      <c r="B95" s="44"/>
      <c r="C95" s="44"/>
      <c r="D95" s="56">
        <v>3602</v>
      </c>
      <c r="E95" s="188" t="s">
        <v>434</v>
      </c>
      <c r="F95" s="192">
        <f>SUM('SGTO POAI VIGENCIA 2021'!BD85:BD88)</f>
        <v>237500000</v>
      </c>
      <c r="G95" s="192">
        <f>SUM('SGTO POAI VIGENCIA 2021'!BE85:BE88)</f>
        <v>226517451</v>
      </c>
      <c r="H95" s="192">
        <f>SUM('SGTO POAI VIGENCIA 2021'!BF85:BF88)</f>
        <v>226517451</v>
      </c>
      <c r="I95" s="192"/>
      <c r="J95" s="192"/>
      <c r="K95" s="192"/>
      <c r="L95" s="192">
        <f>F95+I95</f>
        <v>237500000</v>
      </c>
      <c r="M95" s="192">
        <f>G95+J95</f>
        <v>226517451</v>
      </c>
      <c r="N95" s="192">
        <f>H95+K95</f>
        <v>226517451</v>
      </c>
      <c r="P95" s="34"/>
    </row>
    <row r="96" spans="1:22" s="7" customFormat="1" x14ac:dyDescent="0.2">
      <c r="A96" s="36"/>
      <c r="B96" s="93"/>
      <c r="C96" s="93"/>
      <c r="D96" s="93"/>
      <c r="E96" s="97"/>
      <c r="F96" s="94"/>
      <c r="G96" s="29"/>
      <c r="H96" s="14"/>
      <c r="I96" s="14"/>
      <c r="J96" s="14"/>
      <c r="K96" s="14"/>
      <c r="L96" s="35"/>
    </row>
    <row r="97" spans="1:14" s="7" customFormat="1" ht="24" customHeight="1" x14ac:dyDescent="0.2">
      <c r="A97" s="602" t="s">
        <v>4</v>
      </c>
      <c r="B97" s="602" t="s">
        <v>5</v>
      </c>
      <c r="C97" s="602" t="s">
        <v>6</v>
      </c>
      <c r="D97" s="602" t="s">
        <v>1355</v>
      </c>
      <c r="E97" s="603" t="s">
        <v>7</v>
      </c>
      <c r="F97" s="613" t="s">
        <v>1356</v>
      </c>
      <c r="G97" s="614"/>
      <c r="H97" s="615"/>
      <c r="I97" s="599" t="s">
        <v>1554</v>
      </c>
      <c r="J97" s="600"/>
      <c r="K97" s="601"/>
      <c r="L97" s="599" t="s">
        <v>12</v>
      </c>
      <c r="M97" s="600"/>
      <c r="N97" s="601"/>
    </row>
    <row r="98" spans="1:14" s="7" customFormat="1" ht="24" customHeight="1" x14ac:dyDescent="0.2">
      <c r="A98" s="602"/>
      <c r="B98" s="602"/>
      <c r="C98" s="602"/>
      <c r="D98" s="602"/>
      <c r="E98" s="603"/>
      <c r="F98" s="447" t="s">
        <v>1641</v>
      </c>
      <c r="G98" s="447" t="s">
        <v>1490</v>
      </c>
      <c r="H98" s="447" t="s">
        <v>1491</v>
      </c>
      <c r="I98" s="447" t="s">
        <v>1641</v>
      </c>
      <c r="J98" s="447" t="s">
        <v>1490</v>
      </c>
      <c r="K98" s="447" t="s">
        <v>1491</v>
      </c>
      <c r="L98" s="447" t="s">
        <v>1641</v>
      </c>
      <c r="M98" s="447" t="s">
        <v>1490</v>
      </c>
      <c r="N98" s="447" t="s">
        <v>1491</v>
      </c>
    </row>
    <row r="99" spans="1:14" ht="24" customHeight="1" x14ac:dyDescent="0.2">
      <c r="A99" s="466" t="s">
        <v>450</v>
      </c>
      <c r="B99" s="467"/>
      <c r="C99" s="467"/>
      <c r="D99" s="467"/>
      <c r="E99" s="468"/>
      <c r="F99" s="470">
        <f>F100+F111</f>
        <v>3183193301.9700003</v>
      </c>
      <c r="G99" s="470">
        <f t="shared" ref="G99:N99" si="42">G100+G111</f>
        <v>1759257005.5699999</v>
      </c>
      <c r="H99" s="470">
        <f t="shared" si="42"/>
        <v>1759257005.5699999</v>
      </c>
      <c r="I99" s="470">
        <f t="shared" si="42"/>
        <v>655606585.65999997</v>
      </c>
      <c r="J99" s="470">
        <f t="shared" si="42"/>
        <v>550000000</v>
      </c>
      <c r="K99" s="470">
        <f t="shared" si="42"/>
        <v>550000000</v>
      </c>
      <c r="L99" s="470">
        <f t="shared" si="42"/>
        <v>3838799887.6300001</v>
      </c>
      <c r="M99" s="470">
        <f t="shared" si="42"/>
        <v>2309257005.5699997</v>
      </c>
      <c r="N99" s="470">
        <f t="shared" si="42"/>
        <v>2309257005.5699997</v>
      </c>
    </row>
    <row r="100" spans="1:14" ht="24" customHeight="1" x14ac:dyDescent="0.2">
      <c r="A100" s="49"/>
      <c r="B100" s="450">
        <v>2</v>
      </c>
      <c r="C100" s="451" t="s">
        <v>400</v>
      </c>
      <c r="D100" s="451"/>
      <c r="E100" s="452"/>
      <c r="F100" s="453">
        <f>F101+F109</f>
        <v>1546105413.97</v>
      </c>
      <c r="G100" s="453">
        <f t="shared" ref="G100:N100" si="43">G101+G109</f>
        <v>1151149489</v>
      </c>
      <c r="H100" s="453">
        <f t="shared" si="43"/>
        <v>1151149489</v>
      </c>
      <c r="I100" s="453">
        <f t="shared" si="43"/>
        <v>655606585.65999997</v>
      </c>
      <c r="J100" s="453">
        <f t="shared" si="43"/>
        <v>550000000</v>
      </c>
      <c r="K100" s="453">
        <f t="shared" si="43"/>
        <v>550000000</v>
      </c>
      <c r="L100" s="453">
        <f t="shared" si="43"/>
        <v>2201711999.6300001</v>
      </c>
      <c r="M100" s="453">
        <f t="shared" si="43"/>
        <v>1701149489</v>
      </c>
      <c r="N100" s="453">
        <f t="shared" si="43"/>
        <v>1701149489</v>
      </c>
    </row>
    <row r="101" spans="1:14" ht="24" customHeight="1" x14ac:dyDescent="0.2">
      <c r="A101" s="49"/>
      <c r="C101" s="422">
        <v>17</v>
      </c>
      <c r="D101" s="413" t="s">
        <v>451</v>
      </c>
      <c r="E101" s="414"/>
      <c r="F101" s="415">
        <f>SUM(F102:F108)</f>
        <v>1510105413.97</v>
      </c>
      <c r="G101" s="415">
        <f t="shared" ref="G101:N101" si="44">SUM(G102:G108)</f>
        <v>1116954489</v>
      </c>
      <c r="H101" s="415">
        <f t="shared" si="44"/>
        <v>1116954489</v>
      </c>
      <c r="I101" s="415">
        <f t="shared" si="44"/>
        <v>655606585.65999997</v>
      </c>
      <c r="J101" s="415">
        <f t="shared" si="44"/>
        <v>550000000</v>
      </c>
      <c r="K101" s="415">
        <f t="shared" si="44"/>
        <v>550000000</v>
      </c>
      <c r="L101" s="415">
        <f t="shared" si="44"/>
        <v>2165711999.6300001</v>
      </c>
      <c r="M101" s="415">
        <f t="shared" si="44"/>
        <v>1666954489</v>
      </c>
      <c r="N101" s="415">
        <f t="shared" si="44"/>
        <v>1666954489</v>
      </c>
    </row>
    <row r="102" spans="1:14" ht="52.5" customHeight="1" x14ac:dyDescent="0.2">
      <c r="A102" s="49"/>
      <c r="B102" s="186"/>
      <c r="C102" s="186"/>
      <c r="D102" s="44">
        <v>1702</v>
      </c>
      <c r="E102" s="188" t="s">
        <v>452</v>
      </c>
      <c r="F102" s="192">
        <f>SUM('SGTO POAI VIGENCIA 2021'!BD89:BD99)</f>
        <v>1157294913.97</v>
      </c>
      <c r="G102" s="192">
        <f>SUM('SGTO POAI VIGENCIA 2021'!BE89:BE99)</f>
        <v>792284323</v>
      </c>
      <c r="H102" s="192">
        <f>SUM('SGTO POAI VIGENCIA 2021'!BF89:BF99)</f>
        <v>792284323</v>
      </c>
      <c r="I102" s="192">
        <f>SUM('SGTO POAI VIGENCIA 2021'!BM89:BM99)</f>
        <v>405606585.65999997</v>
      </c>
      <c r="J102" s="192">
        <f>SUM('SGTO POAI VIGENCIA 2021'!BN89:BN99)</f>
        <v>300000000</v>
      </c>
      <c r="K102" s="192">
        <f>SUM('SGTO POAI VIGENCIA 2021'!BO89:BO99)</f>
        <v>300000000</v>
      </c>
      <c r="L102" s="192">
        <f>F102+I102</f>
        <v>1562901499.6300001</v>
      </c>
      <c r="M102" s="192">
        <f>G102+J102</f>
        <v>1092284323</v>
      </c>
      <c r="N102" s="192">
        <f>H102+K102</f>
        <v>1092284323</v>
      </c>
    </row>
    <row r="103" spans="1:14" ht="62.25" customHeight="1" x14ac:dyDescent="0.2">
      <c r="A103" s="49"/>
      <c r="B103" s="186"/>
      <c r="C103" s="186"/>
      <c r="D103" s="44">
        <v>1703</v>
      </c>
      <c r="E103" s="188" t="s">
        <v>500</v>
      </c>
      <c r="F103" s="192">
        <f>SUM('SGTO POAI VIGENCIA 2021'!BD100)</f>
        <v>75000000</v>
      </c>
      <c r="G103" s="192">
        <f>SUM('SGTO POAI VIGENCIA 2021'!BE100)</f>
        <v>74995000</v>
      </c>
      <c r="H103" s="192">
        <f>SUM('SGTO POAI VIGENCIA 2021'!BF100)</f>
        <v>74995000</v>
      </c>
      <c r="I103" s="192">
        <f>'SGTO POAI VIGENCIA 2021'!BM100</f>
        <v>250000000</v>
      </c>
      <c r="J103" s="192">
        <f>'SGTO POAI VIGENCIA 2021'!BN100</f>
        <v>250000000</v>
      </c>
      <c r="K103" s="192">
        <f>'SGTO POAI VIGENCIA 2021'!BO100</f>
        <v>250000000</v>
      </c>
      <c r="L103" s="192">
        <f t="shared" ref="L103:L108" si="45">F103+I103</f>
        <v>325000000</v>
      </c>
      <c r="M103" s="192">
        <f t="shared" ref="M103:M108" si="46">G103+J103</f>
        <v>324995000</v>
      </c>
      <c r="N103" s="192">
        <f t="shared" ref="N103:N108" si="47">H103+K103</f>
        <v>324995000</v>
      </c>
    </row>
    <row r="104" spans="1:14" ht="49.5" customHeight="1" x14ac:dyDescent="0.2">
      <c r="A104" s="49"/>
      <c r="B104" s="186"/>
      <c r="C104" s="186"/>
      <c r="D104" s="44">
        <v>1704</v>
      </c>
      <c r="E104" s="188" t="s">
        <v>507</v>
      </c>
      <c r="F104" s="192">
        <f>SUM('SGTO POAI VIGENCIA 2021'!BD101:BD102)</f>
        <v>69255500</v>
      </c>
      <c r="G104" s="192">
        <f>SUM('SGTO POAI VIGENCIA 2021'!BE101:BE102)</f>
        <v>69255166</v>
      </c>
      <c r="H104" s="192">
        <f>SUM('SGTO POAI VIGENCIA 2021'!BF101:BF102)</f>
        <v>69255166</v>
      </c>
      <c r="I104" s="192"/>
      <c r="J104" s="192"/>
      <c r="K104" s="192"/>
      <c r="L104" s="192">
        <f t="shared" si="45"/>
        <v>69255500</v>
      </c>
      <c r="M104" s="192">
        <f t="shared" si="46"/>
        <v>69255166</v>
      </c>
      <c r="N104" s="192">
        <f t="shared" si="47"/>
        <v>69255166</v>
      </c>
    </row>
    <row r="105" spans="1:14" ht="39.75" customHeight="1" x14ac:dyDescent="0.2">
      <c r="A105" s="49"/>
      <c r="B105" s="186"/>
      <c r="C105" s="186"/>
      <c r="D105" s="44">
        <v>1706</v>
      </c>
      <c r="E105" s="188" t="s">
        <v>516</v>
      </c>
      <c r="F105" s="192">
        <f>'SGTO POAI VIGENCIA 2021'!BD103</f>
        <v>20000000</v>
      </c>
      <c r="G105" s="192">
        <f>'SGTO POAI VIGENCIA 2021'!BE103</f>
        <v>20000000</v>
      </c>
      <c r="H105" s="192">
        <f>'SGTO POAI VIGENCIA 2021'!BF103</f>
        <v>20000000</v>
      </c>
      <c r="I105" s="192"/>
      <c r="J105" s="192"/>
      <c r="K105" s="192"/>
      <c r="L105" s="192">
        <f t="shared" si="45"/>
        <v>20000000</v>
      </c>
      <c r="M105" s="192">
        <f t="shared" si="46"/>
        <v>20000000</v>
      </c>
      <c r="N105" s="192">
        <f t="shared" si="47"/>
        <v>20000000</v>
      </c>
    </row>
    <row r="106" spans="1:14" ht="57" customHeight="1" x14ac:dyDescent="0.2">
      <c r="A106" s="49"/>
      <c r="B106" s="186"/>
      <c r="C106" s="186"/>
      <c r="D106" s="44">
        <v>1707</v>
      </c>
      <c r="E106" s="188" t="s">
        <v>523</v>
      </c>
      <c r="F106" s="192">
        <f>'SGTO POAI VIGENCIA 2021'!BD104</f>
        <v>43000000</v>
      </c>
      <c r="G106" s="192">
        <f>'SGTO POAI VIGENCIA 2021'!BE104</f>
        <v>34865000</v>
      </c>
      <c r="H106" s="192">
        <f>'SGTO POAI VIGENCIA 2021'!BF104</f>
        <v>34865000</v>
      </c>
      <c r="I106" s="192"/>
      <c r="J106" s="192"/>
      <c r="K106" s="192"/>
      <c r="L106" s="192">
        <f t="shared" si="45"/>
        <v>43000000</v>
      </c>
      <c r="M106" s="192">
        <f t="shared" si="46"/>
        <v>34865000</v>
      </c>
      <c r="N106" s="192">
        <f t="shared" si="47"/>
        <v>34865000</v>
      </c>
    </row>
    <row r="107" spans="1:14" ht="57" customHeight="1" x14ac:dyDescent="0.2">
      <c r="A107" s="49"/>
      <c r="B107" s="186"/>
      <c r="C107" s="186"/>
      <c r="D107" s="44">
        <v>1708</v>
      </c>
      <c r="E107" s="188" t="s">
        <v>530</v>
      </c>
      <c r="F107" s="192">
        <f>SUM('SGTO POAI VIGENCIA 2021'!BD105:BD106)</f>
        <v>37555000</v>
      </c>
      <c r="G107" s="192">
        <f>SUM('SGTO POAI VIGENCIA 2021'!BE105:BE106)</f>
        <v>17555000</v>
      </c>
      <c r="H107" s="192">
        <f>SUM('SGTO POAI VIGENCIA 2021'!BF105:BF106)</f>
        <v>17555000</v>
      </c>
      <c r="I107" s="192"/>
      <c r="J107" s="192"/>
      <c r="K107" s="192"/>
      <c r="L107" s="192">
        <f t="shared" si="45"/>
        <v>37555000</v>
      </c>
      <c r="M107" s="192">
        <f t="shared" si="46"/>
        <v>17555000</v>
      </c>
      <c r="N107" s="192">
        <f t="shared" si="47"/>
        <v>17555000</v>
      </c>
    </row>
    <row r="108" spans="1:14" ht="39.75" customHeight="1" x14ac:dyDescent="0.2">
      <c r="A108" s="49"/>
      <c r="B108" s="186"/>
      <c r="C108" s="186"/>
      <c r="D108" s="44">
        <v>1709</v>
      </c>
      <c r="E108" s="188" t="s">
        <v>539</v>
      </c>
      <c r="F108" s="192">
        <f>SUM('SGTO POAI VIGENCIA 2021'!BD107:BD109)</f>
        <v>108000000</v>
      </c>
      <c r="G108" s="192">
        <f>SUM('SGTO POAI VIGENCIA 2021'!BE107:BE109)</f>
        <v>108000000</v>
      </c>
      <c r="H108" s="192">
        <f>SUM('SGTO POAI VIGENCIA 2021'!BF107:BF109)</f>
        <v>108000000</v>
      </c>
      <c r="I108" s="192"/>
      <c r="J108" s="192"/>
      <c r="K108" s="192"/>
      <c r="L108" s="192">
        <f t="shared" si="45"/>
        <v>108000000</v>
      </c>
      <c r="M108" s="192">
        <f t="shared" si="46"/>
        <v>108000000</v>
      </c>
      <c r="N108" s="192">
        <f t="shared" si="47"/>
        <v>108000000</v>
      </c>
    </row>
    <row r="109" spans="1:14" ht="24" customHeight="1" x14ac:dyDescent="0.2">
      <c r="A109" s="49"/>
      <c r="B109" s="45"/>
      <c r="C109" s="422">
        <v>35</v>
      </c>
      <c r="D109" s="413" t="s">
        <v>401</v>
      </c>
      <c r="E109" s="414"/>
      <c r="F109" s="415">
        <f>F110</f>
        <v>36000000</v>
      </c>
      <c r="G109" s="415">
        <f t="shared" ref="G109:N109" si="48">G110</f>
        <v>34195000</v>
      </c>
      <c r="H109" s="415">
        <f t="shared" si="48"/>
        <v>34195000</v>
      </c>
      <c r="I109" s="415">
        <f t="shared" si="48"/>
        <v>0</v>
      </c>
      <c r="J109" s="415">
        <f t="shared" si="48"/>
        <v>0</v>
      </c>
      <c r="K109" s="415">
        <f t="shared" si="48"/>
        <v>0</v>
      </c>
      <c r="L109" s="415">
        <f t="shared" si="48"/>
        <v>36000000</v>
      </c>
      <c r="M109" s="415">
        <f t="shared" si="48"/>
        <v>34195000</v>
      </c>
      <c r="N109" s="415">
        <f t="shared" si="48"/>
        <v>34195000</v>
      </c>
    </row>
    <row r="110" spans="1:14" ht="62.25" customHeight="1" x14ac:dyDescent="0.2">
      <c r="A110" s="49"/>
      <c r="B110" s="186"/>
      <c r="C110" s="186"/>
      <c r="D110" s="44">
        <v>3502</v>
      </c>
      <c r="E110" s="188" t="s">
        <v>402</v>
      </c>
      <c r="F110" s="192">
        <f>SUM('SGTO POAI VIGENCIA 2021'!BD110:BD111)</f>
        <v>36000000</v>
      </c>
      <c r="G110" s="192">
        <f>SUM('SGTO POAI VIGENCIA 2021'!BE110:BE111)</f>
        <v>34195000</v>
      </c>
      <c r="H110" s="192">
        <f>SUM('SGTO POAI VIGENCIA 2021'!BF110:BF111)</f>
        <v>34195000</v>
      </c>
      <c r="I110" s="192"/>
      <c r="J110" s="192"/>
      <c r="K110" s="192"/>
      <c r="L110" s="192">
        <f>F110+I110</f>
        <v>36000000</v>
      </c>
      <c r="M110" s="192">
        <f>G110+J110</f>
        <v>34195000</v>
      </c>
      <c r="N110" s="192">
        <f>H110+K110</f>
        <v>34195000</v>
      </c>
    </row>
    <row r="111" spans="1:14" ht="24" customHeight="1" x14ac:dyDescent="0.2">
      <c r="A111" s="49"/>
      <c r="B111" s="450">
        <v>3</v>
      </c>
      <c r="C111" s="451" t="s">
        <v>186</v>
      </c>
      <c r="D111" s="451"/>
      <c r="E111" s="452"/>
      <c r="F111" s="453">
        <f>F112</f>
        <v>1637087888</v>
      </c>
      <c r="G111" s="453">
        <f t="shared" ref="G111:N111" si="49">G112</f>
        <v>608107516.56999993</v>
      </c>
      <c r="H111" s="453">
        <f t="shared" si="49"/>
        <v>608107516.56999993</v>
      </c>
      <c r="I111" s="453">
        <f t="shared" si="49"/>
        <v>0</v>
      </c>
      <c r="J111" s="453">
        <f t="shared" si="49"/>
        <v>0</v>
      </c>
      <c r="K111" s="453">
        <f t="shared" si="49"/>
        <v>0</v>
      </c>
      <c r="L111" s="453">
        <f t="shared" si="49"/>
        <v>1637087888</v>
      </c>
      <c r="M111" s="453">
        <f t="shared" si="49"/>
        <v>608107516.56999993</v>
      </c>
      <c r="N111" s="453">
        <f t="shared" si="49"/>
        <v>608107516.56999993</v>
      </c>
    </row>
    <row r="112" spans="1:14" ht="24" customHeight="1" x14ac:dyDescent="0.2">
      <c r="A112" s="49"/>
      <c r="B112" s="55"/>
      <c r="C112" s="422">
        <v>32</v>
      </c>
      <c r="D112" s="413" t="s">
        <v>207</v>
      </c>
      <c r="E112" s="414"/>
      <c r="F112" s="415">
        <f t="shared" ref="F112:N112" si="50">SUM(F113:F117)</f>
        <v>1637087888</v>
      </c>
      <c r="G112" s="415">
        <f t="shared" si="50"/>
        <v>608107516.56999993</v>
      </c>
      <c r="H112" s="415">
        <f t="shared" si="50"/>
        <v>608107516.56999993</v>
      </c>
      <c r="I112" s="415">
        <f t="shared" si="50"/>
        <v>0</v>
      </c>
      <c r="J112" s="415">
        <f t="shared" si="50"/>
        <v>0</v>
      </c>
      <c r="K112" s="415">
        <f t="shared" si="50"/>
        <v>0</v>
      </c>
      <c r="L112" s="415">
        <f t="shared" si="50"/>
        <v>1637087888</v>
      </c>
      <c r="M112" s="415">
        <f t="shared" si="50"/>
        <v>608107516.56999993</v>
      </c>
      <c r="N112" s="415">
        <f t="shared" si="50"/>
        <v>608107516.56999993</v>
      </c>
    </row>
    <row r="113" spans="1:35" s="27" customFormat="1" ht="57" customHeight="1" x14ac:dyDescent="0.2">
      <c r="A113" s="54"/>
      <c r="B113" s="44"/>
      <c r="C113" s="44"/>
      <c r="D113" s="44" t="s">
        <v>557</v>
      </c>
      <c r="E113" s="188" t="s">
        <v>558</v>
      </c>
      <c r="F113" s="192">
        <f>SUM('SGTO POAI VIGENCIA 2021'!BD112:BD113)</f>
        <v>81456499</v>
      </c>
      <c r="G113" s="192">
        <f>SUM('SGTO POAI VIGENCIA 2021'!BE112:BE113)</f>
        <v>81456499</v>
      </c>
      <c r="H113" s="192">
        <f>SUM('SGTO POAI VIGENCIA 2021'!BF112:BF113)</f>
        <v>81456499</v>
      </c>
      <c r="I113" s="192"/>
      <c r="J113" s="192"/>
      <c r="K113" s="192"/>
      <c r="L113" s="192">
        <f t="shared" ref="L113:N117" si="51">F113+I113</f>
        <v>81456499</v>
      </c>
      <c r="M113" s="192">
        <f t="shared" si="51"/>
        <v>81456499</v>
      </c>
      <c r="N113" s="192">
        <f t="shared" si="51"/>
        <v>81456499</v>
      </c>
    </row>
    <row r="114" spans="1:35" s="27" customFormat="1" ht="60.75" customHeight="1" x14ac:dyDescent="0.2">
      <c r="A114" s="54"/>
      <c r="B114" s="44"/>
      <c r="C114" s="44"/>
      <c r="D114" s="44">
        <v>3202</v>
      </c>
      <c r="E114" s="188" t="s">
        <v>568</v>
      </c>
      <c r="F114" s="192">
        <f>SUM('SGTO POAI VIGENCIA 2021'!BD114:BD119)</f>
        <v>1235631389</v>
      </c>
      <c r="G114" s="192">
        <f>SUM('SGTO POAI VIGENCIA 2021'!BE114:BE119)</f>
        <v>464280684.56999999</v>
      </c>
      <c r="H114" s="192">
        <f>SUM('SGTO POAI VIGENCIA 2021'!BF114:BF119)</f>
        <v>464280684.56999999</v>
      </c>
      <c r="I114" s="192"/>
      <c r="J114" s="192"/>
      <c r="K114" s="192"/>
      <c r="L114" s="192">
        <f t="shared" si="51"/>
        <v>1235631389</v>
      </c>
      <c r="M114" s="192">
        <f t="shared" si="51"/>
        <v>464280684.56999999</v>
      </c>
      <c r="N114" s="192">
        <f t="shared" si="51"/>
        <v>464280684.56999999</v>
      </c>
    </row>
    <row r="115" spans="1:35" s="27" customFormat="1" ht="59.25" customHeight="1" x14ac:dyDescent="0.2">
      <c r="A115" s="54"/>
      <c r="B115" s="44"/>
      <c r="C115" s="44"/>
      <c r="D115" s="44" t="s">
        <v>598</v>
      </c>
      <c r="E115" s="188" t="s">
        <v>599</v>
      </c>
      <c r="F115" s="192">
        <f>SUM('SGTO POAI VIGENCIA 2021'!BD120)</f>
        <v>120000000</v>
      </c>
      <c r="G115" s="192">
        <f>SUM('SGTO POAI VIGENCIA 2021'!BE120)</f>
        <v>52835333</v>
      </c>
      <c r="H115" s="192">
        <f>SUM('SGTO POAI VIGENCIA 2021'!BF120)</f>
        <v>52835333</v>
      </c>
      <c r="I115" s="192"/>
      <c r="J115" s="192"/>
      <c r="K115" s="192"/>
      <c r="L115" s="192">
        <f t="shared" si="51"/>
        <v>120000000</v>
      </c>
      <c r="M115" s="192">
        <f t="shared" si="51"/>
        <v>52835333</v>
      </c>
      <c r="N115" s="192">
        <f t="shared" si="51"/>
        <v>52835333</v>
      </c>
    </row>
    <row r="116" spans="1:35" s="27" customFormat="1" ht="51" customHeight="1" x14ac:dyDescent="0.2">
      <c r="A116" s="54"/>
      <c r="B116" s="44"/>
      <c r="C116" s="44"/>
      <c r="D116" s="44">
        <v>3205</v>
      </c>
      <c r="E116" s="188" t="s">
        <v>208</v>
      </c>
      <c r="F116" s="192">
        <f>SUM('SGTO POAI VIGENCIA 2021'!BD121:BD123)</f>
        <v>82000000</v>
      </c>
      <c r="G116" s="192">
        <f>SUM('SGTO POAI VIGENCIA 2021'!BE121:BE123)</f>
        <v>0</v>
      </c>
      <c r="H116" s="192">
        <f>SUM('SGTO POAI VIGENCIA 2021'!BF121:BF123)</f>
        <v>0</v>
      </c>
      <c r="I116" s="192"/>
      <c r="J116" s="192"/>
      <c r="K116" s="192"/>
      <c r="L116" s="192">
        <f t="shared" si="51"/>
        <v>82000000</v>
      </c>
      <c r="M116" s="192">
        <f t="shared" si="51"/>
        <v>0</v>
      </c>
      <c r="N116" s="192">
        <f t="shared" si="51"/>
        <v>0</v>
      </c>
    </row>
    <row r="117" spans="1:35" s="27" customFormat="1" ht="51.75" customHeight="1" x14ac:dyDescent="0.2">
      <c r="A117" s="54"/>
      <c r="B117" s="44"/>
      <c r="C117" s="44"/>
      <c r="D117" s="44" t="s">
        <v>617</v>
      </c>
      <c r="E117" s="188" t="s">
        <v>618</v>
      </c>
      <c r="F117" s="192">
        <f>SUM('SGTO POAI VIGENCIA 2021'!BD124:BD126)</f>
        <v>118000000</v>
      </c>
      <c r="G117" s="192">
        <f>SUM('SGTO POAI VIGENCIA 2021'!BE124:BE126)</f>
        <v>9535000</v>
      </c>
      <c r="H117" s="192">
        <f>SUM('SGTO POAI VIGENCIA 2021'!BF124:BF126)</f>
        <v>9535000</v>
      </c>
      <c r="I117" s="192"/>
      <c r="J117" s="192"/>
      <c r="K117" s="192"/>
      <c r="L117" s="192">
        <f t="shared" si="51"/>
        <v>118000000</v>
      </c>
      <c r="M117" s="192">
        <f t="shared" si="51"/>
        <v>9535000</v>
      </c>
      <c r="N117" s="192">
        <f t="shared" si="51"/>
        <v>9535000</v>
      </c>
    </row>
    <row r="118" spans="1:35" s="7" customFormat="1" x14ac:dyDescent="0.2">
      <c r="A118" s="36"/>
      <c r="B118" s="93"/>
      <c r="C118" s="93"/>
      <c r="D118" s="93"/>
      <c r="E118" s="97"/>
      <c r="F118" s="94"/>
      <c r="G118" s="29"/>
      <c r="H118" s="14"/>
      <c r="I118" s="14"/>
      <c r="J118" s="14"/>
      <c r="K118" s="14"/>
      <c r="L118" s="35"/>
    </row>
    <row r="119" spans="1:35" s="7" customFormat="1" ht="24" customHeight="1" x14ac:dyDescent="0.2">
      <c r="A119" s="617" t="s">
        <v>4</v>
      </c>
      <c r="B119" s="602" t="s">
        <v>5</v>
      </c>
      <c r="C119" s="602" t="s">
        <v>6</v>
      </c>
      <c r="D119" s="602" t="s">
        <v>1355</v>
      </c>
      <c r="E119" s="603" t="s">
        <v>7</v>
      </c>
      <c r="F119" s="607" t="s">
        <v>1356</v>
      </c>
      <c r="G119" s="605"/>
      <c r="H119" s="616"/>
      <c r="I119" s="14"/>
      <c r="J119" s="14"/>
      <c r="K119" s="14"/>
      <c r="L119" s="35"/>
    </row>
    <row r="120" spans="1:35" s="7" customFormat="1" ht="24" customHeight="1" x14ac:dyDescent="0.2">
      <c r="A120" s="618"/>
      <c r="B120" s="602"/>
      <c r="C120" s="602"/>
      <c r="D120" s="602"/>
      <c r="E120" s="603"/>
      <c r="F120" s="447" t="s">
        <v>1641</v>
      </c>
      <c r="G120" s="447" t="s">
        <v>1490</v>
      </c>
      <c r="H120" s="447" t="s">
        <v>1491</v>
      </c>
      <c r="I120" s="14"/>
      <c r="J120" s="14"/>
      <c r="K120" s="14"/>
      <c r="L120" s="35"/>
    </row>
    <row r="121" spans="1:35" ht="24" customHeight="1" x14ac:dyDescent="0.2">
      <c r="A121" s="41" t="s">
        <v>633</v>
      </c>
      <c r="B121" s="467"/>
      <c r="C121" s="467"/>
      <c r="D121" s="467"/>
      <c r="E121" s="468"/>
      <c r="F121" s="406">
        <f t="shared" ref="F121:H122" si="52">F122</f>
        <v>1177000000</v>
      </c>
      <c r="G121" s="406">
        <f t="shared" si="52"/>
        <v>1175258655.9299998</v>
      </c>
      <c r="H121" s="406">
        <f t="shared" si="52"/>
        <v>1175258655.9299998</v>
      </c>
    </row>
    <row r="122" spans="1:35" ht="24" customHeight="1" x14ac:dyDescent="0.2">
      <c r="A122" s="49"/>
      <c r="B122" s="450">
        <v>4</v>
      </c>
      <c r="C122" s="451" t="s">
        <v>37</v>
      </c>
      <c r="D122" s="451"/>
      <c r="E122" s="452"/>
      <c r="F122" s="453">
        <f t="shared" si="52"/>
        <v>1177000000</v>
      </c>
      <c r="G122" s="453">
        <f t="shared" si="52"/>
        <v>1175258655.9299998</v>
      </c>
      <c r="H122" s="453">
        <f t="shared" si="52"/>
        <v>1175258655.9299998</v>
      </c>
    </row>
    <row r="123" spans="1:35" ht="24" customHeight="1" x14ac:dyDescent="0.2">
      <c r="A123" s="49"/>
      <c r="B123" s="55"/>
      <c r="C123" s="422">
        <v>45</v>
      </c>
      <c r="D123" s="413" t="s">
        <v>38</v>
      </c>
      <c r="E123" s="414"/>
      <c r="F123" s="415">
        <f>SUM(F124:F125)</f>
        <v>1177000000</v>
      </c>
      <c r="G123" s="415">
        <f>SUM(G124:G125)</f>
        <v>1175258655.9299998</v>
      </c>
      <c r="H123" s="415">
        <f>SUM(H124:H125)</f>
        <v>1175258655.9299998</v>
      </c>
    </row>
    <row r="124" spans="1:35" s="211" customFormat="1" ht="79.5" customHeight="1" x14ac:dyDescent="0.25">
      <c r="A124" s="229"/>
      <c r="B124" s="44"/>
      <c r="C124" s="44"/>
      <c r="D124" s="44">
        <v>4599</v>
      </c>
      <c r="E124" s="188" t="s">
        <v>634</v>
      </c>
      <c r="F124" s="192">
        <f>SUM('SGTO POAI VIGENCIA 2021'!BP127:BP128)</f>
        <v>1032712500.02</v>
      </c>
      <c r="G124" s="192">
        <f>SUM('SGTO POAI VIGENCIA 2021'!BQ127:BQ128)</f>
        <v>1030971155.9499999</v>
      </c>
      <c r="H124" s="192">
        <f>SUM('SGTO POAI VIGENCIA 2021'!BR127:BR128)</f>
        <v>1030971155.9499999</v>
      </c>
      <c r="L124" s="232"/>
    </row>
    <row r="125" spans="1:35" s="27" customFormat="1" ht="66" customHeight="1" x14ac:dyDescent="0.2">
      <c r="A125" s="54"/>
      <c r="B125" s="44"/>
      <c r="C125" s="44"/>
      <c r="D125" s="44">
        <v>4502</v>
      </c>
      <c r="E125" s="188" t="s">
        <v>60</v>
      </c>
      <c r="F125" s="124">
        <f>SUM('SGTO POAI VIGENCIA 2021'!BP129)</f>
        <v>144287499.97999999</v>
      </c>
      <c r="G125" s="124">
        <f>SUM('SGTO POAI VIGENCIA 2021'!BQ129)</f>
        <v>144287499.97999999</v>
      </c>
      <c r="H125" s="124">
        <f>SUM('SGTO POAI VIGENCIA 2021'!BR129)</f>
        <v>144287499.97999999</v>
      </c>
      <c r="L125" s="34"/>
      <c r="M125" s="63"/>
      <c r="N125" s="63"/>
      <c r="O125" s="63"/>
      <c r="P125" s="63"/>
      <c r="Q125" s="63"/>
      <c r="R125" s="63"/>
      <c r="S125" s="63"/>
    </row>
    <row r="126" spans="1:35" s="7" customFormat="1" x14ac:dyDescent="0.2">
      <c r="A126" s="36"/>
      <c r="B126" s="93"/>
      <c r="C126" s="93"/>
      <c r="D126" s="93"/>
      <c r="E126" s="97"/>
      <c r="F126" s="94"/>
      <c r="G126" s="29"/>
      <c r="H126" s="14"/>
      <c r="I126" s="14"/>
      <c r="J126" s="14"/>
      <c r="K126" s="14"/>
      <c r="L126" s="35"/>
      <c r="M126" s="64"/>
      <c r="N126" s="64"/>
      <c r="O126" s="64"/>
      <c r="P126" s="64"/>
      <c r="Q126" s="64"/>
      <c r="R126" s="64"/>
      <c r="S126" s="64"/>
    </row>
    <row r="127" spans="1:35" s="7" customFormat="1" ht="24" customHeight="1" x14ac:dyDescent="0.2">
      <c r="A127" s="602" t="s">
        <v>4</v>
      </c>
      <c r="B127" s="602" t="s">
        <v>5</v>
      </c>
      <c r="C127" s="602" t="s">
        <v>6</v>
      </c>
      <c r="D127" s="602" t="s">
        <v>1355</v>
      </c>
      <c r="E127" s="603" t="s">
        <v>7</v>
      </c>
      <c r="F127" s="608" t="s">
        <v>1363</v>
      </c>
      <c r="G127" s="600"/>
      <c r="H127" s="601"/>
      <c r="I127" s="599" t="s">
        <v>1364</v>
      </c>
      <c r="J127" s="600"/>
      <c r="K127" s="601"/>
      <c r="L127" s="599" t="s">
        <v>1365</v>
      </c>
      <c r="M127" s="600"/>
      <c r="N127" s="601"/>
      <c r="O127" s="599" t="s">
        <v>1366</v>
      </c>
      <c r="P127" s="600"/>
      <c r="Q127" s="600"/>
      <c r="R127" s="449"/>
      <c r="S127" s="588" t="s">
        <v>1356</v>
      </c>
      <c r="T127" s="588"/>
      <c r="U127" s="588"/>
      <c r="V127" s="588" t="s">
        <v>1501</v>
      </c>
      <c r="W127" s="588"/>
      <c r="X127" s="588"/>
      <c r="Y127" s="588" t="s">
        <v>1555</v>
      </c>
      <c r="Z127" s="588"/>
      <c r="AA127" s="588"/>
      <c r="AB127" s="588" t="s">
        <v>12</v>
      </c>
      <c r="AC127" s="588"/>
      <c r="AD127" s="588"/>
      <c r="AE127" s="65"/>
      <c r="AF127" s="65"/>
      <c r="AG127" s="65"/>
      <c r="AH127" s="65"/>
      <c r="AI127" s="65"/>
    </row>
    <row r="128" spans="1:35" s="7" customFormat="1" ht="24" customHeight="1" x14ac:dyDescent="0.2">
      <c r="A128" s="602"/>
      <c r="B128" s="602"/>
      <c r="C128" s="602"/>
      <c r="D128" s="602"/>
      <c r="E128" s="603"/>
      <c r="F128" s="447" t="s">
        <v>1641</v>
      </c>
      <c r="G128" s="447" t="s">
        <v>1490</v>
      </c>
      <c r="H128" s="447" t="s">
        <v>1491</v>
      </c>
      <c r="I128" s="447" t="s">
        <v>1641</v>
      </c>
      <c r="J128" s="447" t="s">
        <v>1490</v>
      </c>
      <c r="K128" s="447" t="s">
        <v>1491</v>
      </c>
      <c r="L128" s="447" t="s">
        <v>1641</v>
      </c>
      <c r="M128" s="447" t="s">
        <v>1490</v>
      </c>
      <c r="N128" s="447" t="s">
        <v>1491</v>
      </c>
      <c r="O128" s="447" t="s">
        <v>1641</v>
      </c>
      <c r="P128" s="447" t="s">
        <v>1490</v>
      </c>
      <c r="Q128" s="447" t="s">
        <v>1491</v>
      </c>
      <c r="R128" s="447"/>
      <c r="S128" s="447" t="s">
        <v>1641</v>
      </c>
      <c r="T128" s="447" t="s">
        <v>1490</v>
      </c>
      <c r="U128" s="447" t="s">
        <v>1491</v>
      </c>
      <c r="V128" s="447" t="s">
        <v>1641</v>
      </c>
      <c r="W128" s="447" t="s">
        <v>1490</v>
      </c>
      <c r="X128" s="447" t="s">
        <v>1491</v>
      </c>
      <c r="Y128" s="447" t="s">
        <v>1641</v>
      </c>
      <c r="Z128" s="447" t="s">
        <v>1490</v>
      </c>
      <c r="AA128" s="447" t="s">
        <v>1491</v>
      </c>
      <c r="AB128" s="447" t="s">
        <v>1641</v>
      </c>
      <c r="AC128" s="447" t="s">
        <v>1490</v>
      </c>
      <c r="AD128" s="447" t="s">
        <v>1491</v>
      </c>
      <c r="AE128" s="65"/>
      <c r="AF128" s="65"/>
      <c r="AG128" s="65"/>
      <c r="AH128" s="65"/>
      <c r="AI128" s="65"/>
    </row>
    <row r="129" spans="1:30" ht="24" customHeight="1" x14ac:dyDescent="0.2">
      <c r="A129" s="466" t="s">
        <v>651</v>
      </c>
      <c r="B129" s="467"/>
      <c r="C129" s="467"/>
      <c r="D129" s="467"/>
      <c r="E129" s="468"/>
      <c r="F129" s="406">
        <f t="shared" ref="F129:Q129" si="53">F130+F134</f>
        <v>1575738582.6600001</v>
      </c>
      <c r="G129" s="406">
        <f t="shared" si="53"/>
        <v>1500367376.7800002</v>
      </c>
      <c r="H129" s="406">
        <f t="shared" si="53"/>
        <v>1500367376.7800002</v>
      </c>
      <c r="I129" s="406">
        <f t="shared" si="53"/>
        <v>137945793424.22</v>
      </c>
      <c r="J129" s="406">
        <f t="shared" si="53"/>
        <v>136497820334.14999</v>
      </c>
      <c r="K129" s="406">
        <f t="shared" si="53"/>
        <v>136497820334.14999</v>
      </c>
      <c r="L129" s="406">
        <f t="shared" si="53"/>
        <v>28315024554</v>
      </c>
      <c r="M129" s="406">
        <f t="shared" si="53"/>
        <v>28315024554</v>
      </c>
      <c r="N129" s="406">
        <f t="shared" si="53"/>
        <v>28315024554</v>
      </c>
      <c r="O129" s="406">
        <f t="shared" si="53"/>
        <v>12544566918.389999</v>
      </c>
      <c r="P129" s="406">
        <f t="shared" si="53"/>
        <v>10751473890</v>
      </c>
      <c r="Q129" s="406">
        <f t="shared" si="53"/>
        <v>10751473890</v>
      </c>
      <c r="R129" s="471"/>
      <c r="S129" s="471">
        <f t="shared" ref="S129:AD129" si="54">S130+S134</f>
        <v>9499634437.2200012</v>
      </c>
      <c r="T129" s="471">
        <f t="shared" si="54"/>
        <v>8779807673.2200012</v>
      </c>
      <c r="U129" s="471">
        <f t="shared" si="54"/>
        <v>8779807673.2200012</v>
      </c>
      <c r="V129" s="471">
        <f t="shared" si="54"/>
        <v>3316642291.1900001</v>
      </c>
      <c r="W129" s="471">
        <f t="shared" si="54"/>
        <v>2997838179.8000002</v>
      </c>
      <c r="X129" s="471">
        <f t="shared" si="54"/>
        <v>2997838179.8000002</v>
      </c>
      <c r="Y129" s="471">
        <f t="shared" si="54"/>
        <v>62.1</v>
      </c>
      <c r="Z129" s="471">
        <f t="shared" si="54"/>
        <v>0</v>
      </c>
      <c r="AA129" s="471">
        <f t="shared" si="54"/>
        <v>0</v>
      </c>
      <c r="AB129" s="406">
        <f t="shared" si="54"/>
        <v>193197400269.78003</v>
      </c>
      <c r="AC129" s="406">
        <f t="shared" si="54"/>
        <v>188842332007.94998</v>
      </c>
      <c r="AD129" s="406">
        <f t="shared" si="54"/>
        <v>188842332007.94998</v>
      </c>
    </row>
    <row r="130" spans="1:30" ht="24" customHeight="1" x14ac:dyDescent="0.2">
      <c r="A130" s="49"/>
      <c r="B130" s="450">
        <v>1</v>
      </c>
      <c r="C130" s="451" t="s">
        <v>136</v>
      </c>
      <c r="D130" s="451"/>
      <c r="E130" s="452"/>
      <c r="F130" s="453">
        <f t="shared" ref="F130:AD130" si="55">F131</f>
        <v>1575738582.6600001</v>
      </c>
      <c r="G130" s="453">
        <f t="shared" si="55"/>
        <v>1500367376.7800002</v>
      </c>
      <c r="H130" s="453">
        <f t="shared" si="55"/>
        <v>1500367376.7800002</v>
      </c>
      <c r="I130" s="453">
        <f t="shared" si="55"/>
        <v>137945793424.22</v>
      </c>
      <c r="J130" s="453">
        <f t="shared" si="55"/>
        <v>136497820334.14999</v>
      </c>
      <c r="K130" s="453">
        <f t="shared" si="55"/>
        <v>136497820334.14999</v>
      </c>
      <c r="L130" s="453">
        <f t="shared" si="55"/>
        <v>28315024554</v>
      </c>
      <c r="M130" s="453">
        <f t="shared" si="55"/>
        <v>28315024554</v>
      </c>
      <c r="N130" s="453">
        <f t="shared" si="55"/>
        <v>28315024554</v>
      </c>
      <c r="O130" s="453">
        <f t="shared" si="55"/>
        <v>12544566918.389999</v>
      </c>
      <c r="P130" s="453">
        <f t="shared" si="55"/>
        <v>10751473890</v>
      </c>
      <c r="Q130" s="453">
        <f t="shared" si="55"/>
        <v>10751473890</v>
      </c>
      <c r="R130" s="453"/>
      <c r="S130" s="453">
        <f t="shared" si="55"/>
        <v>9492134437.2200012</v>
      </c>
      <c r="T130" s="453">
        <f t="shared" si="55"/>
        <v>8772307673.2200012</v>
      </c>
      <c r="U130" s="453">
        <f t="shared" si="55"/>
        <v>8772307673.2200012</v>
      </c>
      <c r="V130" s="453">
        <f t="shared" si="55"/>
        <v>3316642291.1900001</v>
      </c>
      <c r="W130" s="453">
        <f t="shared" si="55"/>
        <v>2997838179.8000002</v>
      </c>
      <c r="X130" s="453">
        <f t="shared" si="55"/>
        <v>2997838179.8000002</v>
      </c>
      <c r="Y130" s="453">
        <f t="shared" si="55"/>
        <v>62.1</v>
      </c>
      <c r="Z130" s="453">
        <f t="shared" si="55"/>
        <v>0</v>
      </c>
      <c r="AA130" s="453">
        <f t="shared" si="55"/>
        <v>0</v>
      </c>
      <c r="AB130" s="453">
        <f t="shared" si="55"/>
        <v>193189900269.78003</v>
      </c>
      <c r="AC130" s="453">
        <f t="shared" si="55"/>
        <v>188834832007.94998</v>
      </c>
      <c r="AD130" s="453">
        <f t="shared" si="55"/>
        <v>188834832007.94998</v>
      </c>
    </row>
    <row r="131" spans="1:30" ht="24" customHeight="1" x14ac:dyDescent="0.2">
      <c r="A131" s="49"/>
      <c r="B131" s="55"/>
      <c r="C131" s="422">
        <v>22</v>
      </c>
      <c r="D131" s="413" t="s">
        <v>156</v>
      </c>
      <c r="E131" s="414"/>
      <c r="F131" s="415">
        <f t="shared" ref="F131:Q131" si="56">SUM(F132:F133)</f>
        <v>1575738582.6600001</v>
      </c>
      <c r="G131" s="415">
        <f t="shared" si="56"/>
        <v>1500367376.7800002</v>
      </c>
      <c r="H131" s="415">
        <f t="shared" si="56"/>
        <v>1500367376.7800002</v>
      </c>
      <c r="I131" s="415">
        <f t="shared" si="56"/>
        <v>137945793424.22</v>
      </c>
      <c r="J131" s="415">
        <f t="shared" si="56"/>
        <v>136497820334.14999</v>
      </c>
      <c r="K131" s="415">
        <f t="shared" si="56"/>
        <v>136497820334.14999</v>
      </c>
      <c r="L131" s="415">
        <f t="shared" si="56"/>
        <v>28315024554</v>
      </c>
      <c r="M131" s="415">
        <f t="shared" si="56"/>
        <v>28315024554</v>
      </c>
      <c r="N131" s="415">
        <f t="shared" si="56"/>
        <v>28315024554</v>
      </c>
      <c r="O131" s="415">
        <f t="shared" si="56"/>
        <v>12544566918.389999</v>
      </c>
      <c r="P131" s="415">
        <f t="shared" si="56"/>
        <v>10751473890</v>
      </c>
      <c r="Q131" s="415">
        <f t="shared" si="56"/>
        <v>10751473890</v>
      </c>
      <c r="R131" s="415"/>
      <c r="S131" s="415">
        <f t="shared" ref="S131:AD131" si="57">SUM(S132:S133)</f>
        <v>9492134437.2200012</v>
      </c>
      <c r="T131" s="415">
        <f t="shared" si="57"/>
        <v>8772307673.2200012</v>
      </c>
      <c r="U131" s="415">
        <f t="shared" si="57"/>
        <v>8772307673.2200012</v>
      </c>
      <c r="V131" s="415">
        <f t="shared" si="57"/>
        <v>3316642291.1900001</v>
      </c>
      <c r="W131" s="415">
        <f t="shared" si="57"/>
        <v>2997838179.8000002</v>
      </c>
      <c r="X131" s="415">
        <f t="shared" si="57"/>
        <v>2997838179.8000002</v>
      </c>
      <c r="Y131" s="415">
        <f t="shared" si="57"/>
        <v>62.1</v>
      </c>
      <c r="Z131" s="415">
        <f t="shared" si="57"/>
        <v>0</v>
      </c>
      <c r="AA131" s="415">
        <f t="shared" si="57"/>
        <v>0</v>
      </c>
      <c r="AB131" s="415">
        <f t="shared" si="57"/>
        <v>193189900269.78003</v>
      </c>
      <c r="AC131" s="415">
        <f t="shared" si="57"/>
        <v>188834832007.94998</v>
      </c>
      <c r="AD131" s="415">
        <f t="shared" si="57"/>
        <v>188834832007.94998</v>
      </c>
    </row>
    <row r="132" spans="1:30" s="27" customFormat="1" ht="56.25" customHeight="1" x14ac:dyDescent="0.2">
      <c r="A132" s="54"/>
      <c r="B132" s="44"/>
      <c r="C132" s="44"/>
      <c r="D132" s="56">
        <v>2201</v>
      </c>
      <c r="E132" s="188" t="s">
        <v>277</v>
      </c>
      <c r="F132" s="124">
        <f>SUM('SGTO POAI VIGENCIA 2021'!AI130:AI163)</f>
        <v>1573920278.6600001</v>
      </c>
      <c r="G132" s="124">
        <f>SUM('SGTO POAI VIGENCIA 2021'!AJ130:AJ163)</f>
        <v>1498549072.7800002</v>
      </c>
      <c r="H132" s="124">
        <f>SUM('SGTO POAI VIGENCIA 2021'!AK130:AK163)</f>
        <v>1498549072.7800002</v>
      </c>
      <c r="I132" s="124">
        <f>SUM('SGTO POAI VIGENCIA 2021'!AR130:AR163)</f>
        <v>137945793424.22</v>
      </c>
      <c r="J132" s="124">
        <f>SUM('SGTO POAI VIGENCIA 2021'!AS130:AS163)</f>
        <v>136497820334.14999</v>
      </c>
      <c r="K132" s="124">
        <f>SUM('SGTO POAI VIGENCIA 2021'!AT130:AT163)</f>
        <v>136497820334.14999</v>
      </c>
      <c r="L132" s="124">
        <f>SUM('SGTO POAI VIGENCIA 2021'!AU130:AU163)</f>
        <v>28315024554</v>
      </c>
      <c r="M132" s="124">
        <f>SUM('SGTO POAI VIGENCIA 2021'!AV130:AV163)</f>
        <v>28315024554</v>
      </c>
      <c r="N132" s="124">
        <f>SUM('SGTO POAI VIGENCIA 2021'!AW130:AW163)</f>
        <v>28315024554</v>
      </c>
      <c r="O132" s="124">
        <f>SUM('SGTO POAI VIGENCIA 2021'!AX130:AX163)</f>
        <v>12544566918.389999</v>
      </c>
      <c r="P132" s="124">
        <f>SUM('SGTO POAI VIGENCIA 2021'!AY130:AY163)</f>
        <v>10751473890</v>
      </c>
      <c r="Q132" s="124">
        <f>SUM('SGTO POAI VIGENCIA 2021'!AZ130:AZ163)</f>
        <v>10751473890</v>
      </c>
      <c r="R132" s="254"/>
      <c r="S132" s="254">
        <f>SUM('SGTO POAI VIGENCIA 2021'!BD130:BD163)</f>
        <v>9054894489.2200012</v>
      </c>
      <c r="T132" s="254">
        <f>SUM('SGTO POAI VIGENCIA 2021'!BE130:BE163)</f>
        <v>8341545215.2200003</v>
      </c>
      <c r="U132" s="254">
        <f>SUM('SGTO POAI VIGENCIA 2021'!BF130:BF163)</f>
        <v>8341545215.2200003</v>
      </c>
      <c r="V132" s="254">
        <f>SUM('SGTO POAI VIGENCIA 2021'!BJ130:BJ163)</f>
        <v>3316642291.1900001</v>
      </c>
      <c r="W132" s="254">
        <f>SUM('SGTO POAI VIGENCIA 2021'!BK130:BK163)</f>
        <v>2997838179.8000002</v>
      </c>
      <c r="X132" s="254">
        <f>SUM('SGTO POAI VIGENCIA 2021'!BL130:BL163)</f>
        <v>2997838179.8000002</v>
      </c>
      <c r="Y132" s="254">
        <f>SUM('SGTO POAI VIGENCIA 2021'!BG130:BG163)</f>
        <v>62.1</v>
      </c>
      <c r="Z132" s="254">
        <f>SUM('SGTO POAI VIGENCIA 2021'!BH130:BH163)</f>
        <v>0</v>
      </c>
      <c r="AA132" s="254">
        <f>SUM('SGTO POAI VIGENCIA 2021'!BI130:BI163)</f>
        <v>0</v>
      </c>
      <c r="AB132" s="124">
        <f>F132+I132+L132+O132+S132+V132+Y132</f>
        <v>192750842017.78003</v>
      </c>
      <c r="AC132" s="124">
        <f>G132+J132+M132+P132+T132+W132+Z132</f>
        <v>188402251245.94998</v>
      </c>
      <c r="AD132" s="124">
        <f>H132+K132+N132+Q132+U132+X132+AA132</f>
        <v>188402251245.94998</v>
      </c>
    </row>
    <row r="133" spans="1:30" s="27" customFormat="1" ht="51" customHeight="1" x14ac:dyDescent="0.2">
      <c r="A133" s="54"/>
      <c r="B133" s="44"/>
      <c r="C133" s="44"/>
      <c r="D133" s="44">
        <v>2202</v>
      </c>
      <c r="E133" s="188" t="s">
        <v>1482</v>
      </c>
      <c r="F133" s="192">
        <f>SUM('SGTO POAI VIGENCIA 2021'!AI164)</f>
        <v>1818304</v>
      </c>
      <c r="G133" s="192">
        <f>SUM('SGTO POAI VIGENCIA 2021'!AJ164)</f>
        <v>1818304</v>
      </c>
      <c r="H133" s="192">
        <f>SUM('SGTO POAI VIGENCIA 2021'!AK164)</f>
        <v>1818304</v>
      </c>
      <c r="I133" s="124"/>
      <c r="J133" s="124"/>
      <c r="K133" s="124"/>
      <c r="L133" s="124"/>
      <c r="M133" s="124"/>
      <c r="N133" s="124"/>
      <c r="O133" s="124"/>
      <c r="P133" s="124"/>
      <c r="Q133" s="124"/>
      <c r="R133" s="254"/>
      <c r="S133" s="254">
        <f>SUM('SGTO POAI VIGENCIA 2021'!BD164)</f>
        <v>437239948</v>
      </c>
      <c r="T133" s="254">
        <f>SUM('SGTO POAI VIGENCIA 2021'!BE164)</f>
        <v>430762458</v>
      </c>
      <c r="U133" s="254">
        <f>SUM('SGTO POAI VIGENCIA 2021'!BF164)</f>
        <v>430762458</v>
      </c>
      <c r="V133" s="254"/>
      <c r="W133" s="254"/>
      <c r="X133" s="254"/>
      <c r="Y133" s="254"/>
      <c r="Z133" s="254"/>
      <c r="AA133" s="254"/>
      <c r="AB133" s="124">
        <f>F133+I133+L133+O133+S133</f>
        <v>439058252</v>
      </c>
      <c r="AC133" s="124">
        <f>G133+J133+M133+P133+T133+W133</f>
        <v>432580762</v>
      </c>
      <c r="AD133" s="124">
        <f>H133+K133+N133+Q133+U133+X133</f>
        <v>432580762</v>
      </c>
    </row>
    <row r="134" spans="1:30" ht="24" customHeight="1" x14ac:dyDescent="0.2">
      <c r="A134" s="49"/>
      <c r="B134" s="450">
        <v>2</v>
      </c>
      <c r="C134" s="451" t="s">
        <v>400</v>
      </c>
      <c r="D134" s="451"/>
      <c r="E134" s="452"/>
      <c r="F134" s="453">
        <f t="shared" ref="F134:AC135" si="58">F135</f>
        <v>0</v>
      </c>
      <c r="G134" s="453">
        <f t="shared" si="58"/>
        <v>0</v>
      </c>
      <c r="H134" s="453">
        <f t="shared" si="58"/>
        <v>0</v>
      </c>
      <c r="I134" s="453">
        <f t="shared" si="58"/>
        <v>0</v>
      </c>
      <c r="J134" s="453">
        <f t="shared" si="58"/>
        <v>0</v>
      </c>
      <c r="K134" s="453">
        <f t="shared" si="58"/>
        <v>0</v>
      </c>
      <c r="L134" s="453">
        <f t="shared" si="58"/>
        <v>0</v>
      </c>
      <c r="M134" s="453">
        <f t="shared" si="58"/>
        <v>0</v>
      </c>
      <c r="N134" s="453">
        <f t="shared" si="58"/>
        <v>0</v>
      </c>
      <c r="O134" s="453">
        <f t="shared" si="58"/>
        <v>0</v>
      </c>
      <c r="P134" s="453">
        <f t="shared" si="58"/>
        <v>0</v>
      </c>
      <c r="Q134" s="453">
        <f t="shared" si="58"/>
        <v>0</v>
      </c>
      <c r="R134" s="453"/>
      <c r="S134" s="453">
        <f t="shared" si="58"/>
        <v>7500000</v>
      </c>
      <c r="T134" s="453">
        <f t="shared" si="58"/>
        <v>7500000</v>
      </c>
      <c r="U134" s="453">
        <f t="shared" si="58"/>
        <v>7500000</v>
      </c>
      <c r="V134" s="453">
        <f t="shared" si="58"/>
        <v>0</v>
      </c>
      <c r="W134" s="453">
        <f t="shared" si="58"/>
        <v>0</v>
      </c>
      <c r="X134" s="453">
        <f t="shared" si="58"/>
        <v>0</v>
      </c>
      <c r="Y134" s="453"/>
      <c r="Z134" s="453"/>
      <c r="AA134" s="453"/>
      <c r="AB134" s="453">
        <f t="shared" si="58"/>
        <v>7500000</v>
      </c>
      <c r="AC134" s="453">
        <f t="shared" si="58"/>
        <v>7500000</v>
      </c>
      <c r="AD134" s="453">
        <f>AD135</f>
        <v>7500000</v>
      </c>
    </row>
    <row r="135" spans="1:30" ht="24" customHeight="1" x14ac:dyDescent="0.2">
      <c r="A135" s="49"/>
      <c r="B135" s="55"/>
      <c r="C135" s="422">
        <v>39</v>
      </c>
      <c r="D135" s="413" t="s">
        <v>1483</v>
      </c>
      <c r="E135" s="413"/>
      <c r="F135" s="415">
        <f t="shared" si="58"/>
        <v>0</v>
      </c>
      <c r="G135" s="415">
        <f t="shared" si="58"/>
        <v>0</v>
      </c>
      <c r="H135" s="415">
        <f t="shared" si="58"/>
        <v>0</v>
      </c>
      <c r="I135" s="415">
        <f t="shared" si="58"/>
        <v>0</v>
      </c>
      <c r="J135" s="415">
        <f t="shared" si="58"/>
        <v>0</v>
      </c>
      <c r="K135" s="415">
        <f t="shared" si="58"/>
        <v>0</v>
      </c>
      <c r="L135" s="415">
        <f t="shared" si="58"/>
        <v>0</v>
      </c>
      <c r="M135" s="415">
        <f t="shared" si="58"/>
        <v>0</v>
      </c>
      <c r="N135" s="415">
        <f t="shared" si="58"/>
        <v>0</v>
      </c>
      <c r="O135" s="415">
        <f t="shared" si="58"/>
        <v>0</v>
      </c>
      <c r="P135" s="415">
        <f t="shared" si="58"/>
        <v>0</v>
      </c>
      <c r="Q135" s="415">
        <f t="shared" si="58"/>
        <v>0</v>
      </c>
      <c r="R135" s="415"/>
      <c r="S135" s="415">
        <f t="shared" si="58"/>
        <v>7500000</v>
      </c>
      <c r="T135" s="415">
        <f t="shared" si="58"/>
        <v>7500000</v>
      </c>
      <c r="U135" s="415">
        <f t="shared" si="58"/>
        <v>7500000</v>
      </c>
      <c r="V135" s="415">
        <f t="shared" si="58"/>
        <v>0</v>
      </c>
      <c r="W135" s="415">
        <f t="shared" si="58"/>
        <v>0</v>
      </c>
      <c r="X135" s="415">
        <f t="shared" si="58"/>
        <v>0</v>
      </c>
      <c r="Y135" s="415"/>
      <c r="Z135" s="415"/>
      <c r="AA135" s="415"/>
      <c r="AB135" s="415">
        <f t="shared" si="58"/>
        <v>7500000</v>
      </c>
      <c r="AC135" s="415">
        <f>AC136</f>
        <v>7500000</v>
      </c>
      <c r="AD135" s="415">
        <f>AD136</f>
        <v>7500000</v>
      </c>
    </row>
    <row r="136" spans="1:30" s="27" customFormat="1" ht="45.75" customHeight="1" x14ac:dyDescent="0.2">
      <c r="A136" s="54"/>
      <c r="B136" s="44"/>
      <c r="C136" s="44"/>
      <c r="D136" s="44">
        <v>3904</v>
      </c>
      <c r="E136" s="188" t="s">
        <v>759</v>
      </c>
      <c r="F136" s="192">
        <f>SUM('SGTO POAI VIGENCIA 2021'!AI165)</f>
        <v>0</v>
      </c>
      <c r="G136" s="192">
        <f>SUM('SGTO POAI VIGENCIA 2021'!AJ165)</f>
        <v>0</v>
      </c>
      <c r="H136" s="192">
        <f>SUM('SGTO POAI VIGENCIA 2021'!AK165)</f>
        <v>0</v>
      </c>
      <c r="I136" s="124"/>
      <c r="J136" s="124"/>
      <c r="K136" s="124"/>
      <c r="L136" s="124"/>
      <c r="M136" s="124"/>
      <c r="N136" s="124"/>
      <c r="O136" s="124"/>
      <c r="P136" s="124"/>
      <c r="Q136" s="124"/>
      <c r="R136" s="254"/>
      <c r="S136" s="254">
        <f>SUM('SGTO POAI VIGENCIA 2021'!BD165)</f>
        <v>7500000</v>
      </c>
      <c r="T136" s="254">
        <f>SUM('SGTO POAI VIGENCIA 2021'!BE165)</f>
        <v>7500000</v>
      </c>
      <c r="U136" s="254">
        <f>SUM('SGTO POAI VIGENCIA 2021'!BF165)</f>
        <v>7500000</v>
      </c>
      <c r="V136" s="254">
        <f>'SGTO POAI VIGENCIA 2021'!BJ165</f>
        <v>0</v>
      </c>
      <c r="W136" s="254">
        <f>'SGTO POAI VIGENCIA 2021'!BK165</f>
        <v>0</v>
      </c>
      <c r="X136" s="254">
        <f>'SGTO POAI VIGENCIA 2021'!BL165</f>
        <v>0</v>
      </c>
      <c r="Y136" s="254"/>
      <c r="Z136" s="254"/>
      <c r="AA136" s="254"/>
      <c r="AB136" s="124">
        <f>F136+I136+L136+O136+S136</f>
        <v>7500000</v>
      </c>
      <c r="AC136" s="124">
        <f>G136+J136+M136+P136+T136</f>
        <v>7500000</v>
      </c>
      <c r="AD136" s="124">
        <f>H136+K136+N136+Q136+U136</f>
        <v>7500000</v>
      </c>
    </row>
    <row r="137" spans="1:30" s="7" customFormat="1" x14ac:dyDescent="0.2">
      <c r="A137" s="36"/>
      <c r="B137" s="93"/>
      <c r="C137" s="93"/>
      <c r="D137" s="93"/>
      <c r="E137" s="97"/>
      <c r="F137" s="94"/>
      <c r="G137" s="29"/>
      <c r="H137" s="14"/>
      <c r="I137" s="14"/>
      <c r="J137" s="14"/>
      <c r="K137" s="14"/>
      <c r="L137" s="35"/>
    </row>
    <row r="138" spans="1:30" ht="27.75" customHeight="1" x14ac:dyDescent="0.2">
      <c r="A138" s="602" t="s">
        <v>4</v>
      </c>
      <c r="B138" s="602" t="s">
        <v>5</v>
      </c>
      <c r="C138" s="602" t="s">
        <v>6</v>
      </c>
      <c r="D138" s="602" t="s">
        <v>1355</v>
      </c>
      <c r="E138" s="603" t="s">
        <v>7</v>
      </c>
      <c r="F138" s="600" t="s">
        <v>1502</v>
      </c>
      <c r="G138" s="600"/>
      <c r="H138" s="601"/>
      <c r="I138" s="599" t="s">
        <v>1356</v>
      </c>
      <c r="J138" s="600"/>
      <c r="K138" s="601"/>
      <c r="L138" s="599" t="s">
        <v>12</v>
      </c>
      <c r="M138" s="600"/>
      <c r="N138" s="601"/>
      <c r="O138" s="2"/>
      <c r="P138" s="31"/>
    </row>
    <row r="139" spans="1:30" ht="27.75" customHeight="1" x14ac:dyDescent="0.2">
      <c r="A139" s="602"/>
      <c r="B139" s="602"/>
      <c r="C139" s="602"/>
      <c r="D139" s="602"/>
      <c r="E139" s="603"/>
      <c r="F139" s="448" t="s">
        <v>1641</v>
      </c>
      <c r="G139" s="447" t="s">
        <v>1490</v>
      </c>
      <c r="H139" s="447" t="s">
        <v>1491</v>
      </c>
      <c r="I139" s="447" t="s">
        <v>1641</v>
      </c>
      <c r="J139" s="447" t="s">
        <v>1490</v>
      </c>
      <c r="K139" s="447" t="s">
        <v>1491</v>
      </c>
      <c r="L139" s="447" t="s">
        <v>1641</v>
      </c>
      <c r="M139" s="447" t="s">
        <v>1490</v>
      </c>
      <c r="N139" s="447" t="s">
        <v>1491</v>
      </c>
      <c r="O139" s="2"/>
      <c r="P139" s="31"/>
    </row>
    <row r="140" spans="1:30" s="7" customFormat="1" ht="24.75" customHeight="1" x14ac:dyDescent="0.2">
      <c r="A140" s="466" t="s">
        <v>767</v>
      </c>
      <c r="B140" s="467"/>
      <c r="C140" s="467"/>
      <c r="D140" s="467"/>
      <c r="E140" s="468"/>
      <c r="F140" s="470">
        <f t="shared" ref="F140:N140" si="59">F141+F150+F155</f>
        <v>4621490244.0100002</v>
      </c>
      <c r="G140" s="470">
        <f t="shared" si="59"/>
        <v>3361086793.25</v>
      </c>
      <c r="H140" s="470">
        <f t="shared" si="59"/>
        <v>3361086793.25</v>
      </c>
      <c r="I140" s="470">
        <f t="shared" si="59"/>
        <v>2293776106</v>
      </c>
      <c r="J140" s="470">
        <f t="shared" si="59"/>
        <v>2095741159.3899999</v>
      </c>
      <c r="K140" s="470">
        <f t="shared" si="59"/>
        <v>2095741159.3899999</v>
      </c>
      <c r="L140" s="470">
        <f t="shared" si="59"/>
        <v>6915266350.0100002</v>
      </c>
      <c r="M140" s="470">
        <f t="shared" si="59"/>
        <v>5456827952.6399994</v>
      </c>
      <c r="N140" s="470">
        <f t="shared" si="59"/>
        <v>5456827952.6399994</v>
      </c>
      <c r="O140" s="14"/>
      <c r="P140" s="35"/>
    </row>
    <row r="141" spans="1:30" s="7" customFormat="1" ht="20.25" customHeight="1" x14ac:dyDescent="0.2">
      <c r="A141" s="95"/>
      <c r="B141" s="450">
        <v>1</v>
      </c>
      <c r="C141" s="451" t="s">
        <v>136</v>
      </c>
      <c r="D141" s="451"/>
      <c r="E141" s="452"/>
      <c r="F141" s="453">
        <f t="shared" ref="F141:N141" si="60">F142+F144+F146</f>
        <v>4621490244.0100002</v>
      </c>
      <c r="G141" s="453">
        <f t="shared" si="60"/>
        <v>3361086793.25</v>
      </c>
      <c r="H141" s="453">
        <f t="shared" si="60"/>
        <v>3361086793.25</v>
      </c>
      <c r="I141" s="453">
        <f t="shared" si="60"/>
        <v>1760486603</v>
      </c>
      <c r="J141" s="453">
        <f t="shared" si="60"/>
        <v>1630122751.3899999</v>
      </c>
      <c r="K141" s="453">
        <f t="shared" si="60"/>
        <v>1630122751.3899999</v>
      </c>
      <c r="L141" s="453">
        <f t="shared" si="60"/>
        <v>6381976847.0100002</v>
      </c>
      <c r="M141" s="453">
        <f t="shared" si="60"/>
        <v>4991209544.6399994</v>
      </c>
      <c r="N141" s="453">
        <f t="shared" si="60"/>
        <v>4991209544.6399994</v>
      </c>
      <c r="O141" s="14"/>
      <c r="P141" s="35"/>
    </row>
    <row r="142" spans="1:30" s="7" customFormat="1" ht="20.25" customHeight="1" x14ac:dyDescent="0.2">
      <c r="A142" s="95"/>
      <c r="B142" s="55"/>
      <c r="C142" s="422">
        <v>19</v>
      </c>
      <c r="D142" s="413" t="s">
        <v>147</v>
      </c>
      <c r="E142" s="414"/>
      <c r="F142" s="415">
        <f t="shared" ref="F142:N142" si="61">F143</f>
        <v>0</v>
      </c>
      <c r="G142" s="415">
        <f t="shared" si="61"/>
        <v>0</v>
      </c>
      <c r="H142" s="415">
        <f t="shared" si="61"/>
        <v>0</v>
      </c>
      <c r="I142" s="415">
        <f t="shared" si="61"/>
        <v>170000000</v>
      </c>
      <c r="J142" s="415">
        <f t="shared" si="61"/>
        <v>165845884</v>
      </c>
      <c r="K142" s="415">
        <f t="shared" si="61"/>
        <v>165845884</v>
      </c>
      <c r="L142" s="415">
        <f t="shared" si="61"/>
        <v>170000000</v>
      </c>
      <c r="M142" s="415">
        <f t="shared" si="61"/>
        <v>165845884</v>
      </c>
      <c r="N142" s="415">
        <f t="shared" si="61"/>
        <v>165845884</v>
      </c>
      <c r="O142" s="14"/>
      <c r="P142" s="35"/>
    </row>
    <row r="143" spans="1:30" s="28" customFormat="1" ht="32.25" customHeight="1" x14ac:dyDescent="0.2">
      <c r="A143" s="96"/>
      <c r="B143" s="44"/>
      <c r="C143" s="44"/>
      <c r="D143" s="44">
        <v>1905</v>
      </c>
      <c r="E143" s="47" t="s">
        <v>768</v>
      </c>
      <c r="F143" s="192"/>
      <c r="G143" s="192"/>
      <c r="H143" s="192"/>
      <c r="I143" s="192">
        <f>SUM('SGTO POAI VIGENCIA 2021'!BD166:BD167)</f>
        <v>170000000</v>
      </c>
      <c r="J143" s="192">
        <f>SUM('SGTO POAI VIGENCIA 2021'!BE166:BE167)</f>
        <v>165845884</v>
      </c>
      <c r="K143" s="192">
        <f>SUM('SGTO POAI VIGENCIA 2021'!BF166:BF167)</f>
        <v>165845884</v>
      </c>
      <c r="L143" s="192">
        <f>F143+I143</f>
        <v>170000000</v>
      </c>
      <c r="M143" s="192">
        <f>G143+J143</f>
        <v>165845884</v>
      </c>
      <c r="N143" s="192">
        <f>H143+K143</f>
        <v>165845884</v>
      </c>
      <c r="P143" s="37"/>
    </row>
    <row r="144" spans="1:30" s="28" customFormat="1" ht="32.25" customHeight="1" x14ac:dyDescent="0.2">
      <c r="A144" s="96"/>
      <c r="B144" s="55"/>
      <c r="C144" s="422">
        <v>33</v>
      </c>
      <c r="D144" s="418" t="s">
        <v>166</v>
      </c>
      <c r="E144" s="419"/>
      <c r="F144" s="415">
        <f t="shared" ref="F144:N144" si="62">F145</f>
        <v>0</v>
      </c>
      <c r="G144" s="415">
        <f t="shared" si="62"/>
        <v>0</v>
      </c>
      <c r="H144" s="415">
        <f t="shared" si="62"/>
        <v>0</v>
      </c>
      <c r="I144" s="415">
        <f t="shared" si="62"/>
        <v>14250000</v>
      </c>
      <c r="J144" s="415">
        <f t="shared" si="62"/>
        <v>14250000</v>
      </c>
      <c r="K144" s="415">
        <f t="shared" si="62"/>
        <v>14250000</v>
      </c>
      <c r="L144" s="415">
        <f t="shared" si="62"/>
        <v>14250000</v>
      </c>
      <c r="M144" s="415">
        <f t="shared" si="62"/>
        <v>14250000</v>
      </c>
      <c r="N144" s="415">
        <f t="shared" si="62"/>
        <v>14250000</v>
      </c>
      <c r="P144" s="37"/>
    </row>
    <row r="145" spans="1:27" s="28" customFormat="1" ht="48" customHeight="1" x14ac:dyDescent="0.2">
      <c r="A145" s="96"/>
      <c r="B145" s="44"/>
      <c r="C145" s="44"/>
      <c r="D145" s="44">
        <v>3301</v>
      </c>
      <c r="E145" s="188" t="s">
        <v>167</v>
      </c>
      <c r="F145" s="192"/>
      <c r="G145" s="192"/>
      <c r="H145" s="192"/>
      <c r="I145" s="192">
        <f>'SGTO POAI VIGENCIA 2021'!BD168</f>
        <v>14250000</v>
      </c>
      <c r="J145" s="192">
        <f>'SGTO POAI VIGENCIA 2021'!BE168</f>
        <v>14250000</v>
      </c>
      <c r="K145" s="192">
        <f>'SGTO POAI VIGENCIA 2021'!BF168</f>
        <v>14250000</v>
      </c>
      <c r="L145" s="192">
        <f>F145+I145</f>
        <v>14250000</v>
      </c>
      <c r="M145" s="192">
        <f>G145+J145</f>
        <v>14250000</v>
      </c>
      <c r="N145" s="192">
        <f>H145+K145</f>
        <v>14250000</v>
      </c>
      <c r="P145" s="37"/>
    </row>
    <row r="146" spans="1:27" s="28" customFormat="1" ht="28.5" customHeight="1" x14ac:dyDescent="0.2">
      <c r="A146" s="96"/>
      <c r="B146" s="55"/>
      <c r="C146" s="422">
        <v>41</v>
      </c>
      <c r="D146" s="413" t="s">
        <v>784</v>
      </c>
      <c r="E146" s="414"/>
      <c r="F146" s="415">
        <f t="shared" ref="F146:N146" si="63">SUM(F147:F149)</f>
        <v>4621490244.0100002</v>
      </c>
      <c r="G146" s="415">
        <f t="shared" si="63"/>
        <v>3361086793.25</v>
      </c>
      <c r="H146" s="415">
        <f t="shared" si="63"/>
        <v>3361086793.25</v>
      </c>
      <c r="I146" s="415">
        <f t="shared" si="63"/>
        <v>1576236603</v>
      </c>
      <c r="J146" s="415">
        <f t="shared" si="63"/>
        <v>1450026867.3899999</v>
      </c>
      <c r="K146" s="415">
        <f t="shared" si="63"/>
        <v>1450026867.3899999</v>
      </c>
      <c r="L146" s="415">
        <f t="shared" si="63"/>
        <v>6197726847.0100002</v>
      </c>
      <c r="M146" s="415">
        <f t="shared" si="63"/>
        <v>4811113660.6399994</v>
      </c>
      <c r="N146" s="415">
        <f t="shared" si="63"/>
        <v>4811113660.6399994</v>
      </c>
      <c r="P146" s="37"/>
    </row>
    <row r="147" spans="1:27" s="28" customFormat="1" ht="54" customHeight="1" x14ac:dyDescent="0.2">
      <c r="A147" s="96"/>
      <c r="B147" s="44"/>
      <c r="C147" s="44"/>
      <c r="D147" s="44">
        <v>4102</v>
      </c>
      <c r="E147" s="188" t="s">
        <v>785</v>
      </c>
      <c r="F147" s="192"/>
      <c r="G147" s="192"/>
      <c r="H147" s="192"/>
      <c r="I147" s="192">
        <f>SUM('SGTO POAI VIGENCIA 2021'!BD169:BD178)</f>
        <v>1174562889</v>
      </c>
      <c r="J147" s="192">
        <f>SUM('SGTO POAI VIGENCIA 2021'!BE169:BE178)</f>
        <v>1067412570</v>
      </c>
      <c r="K147" s="192">
        <f>SUM('SGTO POAI VIGENCIA 2021'!BF169:BF178)</f>
        <v>1067412570</v>
      </c>
      <c r="L147" s="192">
        <f>F147+I147</f>
        <v>1174562889</v>
      </c>
      <c r="M147" s="192">
        <f t="shared" ref="M147:N149" si="64">G147+J147</f>
        <v>1067412570</v>
      </c>
      <c r="N147" s="192">
        <f t="shared" si="64"/>
        <v>1067412570</v>
      </c>
      <c r="P147" s="37"/>
    </row>
    <row r="148" spans="1:27" s="28" customFormat="1" ht="54" customHeight="1" x14ac:dyDescent="0.2">
      <c r="A148" s="96"/>
      <c r="B148" s="44"/>
      <c r="C148" s="44"/>
      <c r="D148" s="44">
        <v>4103</v>
      </c>
      <c r="E148" s="188" t="s">
        <v>302</v>
      </c>
      <c r="F148" s="192"/>
      <c r="G148" s="192"/>
      <c r="H148" s="192"/>
      <c r="I148" s="192">
        <f>SUM('SGTO POAI VIGENCIA 2021'!BD179:BD185)</f>
        <v>233793714</v>
      </c>
      <c r="J148" s="192">
        <f>SUM('SGTO POAI VIGENCIA 2021'!BE179:BE185)</f>
        <v>226708797.38999999</v>
      </c>
      <c r="K148" s="192">
        <f>SUM('SGTO POAI VIGENCIA 2021'!BF179:BF185)</f>
        <v>226708797.38999999</v>
      </c>
      <c r="L148" s="192">
        <f>F148+I148</f>
        <v>233793714</v>
      </c>
      <c r="M148" s="192">
        <f t="shared" si="64"/>
        <v>226708797.38999999</v>
      </c>
      <c r="N148" s="192">
        <f t="shared" si="64"/>
        <v>226708797.38999999</v>
      </c>
      <c r="P148" s="37"/>
    </row>
    <row r="149" spans="1:27" s="28" customFormat="1" ht="54" customHeight="1" x14ac:dyDescent="0.2">
      <c r="A149" s="96"/>
      <c r="B149" s="44"/>
      <c r="C149" s="44"/>
      <c r="D149" s="44">
        <v>4104</v>
      </c>
      <c r="E149" s="188" t="s">
        <v>893</v>
      </c>
      <c r="F149" s="192">
        <f>'SGTO POAI VIGENCIA 2021'!Z190</f>
        <v>4621490244.0100002</v>
      </c>
      <c r="G149" s="192">
        <f>'SGTO POAI VIGENCIA 2021'!AA190</f>
        <v>3361086793.25</v>
      </c>
      <c r="H149" s="192">
        <f>'SGTO POAI VIGENCIA 2021'!AB190</f>
        <v>3361086793.25</v>
      </c>
      <c r="I149" s="192">
        <f>SUM('SGTO POAI VIGENCIA 2021'!BD186:BD190)</f>
        <v>167880000</v>
      </c>
      <c r="J149" s="192">
        <f>SUM('SGTO POAI VIGENCIA 2021'!BE186:BE190)</f>
        <v>155905500</v>
      </c>
      <c r="K149" s="192">
        <f>SUM('SGTO POAI VIGENCIA 2021'!BF186:BF190)</f>
        <v>155905500</v>
      </c>
      <c r="L149" s="192">
        <f>F149+I149</f>
        <v>4789370244.0100002</v>
      </c>
      <c r="M149" s="192">
        <f t="shared" si="64"/>
        <v>3516992293.25</v>
      </c>
      <c r="N149" s="192">
        <f t="shared" si="64"/>
        <v>3516992293.25</v>
      </c>
      <c r="P149" s="37"/>
    </row>
    <row r="150" spans="1:27" s="7" customFormat="1" ht="20.25" customHeight="1" x14ac:dyDescent="0.2">
      <c r="A150" s="95"/>
      <c r="B150" s="450">
        <v>2</v>
      </c>
      <c r="C150" s="451" t="s">
        <v>400</v>
      </c>
      <c r="D150" s="451"/>
      <c r="E150" s="452"/>
      <c r="F150" s="453">
        <f t="shared" ref="F150:N150" si="65">F151+F153</f>
        <v>0</v>
      </c>
      <c r="G150" s="453">
        <f t="shared" si="65"/>
        <v>0</v>
      </c>
      <c r="H150" s="453">
        <f t="shared" si="65"/>
        <v>0</v>
      </c>
      <c r="I150" s="453">
        <f t="shared" si="65"/>
        <v>56195000</v>
      </c>
      <c r="J150" s="453">
        <f t="shared" si="65"/>
        <v>55005000</v>
      </c>
      <c r="K150" s="453">
        <f t="shared" si="65"/>
        <v>55005000</v>
      </c>
      <c r="L150" s="453">
        <f t="shared" si="65"/>
        <v>56195000</v>
      </c>
      <c r="M150" s="453">
        <f t="shared" si="65"/>
        <v>55005000</v>
      </c>
      <c r="N150" s="453">
        <f t="shared" si="65"/>
        <v>55005000</v>
      </c>
      <c r="O150" s="14"/>
      <c r="P150" s="35"/>
    </row>
    <row r="151" spans="1:27" s="7" customFormat="1" ht="20.25" customHeight="1" x14ac:dyDescent="0.2">
      <c r="A151" s="95"/>
      <c r="B151" s="55"/>
      <c r="C151" s="422">
        <v>17</v>
      </c>
      <c r="D151" s="413" t="s">
        <v>451</v>
      </c>
      <c r="E151" s="414"/>
      <c r="F151" s="415">
        <f t="shared" ref="F151:N151" si="66">F152</f>
        <v>0</v>
      </c>
      <c r="G151" s="415">
        <f t="shared" si="66"/>
        <v>0</v>
      </c>
      <c r="H151" s="415">
        <f t="shared" si="66"/>
        <v>0</v>
      </c>
      <c r="I151" s="415">
        <f t="shared" si="66"/>
        <v>18000000</v>
      </c>
      <c r="J151" s="415">
        <f t="shared" si="66"/>
        <v>17310000</v>
      </c>
      <c r="K151" s="415">
        <f t="shared" si="66"/>
        <v>17310000</v>
      </c>
      <c r="L151" s="415">
        <f t="shared" si="66"/>
        <v>18000000</v>
      </c>
      <c r="M151" s="415">
        <f t="shared" si="66"/>
        <v>17310000</v>
      </c>
      <c r="N151" s="415">
        <f t="shared" si="66"/>
        <v>17310000</v>
      </c>
      <c r="O151" s="14"/>
      <c r="P151" s="35"/>
    </row>
    <row r="152" spans="1:27" s="28" customFormat="1" ht="60" customHeight="1" x14ac:dyDescent="0.2">
      <c r="A152" s="96"/>
      <c r="B152" s="44"/>
      <c r="C152" s="44"/>
      <c r="D152" s="44">
        <v>1702</v>
      </c>
      <c r="E152" s="188" t="s">
        <v>452</v>
      </c>
      <c r="F152" s="192"/>
      <c r="G152" s="192"/>
      <c r="H152" s="192"/>
      <c r="I152" s="192">
        <f>'SGTO POAI VIGENCIA 2021'!BD191</f>
        <v>18000000</v>
      </c>
      <c r="J152" s="192">
        <f>'SGTO POAI VIGENCIA 2021'!BE191</f>
        <v>17310000</v>
      </c>
      <c r="K152" s="192">
        <f>'SGTO POAI VIGENCIA 2021'!BF191</f>
        <v>17310000</v>
      </c>
      <c r="L152" s="192">
        <f>F152+I152</f>
        <v>18000000</v>
      </c>
      <c r="M152" s="192">
        <f>G152+J152</f>
        <v>17310000</v>
      </c>
      <c r="N152" s="192">
        <f>H152+K152</f>
        <v>17310000</v>
      </c>
      <c r="P152" s="37"/>
    </row>
    <row r="153" spans="1:27" s="28" customFormat="1" ht="25.5" customHeight="1" x14ac:dyDescent="0.2">
      <c r="A153" s="96"/>
      <c r="B153" s="55"/>
      <c r="C153" s="422">
        <v>36</v>
      </c>
      <c r="D153" s="418" t="s">
        <v>433</v>
      </c>
      <c r="E153" s="419"/>
      <c r="F153" s="415">
        <f t="shared" ref="F153:N153" si="67">F154</f>
        <v>0</v>
      </c>
      <c r="G153" s="415">
        <f t="shared" si="67"/>
        <v>0</v>
      </c>
      <c r="H153" s="415">
        <f t="shared" si="67"/>
        <v>0</v>
      </c>
      <c r="I153" s="415">
        <f t="shared" si="67"/>
        <v>38195000</v>
      </c>
      <c r="J153" s="415">
        <f t="shared" si="67"/>
        <v>37695000</v>
      </c>
      <c r="K153" s="415">
        <f t="shared" si="67"/>
        <v>37695000</v>
      </c>
      <c r="L153" s="415">
        <f t="shared" si="67"/>
        <v>38195000</v>
      </c>
      <c r="M153" s="415">
        <f t="shared" si="67"/>
        <v>37695000</v>
      </c>
      <c r="N153" s="415">
        <f t="shared" si="67"/>
        <v>37695000</v>
      </c>
      <c r="P153" s="37"/>
    </row>
    <row r="154" spans="1:27" s="28" customFormat="1" ht="54" customHeight="1" x14ac:dyDescent="0.2">
      <c r="A154" s="96"/>
      <c r="B154" s="44"/>
      <c r="C154" s="44"/>
      <c r="D154" s="44">
        <v>3604</v>
      </c>
      <c r="E154" s="188" t="s">
        <v>932</v>
      </c>
      <c r="F154" s="192"/>
      <c r="G154" s="192"/>
      <c r="H154" s="192"/>
      <c r="I154" s="192">
        <f>'SGTO POAI VIGENCIA 2021'!BD192</f>
        <v>38195000</v>
      </c>
      <c r="J154" s="192">
        <f>'SGTO POAI VIGENCIA 2021'!BE192</f>
        <v>37695000</v>
      </c>
      <c r="K154" s="192">
        <f>'SGTO POAI VIGENCIA 2021'!BF192</f>
        <v>37695000</v>
      </c>
      <c r="L154" s="192">
        <f>F154+I154</f>
        <v>38195000</v>
      </c>
      <c r="M154" s="192">
        <f>G154+J154</f>
        <v>37695000</v>
      </c>
      <c r="N154" s="192">
        <f>H154+K154</f>
        <v>37695000</v>
      </c>
      <c r="P154" s="37"/>
    </row>
    <row r="155" spans="1:27" s="7" customFormat="1" ht="21" customHeight="1" x14ac:dyDescent="0.2">
      <c r="A155" s="95"/>
      <c r="B155" s="450">
        <v>4</v>
      </c>
      <c r="C155" s="451" t="s">
        <v>37</v>
      </c>
      <c r="D155" s="451"/>
      <c r="E155" s="452"/>
      <c r="F155" s="453">
        <f t="shared" ref="F155:N156" si="68">F156</f>
        <v>0</v>
      </c>
      <c r="G155" s="453">
        <f t="shared" si="68"/>
        <v>0</v>
      </c>
      <c r="H155" s="453">
        <f t="shared" si="68"/>
        <v>0</v>
      </c>
      <c r="I155" s="453">
        <f t="shared" si="68"/>
        <v>477094503</v>
      </c>
      <c r="J155" s="453">
        <f t="shared" si="68"/>
        <v>410613408</v>
      </c>
      <c r="K155" s="453">
        <f t="shared" si="68"/>
        <v>410613408</v>
      </c>
      <c r="L155" s="453">
        <f t="shared" si="68"/>
        <v>477094503</v>
      </c>
      <c r="M155" s="453">
        <f t="shared" si="68"/>
        <v>410613408</v>
      </c>
      <c r="N155" s="453">
        <f t="shared" si="68"/>
        <v>410613408</v>
      </c>
      <c r="O155" s="14"/>
      <c r="P155" s="35"/>
    </row>
    <row r="156" spans="1:27" s="7" customFormat="1" ht="21" customHeight="1" x14ac:dyDescent="0.2">
      <c r="A156" s="95"/>
      <c r="B156" s="55"/>
      <c r="C156" s="422">
        <v>45</v>
      </c>
      <c r="D156" s="413" t="s">
        <v>938</v>
      </c>
      <c r="E156" s="414"/>
      <c r="F156" s="415">
        <f t="shared" si="68"/>
        <v>0</v>
      </c>
      <c r="G156" s="415">
        <f t="shared" si="68"/>
        <v>0</v>
      </c>
      <c r="H156" s="415">
        <f t="shared" si="68"/>
        <v>0</v>
      </c>
      <c r="I156" s="415">
        <f t="shared" ref="I156:N156" si="69">SUM(I157:I158)</f>
        <v>477094503</v>
      </c>
      <c r="J156" s="415">
        <f t="shared" si="69"/>
        <v>410613408</v>
      </c>
      <c r="K156" s="415">
        <f t="shared" si="69"/>
        <v>410613408</v>
      </c>
      <c r="L156" s="415">
        <f t="shared" si="69"/>
        <v>477094503</v>
      </c>
      <c r="M156" s="415">
        <f t="shared" si="69"/>
        <v>410613408</v>
      </c>
      <c r="N156" s="415">
        <f t="shared" si="69"/>
        <v>410613408</v>
      </c>
      <c r="O156" s="14"/>
      <c r="P156" s="35"/>
    </row>
    <row r="157" spans="1:27" s="28" customFormat="1" ht="67.5" customHeight="1" x14ac:dyDescent="0.2">
      <c r="A157" s="96"/>
      <c r="B157" s="44"/>
      <c r="C157" s="44"/>
      <c r="D157" s="44">
        <v>4502</v>
      </c>
      <c r="E157" s="188" t="s">
        <v>60</v>
      </c>
      <c r="F157" s="192"/>
      <c r="G157" s="192"/>
      <c r="H157" s="192"/>
      <c r="I157" s="192">
        <f>SUM('SGTO POAI VIGENCIA 2021'!BD193:BD197)</f>
        <v>266000000</v>
      </c>
      <c r="J157" s="192">
        <f>SUM('SGTO POAI VIGENCIA 2021'!BE193:BE197)</f>
        <v>238134764</v>
      </c>
      <c r="K157" s="192">
        <f>SUM('SGTO POAI VIGENCIA 2021'!BF193:BF197)</f>
        <v>238134764</v>
      </c>
      <c r="L157" s="192">
        <f t="shared" ref="L157:N158" si="70">F157+I157</f>
        <v>266000000</v>
      </c>
      <c r="M157" s="192">
        <f t="shared" si="70"/>
        <v>238134764</v>
      </c>
      <c r="N157" s="192">
        <f t="shared" si="70"/>
        <v>238134764</v>
      </c>
      <c r="P157" s="37"/>
    </row>
    <row r="158" spans="1:27" s="28" customFormat="1" ht="84.75" customHeight="1" x14ac:dyDescent="0.2">
      <c r="A158" s="96"/>
      <c r="B158" s="44"/>
      <c r="C158" s="44"/>
      <c r="D158" s="44">
        <v>4599</v>
      </c>
      <c r="E158" s="187" t="s">
        <v>634</v>
      </c>
      <c r="F158" s="192">
        <f>'SGTO POAI VIGENCIA 2021'!Z193</f>
        <v>0</v>
      </c>
      <c r="G158" s="192">
        <f>'SGTO POAI VIGENCIA 2021'!AA193</f>
        <v>0</v>
      </c>
      <c r="H158" s="192">
        <f>'SGTO POAI VIGENCIA 2021'!AB193</f>
        <v>0</v>
      </c>
      <c r="I158" s="192">
        <f>SUM('SGTO POAI VIGENCIA 2021'!BD198:BD200)</f>
        <v>211094503</v>
      </c>
      <c r="J158" s="192">
        <f>SUM('SGTO POAI VIGENCIA 2021'!BE198:BE200)</f>
        <v>172478644</v>
      </c>
      <c r="K158" s="192">
        <f>SUM('SGTO POAI VIGENCIA 2021'!BF198:BF200)</f>
        <v>172478644</v>
      </c>
      <c r="L158" s="192">
        <f t="shared" si="70"/>
        <v>211094503</v>
      </c>
      <c r="M158" s="192">
        <f t="shared" si="70"/>
        <v>172478644</v>
      </c>
      <c r="N158" s="192">
        <f t="shared" si="70"/>
        <v>172478644</v>
      </c>
      <c r="P158" s="37"/>
    </row>
    <row r="159" spans="1:27" s="7" customFormat="1" x14ac:dyDescent="0.2">
      <c r="A159" s="36"/>
      <c r="B159" s="93"/>
      <c r="C159" s="93"/>
      <c r="D159" s="93"/>
      <c r="E159" s="97"/>
      <c r="F159" s="94"/>
      <c r="G159" s="29"/>
      <c r="H159" s="14"/>
      <c r="I159" s="14"/>
      <c r="J159" s="14"/>
      <c r="K159" s="14"/>
      <c r="L159" s="35"/>
    </row>
    <row r="160" spans="1:27" s="7" customFormat="1" ht="24" customHeight="1" x14ac:dyDescent="0.2">
      <c r="A160" s="602" t="s">
        <v>4</v>
      </c>
      <c r="B160" s="602" t="s">
        <v>5</v>
      </c>
      <c r="C160" s="602" t="s">
        <v>6</v>
      </c>
      <c r="D160" s="602" t="s">
        <v>1355</v>
      </c>
      <c r="E160" s="603" t="s">
        <v>7</v>
      </c>
      <c r="F160" s="600" t="s">
        <v>1367</v>
      </c>
      <c r="G160" s="600"/>
      <c r="H160" s="601"/>
      <c r="I160" s="599" t="s">
        <v>1511</v>
      </c>
      <c r="J160" s="600"/>
      <c r="K160" s="601"/>
      <c r="L160" s="599" t="s">
        <v>1666</v>
      </c>
      <c r="M160" s="600"/>
      <c r="N160" s="601"/>
      <c r="O160" s="599" t="s">
        <v>1356</v>
      </c>
      <c r="P160" s="600"/>
      <c r="Q160" s="601"/>
      <c r="R160" s="599" t="s">
        <v>1503</v>
      </c>
      <c r="S160" s="600"/>
      <c r="T160" s="601"/>
      <c r="U160" s="599" t="s">
        <v>12</v>
      </c>
      <c r="V160" s="600"/>
      <c r="W160" s="601"/>
      <c r="X160" s="66"/>
      <c r="Y160" s="67"/>
      <c r="AA160" s="66"/>
    </row>
    <row r="161" spans="1:27" s="7" customFormat="1" ht="24" customHeight="1" x14ac:dyDescent="0.2">
      <c r="A161" s="602"/>
      <c r="B161" s="602"/>
      <c r="C161" s="602"/>
      <c r="D161" s="602"/>
      <c r="E161" s="603"/>
      <c r="F161" s="448" t="s">
        <v>1641</v>
      </c>
      <c r="G161" s="447" t="s">
        <v>1490</v>
      </c>
      <c r="H161" s="447" t="s">
        <v>1491</v>
      </c>
      <c r="I161" s="447" t="s">
        <v>1641</v>
      </c>
      <c r="J161" s="447" t="s">
        <v>1490</v>
      </c>
      <c r="K161" s="447" t="s">
        <v>1491</v>
      </c>
      <c r="L161" s="447" t="s">
        <v>1641</v>
      </c>
      <c r="M161" s="447" t="s">
        <v>1490</v>
      </c>
      <c r="N161" s="447" t="s">
        <v>1491</v>
      </c>
      <c r="O161" s="447" t="s">
        <v>1641</v>
      </c>
      <c r="P161" s="447" t="s">
        <v>1490</v>
      </c>
      <c r="Q161" s="447" t="s">
        <v>1491</v>
      </c>
      <c r="R161" s="447" t="s">
        <v>1641</v>
      </c>
      <c r="S161" s="447" t="s">
        <v>1490</v>
      </c>
      <c r="T161" s="447" t="s">
        <v>1491</v>
      </c>
      <c r="U161" s="447" t="s">
        <v>1641</v>
      </c>
      <c r="V161" s="447" t="s">
        <v>1490</v>
      </c>
      <c r="W161" s="447" t="s">
        <v>1491</v>
      </c>
      <c r="X161" s="66"/>
      <c r="Y161" s="67"/>
      <c r="AA161" s="66"/>
    </row>
    <row r="162" spans="1:27" ht="24" customHeight="1" x14ac:dyDescent="0.2">
      <c r="A162" s="466" t="s">
        <v>986</v>
      </c>
      <c r="B162" s="467"/>
      <c r="C162" s="467"/>
      <c r="D162" s="467"/>
      <c r="E162" s="468"/>
      <c r="F162" s="406">
        <f t="shared" ref="F162:N163" si="71">F163</f>
        <v>7620632943.1700001</v>
      </c>
      <c r="G162" s="406">
        <f t="shared" si="71"/>
        <v>5484034494.96</v>
      </c>
      <c r="H162" s="406">
        <f t="shared" si="71"/>
        <v>5484034494.96</v>
      </c>
      <c r="I162" s="406">
        <f t="shared" si="71"/>
        <v>800000000</v>
      </c>
      <c r="J162" s="406">
        <f t="shared" si="71"/>
        <v>800000000</v>
      </c>
      <c r="K162" s="406">
        <f t="shared" si="71"/>
        <v>800000000</v>
      </c>
      <c r="L162" s="406">
        <f t="shared" si="71"/>
        <v>43392723005.519997</v>
      </c>
      <c r="M162" s="406">
        <f t="shared" si="71"/>
        <v>42321921638.82</v>
      </c>
      <c r="N162" s="406">
        <f t="shared" si="71"/>
        <v>42321921638.82</v>
      </c>
      <c r="O162" s="406">
        <f t="shared" ref="O162:W163" si="72">O163</f>
        <v>9865803402.2099991</v>
      </c>
      <c r="P162" s="406">
        <f t="shared" si="72"/>
        <v>9627453684.2099991</v>
      </c>
      <c r="Q162" s="406">
        <f t="shared" si="72"/>
        <v>9627453684.2099991</v>
      </c>
      <c r="R162" s="406">
        <f t="shared" si="72"/>
        <v>13482453015.209999</v>
      </c>
      <c r="S162" s="406">
        <f t="shared" si="72"/>
        <v>11615016599.66</v>
      </c>
      <c r="T162" s="406">
        <f t="shared" si="72"/>
        <v>11615016599.66</v>
      </c>
      <c r="U162" s="406">
        <f t="shared" si="72"/>
        <v>75161612366.109985</v>
      </c>
      <c r="V162" s="406">
        <f t="shared" si="72"/>
        <v>69848426417.649994</v>
      </c>
      <c r="W162" s="406">
        <f t="shared" si="72"/>
        <v>69848426417.649994</v>
      </c>
      <c r="Y162" s="16"/>
    </row>
    <row r="163" spans="1:27" ht="24" customHeight="1" x14ac:dyDescent="0.2">
      <c r="A163" s="49"/>
      <c r="B163" s="450">
        <v>1</v>
      </c>
      <c r="C163" s="451" t="s">
        <v>136</v>
      </c>
      <c r="D163" s="451"/>
      <c r="E163" s="452"/>
      <c r="F163" s="453">
        <f t="shared" si="71"/>
        <v>7620632943.1700001</v>
      </c>
      <c r="G163" s="453">
        <f t="shared" si="71"/>
        <v>5484034494.96</v>
      </c>
      <c r="H163" s="453">
        <f t="shared" si="71"/>
        <v>5484034494.96</v>
      </c>
      <c r="I163" s="453">
        <f t="shared" si="71"/>
        <v>800000000</v>
      </c>
      <c r="J163" s="453">
        <f t="shared" si="71"/>
        <v>800000000</v>
      </c>
      <c r="K163" s="453">
        <f t="shared" si="71"/>
        <v>800000000</v>
      </c>
      <c r="L163" s="453">
        <f t="shared" si="71"/>
        <v>43392723005.519997</v>
      </c>
      <c r="M163" s="453">
        <f t="shared" si="71"/>
        <v>42321921638.82</v>
      </c>
      <c r="N163" s="453">
        <f t="shared" si="71"/>
        <v>42321921638.82</v>
      </c>
      <c r="O163" s="453">
        <f t="shared" si="72"/>
        <v>9865803402.2099991</v>
      </c>
      <c r="P163" s="453">
        <f t="shared" si="72"/>
        <v>9627453684.2099991</v>
      </c>
      <c r="Q163" s="453">
        <f t="shared" si="72"/>
        <v>9627453684.2099991</v>
      </c>
      <c r="R163" s="453">
        <f t="shared" si="72"/>
        <v>13482453015.209999</v>
      </c>
      <c r="S163" s="453">
        <f t="shared" si="72"/>
        <v>11615016599.66</v>
      </c>
      <c r="T163" s="453">
        <f t="shared" si="72"/>
        <v>11615016599.66</v>
      </c>
      <c r="U163" s="453">
        <f>U164</f>
        <v>75161612366.109985</v>
      </c>
      <c r="V163" s="453">
        <f t="shared" si="72"/>
        <v>69848426417.649994</v>
      </c>
      <c r="W163" s="453">
        <f t="shared" si="72"/>
        <v>69848426417.649994</v>
      </c>
    </row>
    <row r="164" spans="1:27" ht="24" customHeight="1" x14ac:dyDescent="0.2">
      <c r="A164" s="49"/>
      <c r="B164" s="55"/>
      <c r="C164" s="422">
        <v>19</v>
      </c>
      <c r="D164" s="413" t="s">
        <v>147</v>
      </c>
      <c r="E164" s="414"/>
      <c r="F164" s="415">
        <f t="shared" ref="F164:W164" si="73">SUM(F165:F167)</f>
        <v>7620632943.1700001</v>
      </c>
      <c r="G164" s="415">
        <f t="shared" si="73"/>
        <v>5484034494.96</v>
      </c>
      <c r="H164" s="415">
        <f t="shared" si="73"/>
        <v>5484034494.96</v>
      </c>
      <c r="I164" s="415">
        <f t="shared" si="73"/>
        <v>800000000</v>
      </c>
      <c r="J164" s="415">
        <f t="shared" si="73"/>
        <v>800000000</v>
      </c>
      <c r="K164" s="415">
        <f t="shared" si="73"/>
        <v>800000000</v>
      </c>
      <c r="L164" s="415">
        <f t="shared" si="73"/>
        <v>43392723005.519997</v>
      </c>
      <c r="M164" s="415">
        <f t="shared" si="73"/>
        <v>42321921638.82</v>
      </c>
      <c r="N164" s="415">
        <f t="shared" si="73"/>
        <v>42321921638.82</v>
      </c>
      <c r="O164" s="415">
        <f t="shared" si="73"/>
        <v>9865803402.2099991</v>
      </c>
      <c r="P164" s="415">
        <f t="shared" si="73"/>
        <v>9627453684.2099991</v>
      </c>
      <c r="Q164" s="415">
        <f t="shared" si="73"/>
        <v>9627453684.2099991</v>
      </c>
      <c r="R164" s="415">
        <f t="shared" si="73"/>
        <v>13482453015.209999</v>
      </c>
      <c r="S164" s="415">
        <f t="shared" si="73"/>
        <v>11615016599.66</v>
      </c>
      <c r="T164" s="415">
        <f t="shared" si="73"/>
        <v>11615016599.66</v>
      </c>
      <c r="U164" s="415">
        <f t="shared" si="73"/>
        <v>75161612366.109985</v>
      </c>
      <c r="V164" s="415">
        <f t="shared" si="73"/>
        <v>69848426417.649994</v>
      </c>
      <c r="W164" s="415">
        <f t="shared" si="73"/>
        <v>69848426417.649994</v>
      </c>
    </row>
    <row r="165" spans="1:27" s="27" customFormat="1" ht="35.25" customHeight="1" x14ac:dyDescent="0.2">
      <c r="A165" s="54"/>
      <c r="B165" s="44"/>
      <c r="C165" s="44"/>
      <c r="D165" s="44">
        <v>1903</v>
      </c>
      <c r="E165" s="188" t="s">
        <v>987</v>
      </c>
      <c r="F165" s="192">
        <f>SUM('SGTO POAI VIGENCIA 2021'!AL201:AL222)</f>
        <v>1389901448</v>
      </c>
      <c r="G165" s="192">
        <f>SUM('SGTO POAI VIGENCIA 2021'!AM201:AM222)</f>
        <v>1245149958</v>
      </c>
      <c r="H165" s="192">
        <f>SUM('SGTO POAI VIGENCIA 2021'!AN201:AN222)</f>
        <v>1245149958</v>
      </c>
      <c r="I165" s="192">
        <f>SUM('SGTO POAI VIGENCIA 2021'!AI201:AI222)</f>
        <v>0</v>
      </c>
      <c r="J165" s="192">
        <f>SUM('SGTO POAI VIGENCIA 2021'!AJ201:AJ222)</f>
        <v>0</v>
      </c>
      <c r="K165" s="192">
        <f>SUM('SGTO POAI VIGENCIA 2021'!AK201:AK222)</f>
        <v>0</v>
      </c>
      <c r="L165" s="192">
        <f>SUM('SGTO POAI VIGENCIA 2021'!AO201:AO222)</f>
        <v>91081005</v>
      </c>
      <c r="M165" s="192">
        <f>SUM('SGTO POAI VIGENCIA 2021'!AP201:AP222)</f>
        <v>60093833</v>
      </c>
      <c r="N165" s="192">
        <f>SUM('SGTO POAI VIGENCIA 2021'!AQ201:AQ222)</f>
        <v>60093833</v>
      </c>
      <c r="O165" s="192">
        <f>SUM('SGTO POAI VIGENCIA 2021'!BD201:BD222)</f>
        <v>252324569</v>
      </c>
      <c r="P165" s="192">
        <f>SUM('SGTO POAI VIGENCIA 2021'!BE201:BE222)</f>
        <v>209481401</v>
      </c>
      <c r="Q165" s="192">
        <f>SUM('SGTO POAI VIGENCIA 2021'!BF201:BF222)</f>
        <v>209481401</v>
      </c>
      <c r="R165" s="192">
        <f>SUM('SGTO POAI VIGENCIA 2021'!BJ201:BJ222)</f>
        <v>1449359713.21</v>
      </c>
      <c r="S165" s="192">
        <f>SUM('SGTO POAI VIGENCIA 2021'!BK201:BK222)</f>
        <v>654956434.65999997</v>
      </c>
      <c r="T165" s="192">
        <f>SUM('SGTO POAI VIGENCIA 2021'!BL201:BL222)</f>
        <v>654956434.65999997</v>
      </c>
      <c r="U165" s="192">
        <f t="shared" ref="U165:W167" si="74">F165+I165+L165+O165+R165</f>
        <v>3182666735.21</v>
      </c>
      <c r="V165" s="192">
        <f t="shared" si="74"/>
        <v>2169681626.6599998</v>
      </c>
      <c r="W165" s="192">
        <f t="shared" si="74"/>
        <v>2169681626.6599998</v>
      </c>
    </row>
    <row r="166" spans="1:27" s="27" customFormat="1" ht="31.5" customHeight="1" x14ac:dyDescent="0.2">
      <c r="A166" s="54"/>
      <c r="B166" s="44"/>
      <c r="C166" s="44"/>
      <c r="D166" s="44">
        <v>1905</v>
      </c>
      <c r="E166" s="188" t="s">
        <v>768</v>
      </c>
      <c r="F166" s="192">
        <f>SUM('SGTO POAI VIGENCIA 2021'!AL223:AL251)</f>
        <v>4489864641.7600002</v>
      </c>
      <c r="G166" s="192">
        <f>SUM('SGTO POAI VIGENCIA 2021'!AM223:AM251)</f>
        <v>2651727725.7600002</v>
      </c>
      <c r="H166" s="192">
        <f>SUM('SGTO POAI VIGENCIA 2021'!AN223:AN251)</f>
        <v>2651727725.7600002</v>
      </c>
      <c r="I166" s="192">
        <f>SUM('SGTO POAI VIGENCIA 2021'!AI223:AI251)</f>
        <v>0</v>
      </c>
      <c r="J166" s="192">
        <f>SUM('SGTO POAI VIGENCIA 2021'!AJ223:AJ251)</f>
        <v>0</v>
      </c>
      <c r="K166" s="192">
        <f>SUM('SGTO POAI VIGENCIA 2021'!AK223:AK251)</f>
        <v>0</v>
      </c>
      <c r="L166" s="192">
        <f>SUM('SGTO POAI VIGENCIA 2021'!AO223:AO251)</f>
        <v>0</v>
      </c>
      <c r="M166" s="192">
        <f>SUM('SGTO POAI VIGENCIA 2021'!AP223:AP251)</f>
        <v>0</v>
      </c>
      <c r="N166" s="192">
        <f>SUM('SGTO POAI VIGENCIA 2021'!AQ223:AQ251)</f>
        <v>0</v>
      </c>
      <c r="O166" s="192">
        <f>SUM('SGTO POAI VIGENCIA 2021'!BD223:BD251)</f>
        <v>1551904376</v>
      </c>
      <c r="P166" s="192">
        <f>SUM('SGTO POAI VIGENCIA 2021'!BE223:BE251)</f>
        <v>1492813159</v>
      </c>
      <c r="Q166" s="192">
        <f>SUM('SGTO POAI VIGENCIA 2021'!BF223:BF251)</f>
        <v>1492813159</v>
      </c>
      <c r="R166" s="192">
        <f>SUM('SGTO POAI VIGENCIA 2021'!BJ223:BJ251)</f>
        <v>950949032</v>
      </c>
      <c r="S166" s="192">
        <f>SUM('SGTO POAI VIGENCIA 2021'!BK223:BK251)</f>
        <v>350229588</v>
      </c>
      <c r="T166" s="192">
        <f>SUM('SGTO POAI VIGENCIA 2021'!BL223:BL251)</f>
        <v>350229588</v>
      </c>
      <c r="U166" s="192">
        <f t="shared" si="74"/>
        <v>6992718049.7600002</v>
      </c>
      <c r="V166" s="192">
        <f t="shared" si="74"/>
        <v>4494770472.7600002</v>
      </c>
      <c r="W166" s="192">
        <f t="shared" si="74"/>
        <v>4494770472.7600002</v>
      </c>
    </row>
    <row r="167" spans="1:27" s="27" customFormat="1" ht="57.75" customHeight="1" x14ac:dyDescent="0.2">
      <c r="A167" s="54"/>
      <c r="B167" s="44"/>
      <c r="C167" s="44"/>
      <c r="D167" s="44">
        <v>1906</v>
      </c>
      <c r="E167" s="188" t="s">
        <v>148</v>
      </c>
      <c r="F167" s="192">
        <f>SUM('SGTO POAI VIGENCIA 2021'!AL252:AL261)</f>
        <v>1740866853.4100001</v>
      </c>
      <c r="G167" s="192">
        <f>SUM('SGTO POAI VIGENCIA 2021'!AM252:AM261)</f>
        <v>1587156811.2</v>
      </c>
      <c r="H167" s="192">
        <f>SUM('SGTO POAI VIGENCIA 2021'!AN252:AN261)</f>
        <v>1587156811.2</v>
      </c>
      <c r="I167" s="192">
        <f>SUM('SGTO POAI VIGENCIA 2021'!AI252:AI261)</f>
        <v>800000000</v>
      </c>
      <c r="J167" s="192">
        <f>SUM('SGTO POAI VIGENCIA 2021'!AJ252:AJ261)</f>
        <v>800000000</v>
      </c>
      <c r="K167" s="192">
        <f>SUM('SGTO POAI VIGENCIA 2021'!AK252:AK261)</f>
        <v>800000000</v>
      </c>
      <c r="L167" s="192">
        <f>SUM('SGTO POAI VIGENCIA 2021'!AO252:AO261)</f>
        <v>43301642000.519997</v>
      </c>
      <c r="M167" s="192">
        <f>SUM('SGTO POAI VIGENCIA 2021'!AP252:AP261)</f>
        <v>42261827805.82</v>
      </c>
      <c r="N167" s="192">
        <f>SUM('SGTO POAI VIGENCIA 2021'!AQ252:AQ261)</f>
        <v>42261827805.82</v>
      </c>
      <c r="O167" s="192">
        <f>SUM('SGTO POAI VIGENCIA 2021'!BD252:BD261)</f>
        <v>8061574457.21</v>
      </c>
      <c r="P167" s="192">
        <f>SUM('SGTO POAI VIGENCIA 2021'!BE252:BE261)</f>
        <v>7925159124.21</v>
      </c>
      <c r="Q167" s="192">
        <f>SUM('SGTO POAI VIGENCIA 2021'!BF252:BF261)</f>
        <v>7925159124.21</v>
      </c>
      <c r="R167" s="192">
        <f>SUM('SGTO POAI VIGENCIA 2021'!BJ252:BJ261)</f>
        <v>11082144270</v>
      </c>
      <c r="S167" s="192">
        <f>SUM('SGTO POAI VIGENCIA 2021'!BK252:BK261)</f>
        <v>10609830577</v>
      </c>
      <c r="T167" s="192">
        <f>SUM('SGTO POAI VIGENCIA 2021'!BL252:BL261)</f>
        <v>10609830577</v>
      </c>
      <c r="U167" s="192">
        <f t="shared" si="74"/>
        <v>64986227581.139992</v>
      </c>
      <c r="V167" s="192">
        <f t="shared" si="74"/>
        <v>63183974318.229996</v>
      </c>
      <c r="W167" s="192">
        <f t="shared" si="74"/>
        <v>63183974318.229996</v>
      </c>
    </row>
    <row r="168" spans="1:27" s="7" customFormat="1" x14ac:dyDescent="0.2">
      <c r="A168" s="36"/>
      <c r="B168" s="93"/>
      <c r="C168" s="93"/>
      <c r="D168" s="93"/>
      <c r="E168" s="97"/>
      <c r="F168" s="94"/>
      <c r="G168" s="29"/>
      <c r="H168" s="14"/>
      <c r="I168" s="14"/>
      <c r="J168" s="14"/>
      <c r="K168" s="14"/>
      <c r="L168" s="35"/>
    </row>
    <row r="169" spans="1:27" s="7" customFormat="1" ht="24" customHeight="1" x14ac:dyDescent="0.2">
      <c r="A169" s="602" t="s">
        <v>4</v>
      </c>
      <c r="B169" s="602" t="s">
        <v>5</v>
      </c>
      <c r="C169" s="602" t="s">
        <v>6</v>
      </c>
      <c r="D169" s="602" t="s">
        <v>1355</v>
      </c>
      <c r="E169" s="603" t="s">
        <v>7</v>
      </c>
      <c r="F169" s="619" t="s">
        <v>1356</v>
      </c>
      <c r="G169" s="619"/>
      <c r="H169" s="620"/>
      <c r="I169" s="14"/>
      <c r="J169" s="14"/>
      <c r="K169" s="14"/>
      <c r="L169" s="35"/>
    </row>
    <row r="170" spans="1:27" s="7" customFormat="1" ht="24" customHeight="1" x14ac:dyDescent="0.2">
      <c r="A170" s="602"/>
      <c r="B170" s="602"/>
      <c r="C170" s="602"/>
      <c r="D170" s="602"/>
      <c r="E170" s="603"/>
      <c r="F170" s="448" t="s">
        <v>1641</v>
      </c>
      <c r="G170" s="447" t="s">
        <v>1490</v>
      </c>
      <c r="H170" s="447" t="s">
        <v>1491</v>
      </c>
      <c r="I170" s="14"/>
      <c r="J170" s="14"/>
      <c r="K170" s="14"/>
      <c r="L170" s="35"/>
    </row>
    <row r="171" spans="1:27" s="6" customFormat="1" ht="24" customHeight="1" x14ac:dyDescent="0.25">
      <c r="A171" s="466" t="s">
        <v>1197</v>
      </c>
      <c r="B171" s="467"/>
      <c r="C171" s="467"/>
      <c r="D171" s="467"/>
      <c r="E171" s="468"/>
      <c r="F171" s="470">
        <f>F172+F176+F180</f>
        <v>1196000000</v>
      </c>
      <c r="G171" s="470">
        <f>G172+G176+G180</f>
        <v>1057106946.9200001</v>
      </c>
      <c r="H171" s="470">
        <f>H172+H176+H180</f>
        <v>1057106946.9200001</v>
      </c>
      <c r="I171" s="5"/>
      <c r="J171" s="5"/>
      <c r="K171" s="5"/>
      <c r="L171" s="33"/>
    </row>
    <row r="172" spans="1:27" s="6" customFormat="1" ht="24" customHeight="1" x14ac:dyDescent="0.25">
      <c r="A172" s="48"/>
      <c r="B172" s="450">
        <v>1</v>
      </c>
      <c r="C172" s="451" t="s">
        <v>136</v>
      </c>
      <c r="D172" s="451"/>
      <c r="E172" s="452"/>
      <c r="F172" s="453">
        <f>F173</f>
        <v>820000000</v>
      </c>
      <c r="G172" s="453">
        <f>G173</f>
        <v>714748949.42000008</v>
      </c>
      <c r="H172" s="453">
        <f>H173</f>
        <v>714748949.42000008</v>
      </c>
      <c r="I172" s="5"/>
      <c r="J172" s="5"/>
      <c r="K172" s="5"/>
      <c r="L172" s="33"/>
    </row>
    <row r="173" spans="1:27" s="6" customFormat="1" ht="24" customHeight="1" x14ac:dyDescent="0.25">
      <c r="A173" s="48"/>
      <c r="B173" s="55"/>
      <c r="C173" s="422">
        <v>23</v>
      </c>
      <c r="D173" s="413" t="s">
        <v>1198</v>
      </c>
      <c r="E173" s="414"/>
      <c r="F173" s="415">
        <f>SUM(F174:F175)</f>
        <v>820000000</v>
      </c>
      <c r="G173" s="415">
        <f>SUM(G174:G175)</f>
        <v>714748949.42000008</v>
      </c>
      <c r="H173" s="415">
        <f>SUM(H174:H175)</f>
        <v>714748949.42000008</v>
      </c>
      <c r="I173" s="5"/>
      <c r="J173" s="5"/>
      <c r="K173" s="5"/>
      <c r="L173" s="33"/>
    </row>
    <row r="174" spans="1:27" s="211" customFormat="1" ht="57" customHeight="1" x14ac:dyDescent="0.25">
      <c r="A174" s="229"/>
      <c r="B174" s="44"/>
      <c r="C174" s="44"/>
      <c r="D174" s="56">
        <v>2301</v>
      </c>
      <c r="E174" s="188" t="s">
        <v>1199</v>
      </c>
      <c r="F174" s="192">
        <f>SUM('SGTO POAI VIGENCIA 2021'!BD262:BD270)</f>
        <v>674000000</v>
      </c>
      <c r="G174" s="192">
        <f>SUM('SGTO POAI VIGENCIA 2021'!BE262:BE270)</f>
        <v>584138115.42000008</v>
      </c>
      <c r="H174" s="192">
        <f>SUM('SGTO POAI VIGENCIA 2021'!BF262:BF270)</f>
        <v>584138115.42000008</v>
      </c>
      <c r="L174" s="232"/>
    </row>
    <row r="175" spans="1:27" s="211" customFormat="1" ht="90.75" customHeight="1" x14ac:dyDescent="0.25">
      <c r="A175" s="229"/>
      <c r="B175" s="44"/>
      <c r="C175" s="44"/>
      <c r="D175" s="56">
        <v>2302</v>
      </c>
      <c r="E175" s="188" t="s">
        <v>1487</v>
      </c>
      <c r="F175" s="192">
        <f>SUM('SGTO POAI VIGENCIA 2021'!BD271:BD275)</f>
        <v>146000000</v>
      </c>
      <c r="G175" s="192">
        <f>SUM('SGTO POAI VIGENCIA 2021'!BE271:BE275)</f>
        <v>130610834</v>
      </c>
      <c r="H175" s="192">
        <f>SUM('SGTO POAI VIGENCIA 2021'!BF271:BF275)</f>
        <v>130610834</v>
      </c>
      <c r="L175" s="232"/>
    </row>
    <row r="176" spans="1:27" s="6" customFormat="1" ht="24" customHeight="1" x14ac:dyDescent="0.25">
      <c r="A176" s="48"/>
      <c r="B176" s="450">
        <v>2</v>
      </c>
      <c r="C176" s="451" t="s">
        <v>400</v>
      </c>
      <c r="D176" s="451"/>
      <c r="E176" s="452"/>
      <c r="F176" s="453">
        <f>F177</f>
        <v>78000000</v>
      </c>
      <c r="G176" s="453">
        <f>G177</f>
        <v>64780832</v>
      </c>
      <c r="H176" s="453">
        <f>H177</f>
        <v>64780832</v>
      </c>
      <c r="I176" s="5"/>
      <c r="J176" s="5"/>
      <c r="K176" s="5"/>
      <c r="L176" s="33"/>
    </row>
    <row r="177" spans="1:24" s="6" customFormat="1" ht="24" customHeight="1" x14ac:dyDescent="0.25">
      <c r="A177" s="48"/>
      <c r="B177" s="55"/>
      <c r="C177" s="422">
        <v>39</v>
      </c>
      <c r="D177" s="413" t="s">
        <v>1483</v>
      </c>
      <c r="E177" s="414"/>
      <c r="F177" s="415">
        <f>SUM(F178:F179)</f>
        <v>78000000</v>
      </c>
      <c r="G177" s="415">
        <f>SUM(G178:G179)</f>
        <v>64780832</v>
      </c>
      <c r="H177" s="415">
        <f>SUM(H178:H179)</f>
        <v>64780832</v>
      </c>
      <c r="I177" s="5"/>
      <c r="J177" s="5"/>
      <c r="K177" s="5"/>
      <c r="L177" s="33"/>
    </row>
    <row r="178" spans="1:24" s="211" customFormat="1" ht="46.5" customHeight="1" x14ac:dyDescent="0.25">
      <c r="A178" s="229"/>
      <c r="B178" s="44"/>
      <c r="C178" s="44"/>
      <c r="D178" s="56" t="s">
        <v>1239</v>
      </c>
      <c r="E178" s="188" t="s">
        <v>1240</v>
      </c>
      <c r="F178" s="192">
        <f>SUM('SGTO POAI VIGENCIA 2021'!BD276:BD278)</f>
        <v>60000000</v>
      </c>
      <c r="G178" s="192">
        <f>SUM('SGTO POAI VIGENCIA 2021'!BE276:BE278)</f>
        <v>58180832</v>
      </c>
      <c r="H178" s="192">
        <f>SUM('SGTO POAI VIGENCIA 2021'!BF276:BF278)</f>
        <v>58180832</v>
      </c>
      <c r="L178" s="232"/>
    </row>
    <row r="179" spans="1:24" s="211" customFormat="1" ht="41.25" customHeight="1" x14ac:dyDescent="0.25">
      <c r="A179" s="229"/>
      <c r="B179" s="44"/>
      <c r="C179" s="44"/>
      <c r="D179" s="56">
        <v>3904</v>
      </c>
      <c r="E179" s="188" t="s">
        <v>759</v>
      </c>
      <c r="F179" s="192">
        <f>'SGTO POAI VIGENCIA 2021'!BD279</f>
        <v>18000000</v>
      </c>
      <c r="G179" s="192">
        <f>'SGTO POAI VIGENCIA 2021'!BE279</f>
        <v>6600000</v>
      </c>
      <c r="H179" s="192">
        <f>'SGTO POAI VIGENCIA 2021'!BF279</f>
        <v>6600000</v>
      </c>
      <c r="L179" s="232"/>
    </row>
    <row r="180" spans="1:24" s="6" customFormat="1" ht="24" customHeight="1" x14ac:dyDescent="0.25">
      <c r="A180" s="48"/>
      <c r="B180" s="450">
        <v>4</v>
      </c>
      <c r="C180" s="451" t="s">
        <v>37</v>
      </c>
      <c r="D180" s="451"/>
      <c r="E180" s="452"/>
      <c r="F180" s="453">
        <f t="shared" ref="F180:H181" si="75">F181</f>
        <v>298000000</v>
      </c>
      <c r="G180" s="453">
        <f t="shared" si="75"/>
        <v>277577165.5</v>
      </c>
      <c r="H180" s="453">
        <f t="shared" si="75"/>
        <v>277577165.5</v>
      </c>
      <c r="I180" s="5"/>
      <c r="J180" s="5"/>
      <c r="K180" s="5"/>
      <c r="L180" s="33"/>
    </row>
    <row r="181" spans="1:24" s="6" customFormat="1" ht="24" customHeight="1" x14ac:dyDescent="0.25">
      <c r="A181" s="48"/>
      <c r="B181" s="55"/>
      <c r="C181" s="422">
        <v>23</v>
      </c>
      <c r="D181" s="413" t="s">
        <v>1198</v>
      </c>
      <c r="E181" s="413"/>
      <c r="F181" s="415">
        <f t="shared" si="75"/>
        <v>298000000</v>
      </c>
      <c r="G181" s="415">
        <f t="shared" si="75"/>
        <v>277577165.5</v>
      </c>
      <c r="H181" s="415">
        <f t="shared" si="75"/>
        <v>277577165.5</v>
      </c>
      <c r="I181" s="5"/>
      <c r="J181" s="5"/>
      <c r="K181" s="5"/>
      <c r="L181" s="33"/>
    </row>
    <row r="182" spans="1:24" s="211" customFormat="1" ht="72" customHeight="1" x14ac:dyDescent="0.25">
      <c r="A182" s="229"/>
      <c r="B182" s="44"/>
      <c r="C182" s="44"/>
      <c r="D182" s="56">
        <v>2302</v>
      </c>
      <c r="E182" s="188" t="s">
        <v>1487</v>
      </c>
      <c r="F182" s="192">
        <f>SUM('SGTO POAI VIGENCIA 2021'!BD280:BD285)</f>
        <v>298000000</v>
      </c>
      <c r="G182" s="192">
        <f>SUM('SGTO POAI VIGENCIA 2021'!BE280:BE285)</f>
        <v>277577165.5</v>
      </c>
      <c r="H182" s="192">
        <f>SUM('SGTO POAI VIGENCIA 2021'!BF280:BF285)</f>
        <v>277577165.5</v>
      </c>
      <c r="L182" s="232"/>
    </row>
    <row r="183" spans="1:24" s="7" customFormat="1" ht="18.75" customHeight="1" x14ac:dyDescent="0.2">
      <c r="A183" s="36"/>
      <c r="B183" s="93"/>
      <c r="C183" s="93"/>
      <c r="D183" s="93"/>
      <c r="E183" s="97"/>
      <c r="F183" s="94"/>
      <c r="G183" s="29"/>
      <c r="H183" s="14"/>
      <c r="I183" s="14"/>
      <c r="J183" s="14"/>
      <c r="K183" s="14"/>
      <c r="L183" s="35"/>
    </row>
    <row r="184" spans="1:24" s="20" customFormat="1" ht="30" customHeight="1" x14ac:dyDescent="0.25">
      <c r="A184" s="474" t="s">
        <v>1272</v>
      </c>
      <c r="B184" s="475"/>
      <c r="C184" s="475"/>
      <c r="D184" s="475"/>
      <c r="E184" s="475"/>
      <c r="F184" s="476">
        <f>F171+U162+L140+AB129+F121+L99+L90+R82+L58+U28+L21+F13+F5</f>
        <v>319490464131.9101</v>
      </c>
      <c r="G184" s="477">
        <f>G171+V162+M140+AC129+G121+M99+M90+S82+M58+V28+M21+G13+G5</f>
        <v>286065239361.57996</v>
      </c>
      <c r="H184" s="477">
        <f>H171+W162+N140+AD129+H121+N99+N90+T82+N58+W28+N21+H13+H5</f>
        <v>286065239361.57996</v>
      </c>
      <c r="I184" s="19"/>
      <c r="J184" s="19"/>
      <c r="K184" s="19"/>
      <c r="L184" s="38"/>
    </row>
    <row r="185" spans="1:24" s="7" customFormat="1" ht="24" customHeight="1" x14ac:dyDescent="0.2">
      <c r="A185" s="36"/>
      <c r="B185" s="93"/>
      <c r="C185" s="93"/>
      <c r="D185" s="93"/>
      <c r="E185" s="97"/>
      <c r="F185" s="94"/>
      <c r="G185" s="29"/>
      <c r="H185" s="14"/>
      <c r="I185" s="14"/>
      <c r="J185" s="14"/>
      <c r="K185" s="14"/>
      <c r="L185" s="35"/>
    </row>
    <row r="186" spans="1:24" ht="24" customHeight="1" x14ac:dyDescent="0.2">
      <c r="A186" s="602" t="s">
        <v>4</v>
      </c>
      <c r="B186" s="602" t="s">
        <v>5</v>
      </c>
      <c r="C186" s="602" t="s">
        <v>6</v>
      </c>
      <c r="D186" s="602" t="s">
        <v>1355</v>
      </c>
      <c r="E186" s="603" t="s">
        <v>7</v>
      </c>
      <c r="F186" s="603" t="s">
        <v>1556</v>
      </c>
      <c r="G186" s="603"/>
      <c r="H186" s="603"/>
      <c r="I186" s="600" t="s">
        <v>1356</v>
      </c>
      <c r="J186" s="600"/>
      <c r="K186" s="601"/>
      <c r="L186" s="604" t="s">
        <v>1368</v>
      </c>
      <c r="M186" s="605"/>
      <c r="N186" s="606"/>
      <c r="O186" s="604" t="s">
        <v>1369</v>
      </c>
      <c r="P186" s="605"/>
      <c r="Q186" s="606"/>
      <c r="R186" s="604" t="s">
        <v>12</v>
      </c>
      <c r="S186" s="605"/>
      <c r="T186" s="606"/>
      <c r="U186" s="231"/>
      <c r="V186" s="2"/>
      <c r="W186" s="31"/>
    </row>
    <row r="187" spans="1:24" ht="24" customHeight="1" x14ac:dyDescent="0.2">
      <c r="A187" s="602"/>
      <c r="B187" s="602"/>
      <c r="C187" s="602"/>
      <c r="D187" s="602"/>
      <c r="E187" s="603"/>
      <c r="F187" s="448" t="s">
        <v>1641</v>
      </c>
      <c r="G187" s="447" t="s">
        <v>1490</v>
      </c>
      <c r="H187" s="447" t="s">
        <v>1491</v>
      </c>
      <c r="I187" s="448" t="s">
        <v>1641</v>
      </c>
      <c r="J187" s="447" t="s">
        <v>1490</v>
      </c>
      <c r="K187" s="447" t="s">
        <v>1491</v>
      </c>
      <c r="L187" s="447" t="s">
        <v>1641</v>
      </c>
      <c r="M187" s="447" t="s">
        <v>1490</v>
      </c>
      <c r="N187" s="447" t="s">
        <v>1491</v>
      </c>
      <c r="O187" s="447" t="s">
        <v>1641</v>
      </c>
      <c r="P187" s="447" t="s">
        <v>1490</v>
      </c>
      <c r="Q187" s="447" t="s">
        <v>1491</v>
      </c>
      <c r="R187" s="447" t="s">
        <v>1641</v>
      </c>
      <c r="S187" s="447" t="s">
        <v>1490</v>
      </c>
      <c r="T187" s="447" t="s">
        <v>1491</v>
      </c>
      <c r="U187" s="231"/>
      <c r="V187" s="2"/>
      <c r="W187" s="31"/>
    </row>
    <row r="188" spans="1:24" ht="24" customHeight="1" x14ac:dyDescent="0.2">
      <c r="A188" s="466" t="s">
        <v>1273</v>
      </c>
      <c r="B188" s="467"/>
      <c r="C188" s="467"/>
      <c r="D188" s="467"/>
      <c r="E188" s="468"/>
      <c r="F188" s="406">
        <f>F189</f>
        <v>1251616460</v>
      </c>
      <c r="G188" s="469"/>
      <c r="H188" s="469"/>
      <c r="I188" s="406">
        <f t="shared" ref="I188:T189" si="76">I189</f>
        <v>1047130260.64</v>
      </c>
      <c r="J188" s="406">
        <f t="shared" si="76"/>
        <v>582042881.81999993</v>
      </c>
      <c r="K188" s="406">
        <f t="shared" si="76"/>
        <v>580542881.81999993</v>
      </c>
      <c r="L188" s="406">
        <f t="shared" si="76"/>
        <v>4406313085.3899994</v>
      </c>
      <c r="M188" s="406">
        <f t="shared" si="76"/>
        <v>3686583942.1499996</v>
      </c>
      <c r="N188" s="406">
        <f t="shared" si="76"/>
        <v>3667168942.1499996</v>
      </c>
      <c r="O188" s="406">
        <f t="shared" si="76"/>
        <v>455357884</v>
      </c>
      <c r="P188" s="406">
        <f t="shared" si="76"/>
        <v>404367233</v>
      </c>
      <c r="Q188" s="406">
        <f t="shared" si="76"/>
        <v>404367233</v>
      </c>
      <c r="R188" s="406">
        <f t="shared" si="76"/>
        <v>7160417690.0299988</v>
      </c>
      <c r="S188" s="406">
        <f t="shared" si="76"/>
        <v>4672994056.9699993</v>
      </c>
      <c r="T188" s="406">
        <f t="shared" si="76"/>
        <v>4652079056.9699993</v>
      </c>
      <c r="U188" s="231"/>
      <c r="V188" s="2"/>
      <c r="W188" s="31"/>
    </row>
    <row r="189" spans="1:24" ht="24" customHeight="1" x14ac:dyDescent="0.2">
      <c r="A189" s="49"/>
      <c r="B189" s="450">
        <v>1</v>
      </c>
      <c r="C189" s="451" t="s">
        <v>136</v>
      </c>
      <c r="D189" s="451"/>
      <c r="E189" s="452"/>
      <c r="F189" s="453">
        <f>F190</f>
        <v>1251616460</v>
      </c>
      <c r="G189" s="454"/>
      <c r="H189" s="454"/>
      <c r="I189" s="453">
        <f t="shared" si="76"/>
        <v>1047130260.64</v>
      </c>
      <c r="J189" s="453">
        <f t="shared" si="76"/>
        <v>582042881.81999993</v>
      </c>
      <c r="K189" s="453">
        <f t="shared" si="76"/>
        <v>580542881.81999993</v>
      </c>
      <c r="L189" s="453">
        <f t="shared" si="76"/>
        <v>4406313085.3899994</v>
      </c>
      <c r="M189" s="453">
        <f t="shared" si="76"/>
        <v>3686583942.1499996</v>
      </c>
      <c r="N189" s="453">
        <f t="shared" si="76"/>
        <v>3667168942.1499996</v>
      </c>
      <c r="O189" s="453">
        <f t="shared" si="76"/>
        <v>455357884</v>
      </c>
      <c r="P189" s="453">
        <f t="shared" si="76"/>
        <v>404367233</v>
      </c>
      <c r="Q189" s="453">
        <f t="shared" si="76"/>
        <v>404367233</v>
      </c>
      <c r="R189" s="453">
        <f t="shared" si="76"/>
        <v>7160417690.0299988</v>
      </c>
      <c r="S189" s="453">
        <f t="shared" si="76"/>
        <v>4672994056.9699993</v>
      </c>
      <c r="T189" s="453">
        <f t="shared" si="76"/>
        <v>4652079056.9699993</v>
      </c>
      <c r="U189" s="231"/>
      <c r="V189" s="2"/>
      <c r="W189" s="2"/>
      <c r="X189" s="2"/>
    </row>
    <row r="190" spans="1:24" ht="24" customHeight="1" x14ac:dyDescent="0.2">
      <c r="A190" s="49"/>
      <c r="B190" s="55"/>
      <c r="C190" s="422">
        <v>43</v>
      </c>
      <c r="D190" s="413" t="s">
        <v>176</v>
      </c>
      <c r="E190" s="414"/>
      <c r="F190" s="415">
        <f>SUM(F191:F192)</f>
        <v>1251616460</v>
      </c>
      <c r="G190" s="415"/>
      <c r="H190" s="415"/>
      <c r="I190" s="415">
        <f t="shared" ref="I190:T190" si="77">SUM(I191:I192)</f>
        <v>1047130260.64</v>
      </c>
      <c r="J190" s="415">
        <f t="shared" si="77"/>
        <v>582042881.81999993</v>
      </c>
      <c r="K190" s="415">
        <f t="shared" si="77"/>
        <v>580542881.81999993</v>
      </c>
      <c r="L190" s="415">
        <f t="shared" si="77"/>
        <v>4406313085.3899994</v>
      </c>
      <c r="M190" s="415">
        <f t="shared" si="77"/>
        <v>3686583942.1499996</v>
      </c>
      <c r="N190" s="415">
        <f t="shared" si="77"/>
        <v>3667168942.1499996</v>
      </c>
      <c r="O190" s="415">
        <f t="shared" si="77"/>
        <v>455357884</v>
      </c>
      <c r="P190" s="415">
        <f t="shared" si="77"/>
        <v>404367233</v>
      </c>
      <c r="Q190" s="415">
        <f t="shared" si="77"/>
        <v>404367233</v>
      </c>
      <c r="R190" s="415">
        <f t="shared" si="77"/>
        <v>7160417690.0299988</v>
      </c>
      <c r="S190" s="415">
        <f t="shared" si="77"/>
        <v>4672994056.9699993</v>
      </c>
      <c r="T190" s="415">
        <f t="shared" si="77"/>
        <v>4652079056.9699993</v>
      </c>
      <c r="U190" s="231"/>
      <c r="V190" s="2"/>
      <c r="W190" s="31"/>
    </row>
    <row r="191" spans="1:24" s="27" customFormat="1" ht="60" customHeight="1" x14ac:dyDescent="0.2">
      <c r="A191" s="54"/>
      <c r="B191" s="44"/>
      <c r="C191" s="44"/>
      <c r="D191" s="44">
        <v>4301</v>
      </c>
      <c r="E191" s="219" t="s">
        <v>177</v>
      </c>
      <c r="F191" s="50">
        <f>SUM('SGTO POAI VIGENCIA 2021'!Z286:Z289)</f>
        <v>182800000</v>
      </c>
      <c r="G191" s="50">
        <f>SUM('SGTO POAI VIGENCIA 2021'!AA286:AA289)</f>
        <v>0</v>
      </c>
      <c r="H191" s="50">
        <f>SUM('SGTO POAI VIGENCIA 2021'!AB286:AB289)</f>
        <v>0</v>
      </c>
      <c r="I191" s="192">
        <f>SUM('SGTO POAI VIGENCIA 2021'!BD286:BD289)</f>
        <v>136127636</v>
      </c>
      <c r="J191" s="192">
        <f>SUM('SGTO POAI VIGENCIA 2021'!BE286:BE289)</f>
        <v>111986299.81999999</v>
      </c>
      <c r="K191" s="192">
        <f>SUM('SGTO POAI VIGENCIA 2021'!BF286:BF289)</f>
        <v>111986299.81999999</v>
      </c>
      <c r="L191" s="192">
        <f>SUM('SGTO POAI VIGENCIA 2021'!BG286:BG289)</f>
        <v>2073001578.98</v>
      </c>
      <c r="M191" s="192">
        <f>SUM('SGTO POAI VIGENCIA 2021'!BH286:BH289)</f>
        <v>1675596167.97</v>
      </c>
      <c r="N191" s="192">
        <f>SUM('SGTO POAI VIGENCIA 2021'!BI286:BI289)</f>
        <v>1675596167.9699998</v>
      </c>
      <c r="O191" s="192">
        <f>SUM('SGTO POAI VIGENCIA 2021'!BJ286:BJ289)</f>
        <v>455357884</v>
      </c>
      <c r="P191" s="192">
        <f>SUM('SGTO POAI VIGENCIA 2021'!BK286:BK289)</f>
        <v>404367233</v>
      </c>
      <c r="Q191" s="192">
        <f>SUM('SGTO POAI VIGENCIA 2021'!BL286:BL289)</f>
        <v>404367233</v>
      </c>
      <c r="R191" s="192">
        <f t="shared" ref="R191:T192" si="78">I191+L191+O191+F191</f>
        <v>2847287098.98</v>
      </c>
      <c r="S191" s="192">
        <f t="shared" si="78"/>
        <v>2191949700.79</v>
      </c>
      <c r="T191" s="192">
        <f t="shared" si="78"/>
        <v>2191949700.79</v>
      </c>
      <c r="U191" s="231"/>
      <c r="W191" s="34"/>
    </row>
    <row r="192" spans="1:24" s="27" customFormat="1" ht="37.5" customHeight="1" x14ac:dyDescent="0.2">
      <c r="A192" s="54"/>
      <c r="B192" s="44"/>
      <c r="C192" s="44"/>
      <c r="D192" s="44">
        <v>4302</v>
      </c>
      <c r="E192" s="219" t="s">
        <v>1287</v>
      </c>
      <c r="F192" s="50">
        <f>SUM('SGTO POAI VIGENCIA 2021'!Z290:Z291)</f>
        <v>1068816460</v>
      </c>
      <c r="G192" s="50">
        <f>SUM('SGTO POAI VIGENCIA 2021'!AA290:AA291)</f>
        <v>0</v>
      </c>
      <c r="H192" s="50">
        <f>SUM('SGTO POAI VIGENCIA 2021'!AB290:AB291)</f>
        <v>0</v>
      </c>
      <c r="I192" s="192">
        <f>SUM('SGTO POAI VIGENCIA 2021'!BD290:BD291)</f>
        <v>911002624.63999999</v>
      </c>
      <c r="J192" s="192">
        <f>SUM('SGTO POAI VIGENCIA 2021'!BE290:BE291)</f>
        <v>470056582</v>
      </c>
      <c r="K192" s="192">
        <f>SUM('SGTO POAI VIGENCIA 2021'!BF290:BF291)</f>
        <v>468556582</v>
      </c>
      <c r="L192" s="192">
        <f>SUM('SGTO POAI VIGENCIA 2021'!BG290:BG291)</f>
        <v>2333311506.4099998</v>
      </c>
      <c r="M192" s="192">
        <f>SUM('SGTO POAI VIGENCIA 2021'!BH290:BH291)</f>
        <v>2010987774.1799998</v>
      </c>
      <c r="N192" s="192">
        <f>SUM('SGTO POAI VIGENCIA 2021'!BI290:BI291)</f>
        <v>1991572774.1799998</v>
      </c>
      <c r="O192" s="192">
        <f>SUM('SGTO POAI VIGENCIA 2021'!BJ290:BJ291)</f>
        <v>0</v>
      </c>
      <c r="P192" s="192">
        <f>SUM('SGTO POAI VIGENCIA 2021'!BK290:BK291)</f>
        <v>0</v>
      </c>
      <c r="Q192" s="192">
        <f>SUM('SGTO POAI VIGENCIA 2021'!BL290:BL291)</f>
        <v>0</v>
      </c>
      <c r="R192" s="192">
        <f t="shared" si="78"/>
        <v>4313130591.0499992</v>
      </c>
      <c r="S192" s="192">
        <f t="shared" si="78"/>
        <v>2481044356.1799998</v>
      </c>
      <c r="T192" s="192">
        <f t="shared" si="78"/>
        <v>2460129356.1799998</v>
      </c>
      <c r="U192" s="231"/>
      <c r="W192" s="34"/>
    </row>
    <row r="193" spans="1:16" s="7" customFormat="1" ht="18.75" customHeight="1" x14ac:dyDescent="0.2">
      <c r="A193" s="36"/>
      <c r="B193" s="93"/>
      <c r="C193" s="93"/>
      <c r="D193" s="93"/>
      <c r="E193" s="97"/>
      <c r="F193" s="94"/>
      <c r="G193" s="29"/>
      <c r="H193" s="14"/>
      <c r="I193" s="14"/>
      <c r="J193" s="14"/>
      <c r="K193" s="14"/>
      <c r="L193" s="35"/>
    </row>
    <row r="194" spans="1:16" ht="24" customHeight="1" x14ac:dyDescent="0.2">
      <c r="A194" s="602" t="s">
        <v>4</v>
      </c>
      <c r="B194" s="602" t="s">
        <v>5</v>
      </c>
      <c r="C194" s="602" t="s">
        <v>6</v>
      </c>
      <c r="D194" s="602" t="s">
        <v>1355</v>
      </c>
      <c r="E194" s="603" t="s">
        <v>7</v>
      </c>
      <c r="F194" s="600" t="s">
        <v>1504</v>
      </c>
      <c r="G194" s="600"/>
      <c r="H194" s="601"/>
      <c r="I194" s="604" t="s">
        <v>1368</v>
      </c>
      <c r="J194" s="605"/>
      <c r="K194" s="606"/>
      <c r="L194" s="604" t="s">
        <v>12</v>
      </c>
      <c r="M194" s="605"/>
      <c r="N194" s="606"/>
      <c r="O194" s="2"/>
      <c r="P194" s="31"/>
    </row>
    <row r="195" spans="1:16" ht="24" customHeight="1" x14ac:dyDescent="0.2">
      <c r="A195" s="602"/>
      <c r="B195" s="602"/>
      <c r="C195" s="602"/>
      <c r="D195" s="602"/>
      <c r="E195" s="603"/>
      <c r="F195" s="448" t="s">
        <v>1641</v>
      </c>
      <c r="G195" s="447" t="s">
        <v>1490</v>
      </c>
      <c r="H195" s="447" t="s">
        <v>1491</v>
      </c>
      <c r="I195" s="447" t="s">
        <v>1641</v>
      </c>
      <c r="J195" s="447" t="s">
        <v>1490</v>
      </c>
      <c r="K195" s="447" t="s">
        <v>1491</v>
      </c>
      <c r="L195" s="447" t="s">
        <v>1641</v>
      </c>
      <c r="M195" s="447" t="s">
        <v>1490</v>
      </c>
      <c r="N195" s="447" t="s">
        <v>1491</v>
      </c>
      <c r="O195" s="2"/>
      <c r="P195" s="31"/>
    </row>
    <row r="196" spans="1:16" s="7" customFormat="1" ht="24" customHeight="1" x14ac:dyDescent="0.2">
      <c r="A196" s="466" t="s">
        <v>1299</v>
      </c>
      <c r="B196" s="467"/>
      <c r="C196" s="467"/>
      <c r="D196" s="467"/>
      <c r="E196" s="468"/>
      <c r="F196" s="406">
        <f t="shared" ref="F196:N196" si="79">F197+F201</f>
        <v>1490542838.9200001</v>
      </c>
      <c r="G196" s="406">
        <f t="shared" si="79"/>
        <v>1252409845.2225237</v>
      </c>
      <c r="H196" s="406">
        <f t="shared" si="79"/>
        <v>1247293178.5525236</v>
      </c>
      <c r="I196" s="406">
        <f t="shared" si="79"/>
        <v>1146743496.02</v>
      </c>
      <c r="J196" s="406">
        <f t="shared" si="79"/>
        <v>1131380712.0014901</v>
      </c>
      <c r="K196" s="406">
        <f t="shared" si="79"/>
        <v>969587115.74000001</v>
      </c>
      <c r="L196" s="406">
        <f t="shared" si="79"/>
        <v>2637286334.9400001</v>
      </c>
      <c r="M196" s="406">
        <f t="shared" si="79"/>
        <v>2383790557.2240138</v>
      </c>
      <c r="N196" s="406">
        <f t="shared" si="79"/>
        <v>2216880294.2925234</v>
      </c>
      <c r="O196" s="14"/>
      <c r="P196" s="35"/>
    </row>
    <row r="197" spans="1:16" s="7" customFormat="1" ht="24" customHeight="1" x14ac:dyDescent="0.2">
      <c r="A197" s="95"/>
      <c r="B197" s="450">
        <v>1</v>
      </c>
      <c r="C197" s="451" t="s">
        <v>136</v>
      </c>
      <c r="D197" s="451"/>
      <c r="E197" s="452"/>
      <c r="F197" s="453">
        <f t="shared" ref="F197:N197" si="80">F198</f>
        <v>1019472941.71</v>
      </c>
      <c r="G197" s="453">
        <f t="shared" si="80"/>
        <v>974351224.8099997</v>
      </c>
      <c r="H197" s="453">
        <f t="shared" si="80"/>
        <v>974351224.8099997</v>
      </c>
      <c r="I197" s="453">
        <f t="shared" si="80"/>
        <v>0</v>
      </c>
      <c r="J197" s="453">
        <f t="shared" si="80"/>
        <v>0</v>
      </c>
      <c r="K197" s="453">
        <f t="shared" si="80"/>
        <v>0</v>
      </c>
      <c r="L197" s="453">
        <f t="shared" si="80"/>
        <v>1019472941.71</v>
      </c>
      <c r="M197" s="453">
        <f t="shared" si="80"/>
        <v>974351224.8099997</v>
      </c>
      <c r="N197" s="453">
        <f t="shared" si="80"/>
        <v>974351224.8099997</v>
      </c>
      <c r="O197" s="14"/>
      <c r="P197" s="35"/>
    </row>
    <row r="198" spans="1:16" s="7" customFormat="1" ht="24" customHeight="1" x14ac:dyDescent="0.2">
      <c r="A198" s="95"/>
      <c r="B198" s="55"/>
      <c r="C198" s="422">
        <v>43</v>
      </c>
      <c r="D198" s="413" t="s">
        <v>176</v>
      </c>
      <c r="E198" s="414"/>
      <c r="F198" s="415">
        <f t="shared" ref="F198:N198" si="81">SUM(F199:F200)</f>
        <v>1019472941.71</v>
      </c>
      <c r="G198" s="415">
        <f t="shared" si="81"/>
        <v>974351224.8099997</v>
      </c>
      <c r="H198" s="415">
        <f t="shared" si="81"/>
        <v>974351224.8099997</v>
      </c>
      <c r="I198" s="415">
        <f t="shared" si="81"/>
        <v>0</v>
      </c>
      <c r="J198" s="415">
        <f t="shared" si="81"/>
        <v>0</v>
      </c>
      <c r="K198" s="415">
        <f t="shared" si="81"/>
        <v>0</v>
      </c>
      <c r="L198" s="415">
        <f t="shared" si="81"/>
        <v>1019472941.71</v>
      </c>
      <c r="M198" s="415">
        <f t="shared" si="81"/>
        <v>974351224.8099997</v>
      </c>
      <c r="N198" s="415">
        <f t="shared" si="81"/>
        <v>974351224.8099997</v>
      </c>
      <c r="O198" s="14"/>
      <c r="P198" s="35"/>
    </row>
    <row r="199" spans="1:16" s="28" customFormat="1" ht="63.75" customHeight="1" x14ac:dyDescent="0.2">
      <c r="A199" s="96"/>
      <c r="B199" s="56"/>
      <c r="C199" s="56"/>
      <c r="D199" s="44">
        <v>4301</v>
      </c>
      <c r="E199" s="188" t="s">
        <v>177</v>
      </c>
      <c r="F199" s="192">
        <f>'SGTO POAI VIGENCIA 2021'!Z292</f>
        <v>690464077.75999999</v>
      </c>
      <c r="G199" s="192">
        <f>'SGTO POAI VIGENCIA 2021'!AA292</f>
        <v>683590194.49999976</v>
      </c>
      <c r="H199" s="192">
        <f>'SGTO POAI VIGENCIA 2021'!AB292</f>
        <v>683590194.49999976</v>
      </c>
      <c r="I199" s="192">
        <f>'SGTO POAI VIGENCIA 2021'!BG292</f>
        <v>0</v>
      </c>
      <c r="J199" s="192">
        <f>'SGTO POAI VIGENCIA 2021'!BH292</f>
        <v>0</v>
      </c>
      <c r="K199" s="192">
        <f>'SGTO POAI VIGENCIA 2021'!BI292</f>
        <v>0</v>
      </c>
      <c r="L199" s="192">
        <f t="shared" ref="L199:N200" si="82">I199+F199</f>
        <v>690464077.75999999</v>
      </c>
      <c r="M199" s="192">
        <f t="shared" si="82"/>
        <v>683590194.49999976</v>
      </c>
      <c r="N199" s="192">
        <f t="shared" si="82"/>
        <v>683590194.49999976</v>
      </c>
      <c r="P199" s="37"/>
    </row>
    <row r="200" spans="1:16" s="28" customFormat="1" ht="66.75" customHeight="1" x14ac:dyDescent="0.2">
      <c r="A200" s="96"/>
      <c r="B200" s="56"/>
      <c r="C200" s="56"/>
      <c r="D200" s="44">
        <v>2201</v>
      </c>
      <c r="E200" s="188" t="s">
        <v>277</v>
      </c>
      <c r="F200" s="192">
        <f>'SGTO POAI VIGENCIA 2021'!Z293</f>
        <v>329008863.94999999</v>
      </c>
      <c r="G200" s="192">
        <f>'SGTO POAI VIGENCIA 2021'!AA293</f>
        <v>290761030.31</v>
      </c>
      <c r="H200" s="192">
        <f>'SGTO POAI VIGENCIA 2021'!AB293</f>
        <v>290761030.31</v>
      </c>
      <c r="I200" s="192">
        <f>'SGTO POAI VIGENCIA 2021'!BG293</f>
        <v>0</v>
      </c>
      <c r="J200" s="192">
        <f>'SGTO POAI VIGENCIA 2021'!BH293</f>
        <v>0</v>
      </c>
      <c r="K200" s="192">
        <f>'SGTO POAI VIGENCIA 2021'!BI293</f>
        <v>0</v>
      </c>
      <c r="L200" s="192">
        <f t="shared" si="82"/>
        <v>329008863.94999999</v>
      </c>
      <c r="M200" s="192">
        <f t="shared" si="82"/>
        <v>290761030.31</v>
      </c>
      <c r="N200" s="192">
        <f t="shared" si="82"/>
        <v>290761030.31</v>
      </c>
      <c r="P200" s="37"/>
    </row>
    <row r="201" spans="1:16" s="7" customFormat="1" ht="24" customHeight="1" x14ac:dyDescent="0.2">
      <c r="A201" s="95"/>
      <c r="B201" s="450">
        <v>3</v>
      </c>
      <c r="C201" s="451" t="s">
        <v>186</v>
      </c>
      <c r="D201" s="451"/>
      <c r="E201" s="452"/>
      <c r="F201" s="453">
        <f t="shared" ref="F201:N201" si="83">F202+F204</f>
        <v>471069897.20999992</v>
      </c>
      <c r="G201" s="453">
        <f t="shared" si="83"/>
        <v>278058620.41252398</v>
      </c>
      <c r="H201" s="453">
        <f t="shared" si="83"/>
        <v>272941953.74252397</v>
      </c>
      <c r="I201" s="453">
        <f t="shared" si="83"/>
        <v>1146743496.02</v>
      </c>
      <c r="J201" s="453">
        <f t="shared" si="83"/>
        <v>1131380712.0014901</v>
      </c>
      <c r="K201" s="453">
        <f t="shared" si="83"/>
        <v>969587115.74000001</v>
      </c>
      <c r="L201" s="453">
        <f t="shared" si="83"/>
        <v>1617813393.23</v>
      </c>
      <c r="M201" s="453">
        <f t="shared" si="83"/>
        <v>1409439332.4140141</v>
      </c>
      <c r="N201" s="453">
        <f t="shared" si="83"/>
        <v>1242529069.4825239</v>
      </c>
      <c r="O201" s="14"/>
      <c r="P201" s="35"/>
    </row>
    <row r="202" spans="1:16" s="7" customFormat="1" ht="24" customHeight="1" x14ac:dyDescent="0.2">
      <c r="A202" s="95"/>
      <c r="B202" s="55"/>
      <c r="C202" s="420">
        <v>24</v>
      </c>
      <c r="D202" s="413" t="s">
        <v>187</v>
      </c>
      <c r="E202" s="419"/>
      <c r="F202" s="415">
        <f t="shared" ref="F202:N202" si="84">F203</f>
        <v>0</v>
      </c>
      <c r="G202" s="415">
        <f t="shared" si="84"/>
        <v>0</v>
      </c>
      <c r="H202" s="415">
        <f t="shared" si="84"/>
        <v>0</v>
      </c>
      <c r="I202" s="415">
        <f t="shared" si="84"/>
        <v>348896731.19999999</v>
      </c>
      <c r="J202" s="415">
        <f t="shared" si="84"/>
        <v>347384923.11000001</v>
      </c>
      <c r="K202" s="415">
        <f t="shared" si="84"/>
        <v>240924657.09</v>
      </c>
      <c r="L202" s="415">
        <f t="shared" si="84"/>
        <v>348896731.19999999</v>
      </c>
      <c r="M202" s="415">
        <f t="shared" si="84"/>
        <v>347384923.11000001</v>
      </c>
      <c r="N202" s="415">
        <f t="shared" si="84"/>
        <v>240924657.09</v>
      </c>
      <c r="O202" s="14"/>
      <c r="P202" s="35"/>
    </row>
    <row r="203" spans="1:16" s="7" customFormat="1" ht="46.5" customHeight="1" x14ac:dyDescent="0.2">
      <c r="A203" s="95"/>
      <c r="B203" s="46"/>
      <c r="C203" s="46"/>
      <c r="D203" s="44">
        <v>2402</v>
      </c>
      <c r="E203" s="226" t="s">
        <v>188</v>
      </c>
      <c r="F203" s="224">
        <f>'SGTO POAI VIGENCIA 2021'!Z294</f>
        <v>0</v>
      </c>
      <c r="G203" s="224">
        <f>'SGTO POAI VIGENCIA 2021'!AA294</f>
        <v>0</v>
      </c>
      <c r="H203" s="224">
        <f>'SGTO POAI VIGENCIA 2021'!AB294</f>
        <v>0</v>
      </c>
      <c r="I203" s="224">
        <f>'SGTO POAI VIGENCIA 2021'!BG294</f>
        <v>348896731.19999999</v>
      </c>
      <c r="J203" s="224">
        <f>'SGTO POAI VIGENCIA 2021'!BH294</f>
        <v>347384923.11000001</v>
      </c>
      <c r="K203" s="224">
        <f>'SGTO POAI VIGENCIA 2021'!BI294</f>
        <v>240924657.09</v>
      </c>
      <c r="L203" s="192">
        <f>I203+F203</f>
        <v>348896731.19999999</v>
      </c>
      <c r="M203" s="192">
        <f>J203+G203</f>
        <v>347384923.11000001</v>
      </c>
      <c r="N203" s="192">
        <f>K203+H203</f>
        <v>240924657.09</v>
      </c>
      <c r="O203" s="14"/>
      <c r="P203" s="35"/>
    </row>
    <row r="204" spans="1:16" s="7" customFormat="1" ht="24" customHeight="1" x14ac:dyDescent="0.2">
      <c r="A204" s="95"/>
      <c r="B204" s="51"/>
      <c r="C204" s="418">
        <v>40</v>
      </c>
      <c r="D204" s="413" t="s">
        <v>221</v>
      </c>
      <c r="E204" s="419"/>
      <c r="F204" s="415">
        <f t="shared" ref="F204:N204" si="85">F205</f>
        <v>471069897.20999992</v>
      </c>
      <c r="G204" s="415">
        <f t="shared" si="85"/>
        <v>278058620.41252398</v>
      </c>
      <c r="H204" s="415">
        <f t="shared" si="85"/>
        <v>272941953.74252397</v>
      </c>
      <c r="I204" s="415">
        <f t="shared" si="85"/>
        <v>797846764.82000005</v>
      </c>
      <c r="J204" s="415">
        <f t="shared" si="85"/>
        <v>783995788.8914901</v>
      </c>
      <c r="K204" s="415">
        <f t="shared" si="85"/>
        <v>728662458.64999998</v>
      </c>
      <c r="L204" s="415">
        <f t="shared" si="85"/>
        <v>1268916662.03</v>
      </c>
      <c r="M204" s="415">
        <f t="shared" si="85"/>
        <v>1062054409.3040141</v>
      </c>
      <c r="N204" s="415">
        <f t="shared" si="85"/>
        <v>1001604412.392524</v>
      </c>
      <c r="O204" s="14"/>
      <c r="P204" s="35"/>
    </row>
    <row r="205" spans="1:16" s="7" customFormat="1" ht="44.25" customHeight="1" x14ac:dyDescent="0.2">
      <c r="A205" s="95"/>
      <c r="B205" s="46"/>
      <c r="C205" s="46"/>
      <c r="D205" s="44">
        <v>4001</v>
      </c>
      <c r="E205" s="226" t="s">
        <v>222</v>
      </c>
      <c r="F205" s="224">
        <f>SUM('SGTO POAI VIGENCIA 2021'!Z295:Z301)</f>
        <v>471069897.20999992</v>
      </c>
      <c r="G205" s="224">
        <f>SUM('SGTO POAI VIGENCIA 2021'!AA295:AA301)</f>
        <v>278058620.41252398</v>
      </c>
      <c r="H205" s="224">
        <f>SUM('SGTO POAI VIGENCIA 2021'!AB295:AB301)</f>
        <v>272941953.74252397</v>
      </c>
      <c r="I205" s="224">
        <f>SUM('SGTO POAI VIGENCIA 2021'!BG295:BG301)</f>
        <v>797846764.82000005</v>
      </c>
      <c r="J205" s="224">
        <f>SUM('SGTO POAI VIGENCIA 2021'!BH295:BH301)</f>
        <v>783995788.8914901</v>
      </c>
      <c r="K205" s="224">
        <f>SUM('SGTO POAI VIGENCIA 2021'!BI295:BI301)</f>
        <v>728662458.64999998</v>
      </c>
      <c r="L205" s="192">
        <f>I205+F205</f>
        <v>1268916662.03</v>
      </c>
      <c r="M205" s="192">
        <f>J205+G205</f>
        <v>1062054409.3040141</v>
      </c>
      <c r="N205" s="192">
        <f>K205+H205</f>
        <v>1001604412.392524</v>
      </c>
      <c r="O205" s="14"/>
      <c r="P205" s="35"/>
    </row>
    <row r="206" spans="1:16" s="7" customFormat="1" ht="18.75" customHeight="1" x14ac:dyDescent="0.2">
      <c r="A206" s="36"/>
      <c r="B206" s="93"/>
      <c r="C206" s="93"/>
      <c r="D206" s="93"/>
      <c r="E206" s="97"/>
      <c r="F206" s="94"/>
      <c r="G206" s="29"/>
      <c r="H206" s="14"/>
      <c r="I206" s="14"/>
      <c r="J206" s="14"/>
      <c r="K206" s="14"/>
      <c r="L206" s="35"/>
    </row>
    <row r="207" spans="1:16" ht="24" customHeight="1" x14ac:dyDescent="0.2">
      <c r="A207" s="602" t="s">
        <v>4</v>
      </c>
      <c r="B207" s="602" t="s">
        <v>5</v>
      </c>
      <c r="C207" s="602" t="s">
        <v>6</v>
      </c>
      <c r="D207" s="602" t="s">
        <v>1355</v>
      </c>
      <c r="E207" s="603" t="s">
        <v>7</v>
      </c>
      <c r="F207" s="607" t="s">
        <v>1370</v>
      </c>
      <c r="G207" s="605"/>
      <c r="H207" s="606"/>
    </row>
    <row r="208" spans="1:16" ht="24" customHeight="1" x14ac:dyDescent="0.2">
      <c r="A208" s="602"/>
      <c r="B208" s="602"/>
      <c r="C208" s="602"/>
      <c r="D208" s="602"/>
      <c r="E208" s="603"/>
      <c r="F208" s="448" t="s">
        <v>1641</v>
      </c>
      <c r="G208" s="447" t="s">
        <v>1490</v>
      </c>
      <c r="H208" s="447" t="s">
        <v>1491</v>
      </c>
    </row>
    <row r="209" spans="1:12" ht="24" customHeight="1" x14ac:dyDescent="0.2">
      <c r="A209" s="466" t="s">
        <v>1333</v>
      </c>
      <c r="B209" s="467"/>
      <c r="C209" s="467"/>
      <c r="D209" s="467"/>
      <c r="E209" s="468"/>
      <c r="F209" s="406">
        <f>F210</f>
        <v>110210000</v>
      </c>
      <c r="G209" s="406">
        <f t="shared" ref="G209:H211" si="86">G210</f>
        <v>107716000</v>
      </c>
      <c r="H209" s="406">
        <f t="shared" si="86"/>
        <v>107716000</v>
      </c>
    </row>
    <row r="210" spans="1:12" ht="24" customHeight="1" x14ac:dyDescent="0.2">
      <c r="A210" s="49"/>
      <c r="B210" s="450">
        <v>3</v>
      </c>
      <c r="C210" s="451" t="s">
        <v>186</v>
      </c>
      <c r="D210" s="451"/>
      <c r="E210" s="452"/>
      <c r="F210" s="453">
        <f>F211</f>
        <v>110210000</v>
      </c>
      <c r="G210" s="453">
        <f t="shared" si="86"/>
        <v>107716000</v>
      </c>
      <c r="H210" s="453">
        <f t="shared" si="86"/>
        <v>107716000</v>
      </c>
    </row>
    <row r="211" spans="1:12" ht="24" customHeight="1" x14ac:dyDescent="0.2">
      <c r="A211" s="49"/>
      <c r="B211" s="55"/>
      <c r="C211" s="422">
        <v>24</v>
      </c>
      <c r="D211" s="432" t="s">
        <v>187</v>
      </c>
      <c r="E211" s="419"/>
      <c r="F211" s="462">
        <f>F212</f>
        <v>110210000</v>
      </c>
      <c r="G211" s="462">
        <f t="shared" si="86"/>
        <v>107716000</v>
      </c>
      <c r="H211" s="462">
        <f t="shared" si="86"/>
        <v>107716000</v>
      </c>
    </row>
    <row r="212" spans="1:12" s="27" customFormat="1" ht="47.25" customHeight="1" x14ac:dyDescent="0.2">
      <c r="A212" s="54"/>
      <c r="B212" s="44"/>
      <c r="C212" s="44"/>
      <c r="D212" s="44">
        <v>2409</v>
      </c>
      <c r="E212" s="219" t="s">
        <v>1334</v>
      </c>
      <c r="F212" s="192">
        <f>SUM('SGTO POAI VIGENCIA 2021'!BG302:BG305)</f>
        <v>110210000</v>
      </c>
      <c r="G212" s="192">
        <f>SUM('SGTO POAI VIGENCIA 2021'!BH302:BH305)</f>
        <v>107716000</v>
      </c>
      <c r="H212" s="192">
        <f>SUM('SGTO POAI VIGENCIA 2021'!BI302:BI305)</f>
        <v>107716000</v>
      </c>
      <c r="L212" s="34"/>
    </row>
    <row r="213" spans="1:12" s="30" customFormat="1" ht="23.25" customHeight="1" x14ac:dyDescent="0.2">
      <c r="A213" s="1"/>
      <c r="B213" s="9"/>
      <c r="C213" s="9"/>
      <c r="D213" s="9"/>
      <c r="E213" s="10"/>
      <c r="F213" s="175"/>
      <c r="G213" s="256"/>
      <c r="H213" s="257"/>
      <c r="I213" s="14"/>
      <c r="J213" s="14"/>
      <c r="K213" s="14"/>
      <c r="L213" s="35"/>
    </row>
    <row r="214" spans="1:12" s="26" customFormat="1" ht="30" customHeight="1" x14ac:dyDescent="0.25">
      <c r="A214" s="474" t="s">
        <v>1351</v>
      </c>
      <c r="B214" s="475"/>
      <c r="C214" s="475"/>
      <c r="D214" s="475"/>
      <c r="E214" s="475"/>
      <c r="F214" s="476">
        <f>R188+L196+F209</f>
        <v>9907914024.9699993</v>
      </c>
      <c r="G214" s="477">
        <f>S188+M196+G209</f>
        <v>7164500614.1940136</v>
      </c>
      <c r="H214" s="477">
        <f>T188+N196+H209</f>
        <v>6976675351.2625227</v>
      </c>
      <c r="L214" s="39"/>
    </row>
    <row r="215" spans="1:12" s="26" customFormat="1" ht="16.5" thickBot="1" x14ac:dyDescent="0.3">
      <c r="A215" s="23"/>
      <c r="B215" s="24"/>
      <c r="C215" s="24"/>
      <c r="D215" s="24"/>
      <c r="E215" s="25"/>
      <c r="F215" s="176"/>
      <c r="G215" s="176"/>
      <c r="H215" s="176"/>
      <c r="L215" s="39"/>
    </row>
    <row r="216" spans="1:12" s="27" customFormat="1" ht="30" customHeight="1" thickBot="1" x14ac:dyDescent="0.25">
      <c r="A216" s="59" t="s">
        <v>1352</v>
      </c>
      <c r="B216" s="60"/>
      <c r="C216" s="60"/>
      <c r="D216" s="61"/>
      <c r="E216" s="62"/>
      <c r="F216" s="258">
        <f>F214+F184</f>
        <v>329398378156.88007</v>
      </c>
      <c r="G216" s="258">
        <f>G214+G184</f>
        <v>293229739975.77399</v>
      </c>
      <c r="H216" s="258">
        <f>H214+H184</f>
        <v>293041914712.84247</v>
      </c>
      <c r="L216" s="34"/>
    </row>
  </sheetData>
  <mergeCells count="134">
    <mergeCell ref="A207:A208"/>
    <mergeCell ref="B207:B208"/>
    <mergeCell ref="C207:C208"/>
    <mergeCell ref="D207:D208"/>
    <mergeCell ref="A194:A195"/>
    <mergeCell ref="B194:B195"/>
    <mergeCell ref="C194:C195"/>
    <mergeCell ref="D194:D195"/>
    <mergeCell ref="I186:K186"/>
    <mergeCell ref="A186:A187"/>
    <mergeCell ref="B186:B187"/>
    <mergeCell ref="C186:C187"/>
    <mergeCell ref="D186:D187"/>
    <mergeCell ref="F186:H186"/>
    <mergeCell ref="R186:T186"/>
    <mergeCell ref="O186:Q186"/>
    <mergeCell ref="L186:N186"/>
    <mergeCell ref="E207:E208"/>
    <mergeCell ref="E194:E195"/>
    <mergeCell ref="F194:H194"/>
    <mergeCell ref="I194:K194"/>
    <mergeCell ref="L194:N194"/>
    <mergeCell ref="F207:H207"/>
    <mergeCell ref="E186:E187"/>
    <mergeCell ref="O160:Q160"/>
    <mergeCell ref="R160:T160"/>
    <mergeCell ref="U160:W160"/>
    <mergeCell ref="F169:H169"/>
    <mergeCell ref="F138:H138"/>
    <mergeCell ref="I138:K138"/>
    <mergeCell ref="L138:N138"/>
    <mergeCell ref="A160:A161"/>
    <mergeCell ref="B160:B161"/>
    <mergeCell ref="C160:C161"/>
    <mergeCell ref="D160:D161"/>
    <mergeCell ref="E160:E161"/>
    <mergeCell ref="F160:H160"/>
    <mergeCell ref="I160:K160"/>
    <mergeCell ref="L160:N160"/>
    <mergeCell ref="A138:A139"/>
    <mergeCell ref="B138:B139"/>
    <mergeCell ref="C138:C139"/>
    <mergeCell ref="D138:D139"/>
    <mergeCell ref="E138:E139"/>
    <mergeCell ref="I127:K127"/>
    <mergeCell ref="L127:N127"/>
    <mergeCell ref="O127:Q127"/>
    <mergeCell ref="S127:U127"/>
    <mergeCell ref="AB127:AD127"/>
    <mergeCell ref="V127:X127"/>
    <mergeCell ref="F119:H119"/>
    <mergeCell ref="A127:A128"/>
    <mergeCell ref="B127:B128"/>
    <mergeCell ref="C127:C128"/>
    <mergeCell ref="D127:D128"/>
    <mergeCell ref="E127:E128"/>
    <mergeCell ref="F127:H127"/>
    <mergeCell ref="A119:A120"/>
    <mergeCell ref="B119:B120"/>
    <mergeCell ref="C119:C120"/>
    <mergeCell ref="D119:D120"/>
    <mergeCell ref="E119:E120"/>
    <mergeCell ref="A3:A4"/>
    <mergeCell ref="A1:N1"/>
    <mergeCell ref="E97:E98"/>
    <mergeCell ref="D97:D98"/>
    <mergeCell ref="C97:C98"/>
    <mergeCell ref="B97:B98"/>
    <mergeCell ref="A97:A98"/>
    <mergeCell ref="F97:H97"/>
    <mergeCell ref="E88:E89"/>
    <mergeCell ref="F88:H88"/>
    <mergeCell ref="I88:K88"/>
    <mergeCell ref="L88:N88"/>
    <mergeCell ref="A19:A20"/>
    <mergeCell ref="B19:B20"/>
    <mergeCell ref="C19:C20"/>
    <mergeCell ref="D19:D20"/>
    <mergeCell ref="E19:E20"/>
    <mergeCell ref="A80:A81"/>
    <mergeCell ref="A88:A89"/>
    <mergeCell ref="B88:B89"/>
    <mergeCell ref="C88:C89"/>
    <mergeCell ref="D88:D89"/>
    <mergeCell ref="A26:A27"/>
    <mergeCell ref="A11:A12"/>
    <mergeCell ref="U26:W26"/>
    <mergeCell ref="E26:E27"/>
    <mergeCell ref="D26:D27"/>
    <mergeCell ref="C26:C27"/>
    <mergeCell ref="B26:B27"/>
    <mergeCell ref="O26:Q26"/>
    <mergeCell ref="F26:H26"/>
    <mergeCell ref="I26:K26"/>
    <mergeCell ref="B11:B12"/>
    <mergeCell ref="I80:K80"/>
    <mergeCell ref="B3:B4"/>
    <mergeCell ref="C3:C4"/>
    <mergeCell ref="D3:D4"/>
    <mergeCell ref="E3:E4"/>
    <mergeCell ref="F3:H3"/>
    <mergeCell ref="L19:N19"/>
    <mergeCell ref="I19:K19"/>
    <mergeCell ref="F19:H19"/>
    <mergeCell ref="L26:N26"/>
    <mergeCell ref="C11:C12"/>
    <mergeCell ref="D11:D12"/>
    <mergeCell ref="E11:E12"/>
    <mergeCell ref="F11:H11"/>
    <mergeCell ref="F80:H80"/>
    <mergeCell ref="O80:Q80"/>
    <mergeCell ref="I97:K97"/>
    <mergeCell ref="L97:N97"/>
    <mergeCell ref="R26:T26"/>
    <mergeCell ref="Y127:AA127"/>
    <mergeCell ref="A169:A170"/>
    <mergeCell ref="B169:B170"/>
    <mergeCell ref="C169:C170"/>
    <mergeCell ref="D169:D170"/>
    <mergeCell ref="E169:E170"/>
    <mergeCell ref="A56:A57"/>
    <mergeCell ref="B56:B57"/>
    <mergeCell ref="C56:C57"/>
    <mergeCell ref="D56:D57"/>
    <mergeCell ref="R80:T80"/>
    <mergeCell ref="E80:E81"/>
    <mergeCell ref="D80:D81"/>
    <mergeCell ref="C80:C81"/>
    <mergeCell ref="B80:B81"/>
    <mergeCell ref="E56:E57"/>
    <mergeCell ref="F56:H56"/>
    <mergeCell ref="I56:K56"/>
    <mergeCell ref="L56:N56"/>
    <mergeCell ref="L80:N8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8"/>
  <dimension ref="A1:H47"/>
  <sheetViews>
    <sheetView showGridLines="0" zoomScale="80" zoomScaleNormal="80" workbookViewId="0"/>
  </sheetViews>
  <sheetFormatPr baseColWidth="10" defaultColWidth="11.42578125" defaultRowHeight="15" x14ac:dyDescent="0.25"/>
  <cols>
    <col min="3" max="3" width="62" customWidth="1"/>
    <col min="4" max="4" width="30.85546875" customWidth="1"/>
    <col min="5" max="5" width="27.28515625" customWidth="1"/>
    <col min="6" max="6" width="17.140625" customWidth="1"/>
    <col min="7" max="7" width="27.28515625" customWidth="1"/>
    <col min="8" max="8" width="24.5703125" customWidth="1"/>
  </cols>
  <sheetData>
    <row r="1" spans="1:8" ht="69.75" customHeight="1" x14ac:dyDescent="0.25">
      <c r="A1" s="489"/>
      <c r="B1" s="621" t="s">
        <v>1694</v>
      </c>
      <c r="C1" s="621"/>
      <c r="D1" s="621"/>
      <c r="E1" s="621"/>
      <c r="F1" s="621"/>
      <c r="G1" s="621"/>
      <c r="H1" s="621"/>
    </row>
    <row r="2" spans="1:8" ht="24.95" customHeight="1" x14ac:dyDescent="0.25">
      <c r="B2" s="486" t="s">
        <v>1355</v>
      </c>
      <c r="C2" s="487" t="s">
        <v>1697</v>
      </c>
      <c r="D2" s="488" t="s">
        <v>1641</v>
      </c>
      <c r="E2" s="488" t="s">
        <v>1490</v>
      </c>
      <c r="F2" s="486" t="s">
        <v>1506</v>
      </c>
      <c r="G2" s="486" t="s">
        <v>1491</v>
      </c>
      <c r="H2" s="486" t="s">
        <v>1508</v>
      </c>
    </row>
    <row r="3" spans="1:8" ht="24.95" customHeight="1" x14ac:dyDescent="0.25">
      <c r="B3" s="482">
        <v>1</v>
      </c>
      <c r="C3" s="483" t="s">
        <v>136</v>
      </c>
      <c r="D3" s="484">
        <f>SUM(D4:D11)</f>
        <v>289944507382.05005</v>
      </c>
      <c r="E3" s="484">
        <f>SUM(E4:E11)</f>
        <v>270593268666.09</v>
      </c>
      <c r="F3" s="485">
        <f>E3/D3</f>
        <v>0.9332588194524355</v>
      </c>
      <c r="G3" s="484">
        <f>SUM(G4:G11)</f>
        <v>270593268666.09</v>
      </c>
      <c r="H3" s="479">
        <f>G3/E3</f>
        <v>1</v>
      </c>
    </row>
    <row r="4" spans="1:8" ht="24.95" customHeight="1" x14ac:dyDescent="0.25">
      <c r="B4" s="44">
        <v>12</v>
      </c>
      <c r="C4" s="248" t="s">
        <v>137</v>
      </c>
      <c r="D4" s="124">
        <f>'SGTO POAI VIGENCIA 2021'!BP26+'SGTO POAI VIGENCIA 2021'!BP46+'SGTO POAI VIGENCIA 2021'!BP48+'SGTO POAI VIGENCIA 2021'!BP47</f>
        <v>257328401</v>
      </c>
      <c r="E4" s="124">
        <f>'SGTO POAI VIGENCIA 2021'!BQ26+'SGTO POAI VIGENCIA 2021'!BQ46+'SGTO POAI VIGENCIA 2021'!BQ48+'SGTO POAI VIGENCIA 2021'!BQ47</f>
        <v>227515882</v>
      </c>
      <c r="F4" s="377">
        <f>E4/D4</f>
        <v>0.88414602164337075</v>
      </c>
      <c r="G4" s="124">
        <f>'SGTO POAI VIGENCIA 2021'!BR26+'SGTO POAI VIGENCIA 2021'!BR46+'SGTO POAI VIGENCIA 2021'!BR47+'SGTO POAI VIGENCIA 2021'!BR48</f>
        <v>227515882</v>
      </c>
      <c r="H4" s="392">
        <f t="shared" ref="H4:H11" si="0">G4/E4</f>
        <v>1</v>
      </c>
    </row>
    <row r="5" spans="1:8" ht="24.95" customHeight="1" x14ac:dyDescent="0.25">
      <c r="B5" s="44">
        <v>19</v>
      </c>
      <c r="C5" s="248" t="s">
        <v>147</v>
      </c>
      <c r="D5" s="124">
        <f>'SGTO POAI VIGENCIA 2021'!BP27+'SGTO POAI VIGENCIA 2021'!BP166+'SGTO POAI VIGENCIA 2021'!BP167+'SGTO POAI VIGENCIA 2021'!BP201+'SGTO POAI VIGENCIA 2021'!BP202+'SGTO POAI VIGENCIA 2021'!BP203+'SGTO POAI VIGENCIA 2021'!BP204+'SGTO POAI VIGENCIA 2021'!BP205+'SGTO POAI VIGENCIA 2021'!BP206+'SGTO POAI VIGENCIA 2021'!BP207+'SGTO POAI VIGENCIA 2021'!BP208+'SGTO POAI VIGENCIA 2021'!BP209+'SGTO POAI VIGENCIA 2021'!BP210+'SGTO POAI VIGENCIA 2021'!BP211+'SGTO POAI VIGENCIA 2021'!BP212+'SGTO POAI VIGENCIA 2021'!BP213+'SGTO POAI VIGENCIA 2021'!BP214+'SGTO POAI VIGENCIA 2021'!BP215+'SGTO POAI VIGENCIA 2021'!BP216+'SGTO POAI VIGENCIA 2021'!BP217+'SGTO POAI VIGENCIA 2021'!BP218+'SGTO POAI VIGENCIA 2021'!BP219+'SGTO POAI VIGENCIA 2021'!BP220+'SGTO POAI VIGENCIA 2021'!BP221+'SGTO POAI VIGENCIA 2021'!BP222+'SGTO POAI VIGENCIA 2021'!BP223+'SGTO POAI VIGENCIA 2021'!BP224+'SGTO POAI VIGENCIA 2021'!BP225+'SGTO POAI VIGENCIA 2021'!BP226+'SGTO POAI VIGENCIA 2021'!BP227+'SGTO POAI VIGENCIA 2021'!BP228+'SGTO POAI VIGENCIA 2021'!BP229+'SGTO POAI VIGENCIA 2021'!BP230+'SGTO POAI VIGENCIA 2021'!BP231+'SGTO POAI VIGENCIA 2021'!BP232+'SGTO POAI VIGENCIA 2021'!BP233+'SGTO POAI VIGENCIA 2021'!BP234+'SGTO POAI VIGENCIA 2021'!BP235+'SGTO POAI VIGENCIA 2021'!BP236+'SGTO POAI VIGENCIA 2021'!BP237+'SGTO POAI VIGENCIA 2021'!BP238+'SGTO POAI VIGENCIA 2021'!BP239+'SGTO POAI VIGENCIA 2021'!BP240+'SGTO POAI VIGENCIA 2021'!BP241+'SGTO POAI VIGENCIA 2021'!BP242+'SGTO POAI VIGENCIA 2021'!BP243+'SGTO POAI VIGENCIA 2021'!BP244+'SGTO POAI VIGENCIA 2021'!BP245+'SGTO POAI VIGENCIA 2021'!BP246+'SGTO POAI VIGENCIA 2021'!BP247+'SGTO POAI VIGENCIA 2021'!BP248+'SGTO POAI VIGENCIA 2021'!BP249+'SGTO POAI VIGENCIA 2021'!BP250+'SGTO POAI VIGENCIA 2021'!BP251+'SGTO POAI VIGENCIA 2021'!BP252+'SGTO POAI VIGENCIA 2021'!BP253+'SGTO POAI VIGENCIA 2021'!BP254+'SGTO POAI VIGENCIA 2021'!BP255+'SGTO POAI VIGENCIA 2021'!BP256+'SGTO POAI VIGENCIA 2021'!BP257+'SGTO POAI VIGENCIA 2021'!BP258+'SGTO POAI VIGENCIA 2021'!BP259+'SGTO POAI VIGENCIA 2021'!BP260+'SGTO POAI VIGENCIA 2021'!BP261</f>
        <v>75791359345.110001</v>
      </c>
      <c r="E5" s="124">
        <f>'SGTO POAI VIGENCIA 2021'!BQ27+'SGTO POAI VIGENCIA 2021'!BQ166+'SGTO POAI VIGENCIA 2021'!BQ167+'SGTO POAI VIGENCIA 2021'!BQ201+'SGTO POAI VIGENCIA 2021'!BQ202+'SGTO POAI VIGENCIA 2021'!BQ203+'SGTO POAI VIGENCIA 2021'!BQ204+'SGTO POAI VIGENCIA 2021'!BQ205+'SGTO POAI VIGENCIA 2021'!BQ206+'SGTO POAI VIGENCIA 2021'!BQ207+'SGTO POAI VIGENCIA 2021'!BQ208+'SGTO POAI VIGENCIA 2021'!BQ209+'SGTO POAI VIGENCIA 2021'!BQ210+'SGTO POAI VIGENCIA 2021'!BQ211+'SGTO POAI VIGENCIA 2021'!BQ212+'SGTO POAI VIGENCIA 2021'!BQ213+'SGTO POAI VIGENCIA 2021'!BQ214+'SGTO POAI VIGENCIA 2021'!BQ215+'SGTO POAI VIGENCIA 2021'!BQ216+'SGTO POAI VIGENCIA 2021'!BQ217+'SGTO POAI VIGENCIA 2021'!BQ218+'SGTO POAI VIGENCIA 2021'!BQ219+'SGTO POAI VIGENCIA 2021'!BQ220+'SGTO POAI VIGENCIA 2021'!BQ221+'SGTO POAI VIGENCIA 2021'!BQ222+'SGTO POAI VIGENCIA 2021'!BQ223+'SGTO POAI VIGENCIA 2021'!BQ224+'SGTO POAI VIGENCIA 2021'!BQ225+'SGTO POAI VIGENCIA 2021'!BQ226+'SGTO POAI VIGENCIA 2021'!BQ227+'SGTO POAI VIGENCIA 2021'!BQ228+'SGTO POAI VIGENCIA 2021'!BQ229+'SGTO POAI VIGENCIA 2021'!BQ230+'SGTO POAI VIGENCIA 2021'!BQ231+'SGTO POAI VIGENCIA 2021'!BQ232+'SGTO POAI VIGENCIA 2021'!BQ233+'SGTO POAI VIGENCIA 2021'!BQ234+'SGTO POAI VIGENCIA 2021'!BQ235+'SGTO POAI VIGENCIA 2021'!BQ236+'SGTO POAI VIGENCIA 2021'!BQ237+'SGTO POAI VIGENCIA 2021'!BQ238+'SGTO POAI VIGENCIA 2021'!BQ239+'SGTO POAI VIGENCIA 2021'!BQ240+'SGTO POAI VIGENCIA 2021'!BQ241+'SGTO POAI VIGENCIA 2021'!BQ242+'SGTO POAI VIGENCIA 2021'!BQ243+'SGTO POAI VIGENCIA 2021'!BQ244+'SGTO POAI VIGENCIA 2021'!BQ245+'SGTO POAI VIGENCIA 2021'!BQ246+'SGTO POAI VIGENCIA 2021'!BQ247+'SGTO POAI VIGENCIA 2021'!BQ248+'SGTO POAI VIGENCIA 2021'!BQ249+'SGTO POAI VIGENCIA 2021'!BQ250+'SGTO POAI VIGENCIA 2021'!BQ251+'SGTO POAI VIGENCIA 2021'!BQ252+'SGTO POAI VIGENCIA 2021'!BQ253+'SGTO POAI VIGENCIA 2021'!BQ254+'SGTO POAI VIGENCIA 2021'!BQ255+'SGTO POAI VIGENCIA 2021'!BQ256+'SGTO POAI VIGENCIA 2021'!BQ257+'SGTO POAI VIGENCIA 2021'!BQ258+'SGTO POAI VIGENCIA 2021'!BQ259+'SGTO POAI VIGENCIA 2021'!BQ260+'SGTO POAI VIGENCIA 2021'!BQ261</f>
        <v>70021152301.649994</v>
      </c>
      <c r="F5" s="377">
        <f t="shared" ref="F5:F25" si="1">E5/D5</f>
        <v>0.92386721793462201</v>
      </c>
      <c r="G5" s="124">
        <f>'SGTO POAI VIGENCIA 2021'!BR27+'SGTO POAI VIGENCIA 2021'!BR166+'SGTO POAI VIGENCIA 2021'!BR167+'SGTO POAI VIGENCIA 2021'!BR201+'SGTO POAI VIGENCIA 2021'!BR202+'SGTO POAI VIGENCIA 2021'!BR203+'SGTO POAI VIGENCIA 2021'!BR204+'SGTO POAI VIGENCIA 2021'!BR205+'SGTO POAI VIGENCIA 2021'!BR206+'SGTO POAI VIGENCIA 2021'!BR207+'SGTO POAI VIGENCIA 2021'!BR208+'SGTO POAI VIGENCIA 2021'!BR209+'SGTO POAI VIGENCIA 2021'!BR210+'SGTO POAI VIGENCIA 2021'!BR211+'SGTO POAI VIGENCIA 2021'!BR212+'SGTO POAI VIGENCIA 2021'!BR213+'SGTO POAI VIGENCIA 2021'!BR214+'SGTO POAI VIGENCIA 2021'!BR215+'SGTO POAI VIGENCIA 2021'!BR216+'SGTO POAI VIGENCIA 2021'!BR217+'SGTO POAI VIGENCIA 2021'!BR218+'SGTO POAI VIGENCIA 2021'!BR219+'SGTO POAI VIGENCIA 2021'!BR220+'SGTO POAI VIGENCIA 2021'!BR221+'SGTO POAI VIGENCIA 2021'!BR222+'SGTO POAI VIGENCIA 2021'!BR223+'SGTO POAI VIGENCIA 2021'!BR224+'SGTO POAI VIGENCIA 2021'!BR225+'SGTO POAI VIGENCIA 2021'!BR226+'SGTO POAI VIGENCIA 2021'!BR227+'SGTO POAI VIGENCIA 2021'!BR228+'SGTO POAI VIGENCIA 2021'!BR229+'SGTO POAI VIGENCIA 2021'!BR230+'SGTO POAI VIGENCIA 2021'!BR231+'SGTO POAI VIGENCIA 2021'!BR232+'SGTO POAI VIGENCIA 2021'!BR233+'SGTO POAI VIGENCIA 2021'!BR234+'SGTO POAI VIGENCIA 2021'!BR235+'SGTO POAI VIGENCIA 2021'!BR236+'SGTO POAI VIGENCIA 2021'!BR237+'SGTO POAI VIGENCIA 2021'!BR238+'SGTO POAI VIGENCIA 2021'!BR239+'SGTO POAI VIGENCIA 2021'!BR240+'SGTO POAI VIGENCIA 2021'!BR241+'SGTO POAI VIGENCIA 2021'!BR242+'SGTO POAI VIGENCIA 2021'!BR243+'SGTO POAI VIGENCIA 2021'!BR244+'SGTO POAI VIGENCIA 2021'!BR245+'SGTO POAI VIGENCIA 2021'!BR246+'SGTO POAI VIGENCIA 2021'!BR247+'SGTO POAI VIGENCIA 2021'!BR248+'SGTO POAI VIGENCIA 2021'!BR249+'SGTO POAI VIGENCIA 2021'!BR250+'SGTO POAI VIGENCIA 2021'!BR251+'SGTO POAI VIGENCIA 2021'!BR252+'SGTO POAI VIGENCIA 2021'!BR253+'SGTO POAI VIGENCIA 2021'!BR254+'SGTO POAI VIGENCIA 2021'!BR255+'SGTO POAI VIGENCIA 2021'!BR256+'SGTO POAI VIGENCIA 2021'!BR257+'SGTO POAI VIGENCIA 2021'!BR258+'SGTO POAI VIGENCIA 2021'!BR259+'SGTO POAI VIGENCIA 2021'!BR260+'SGTO POAI VIGENCIA 2021'!BR261</f>
        <v>70021152301.649994</v>
      </c>
      <c r="H5" s="392">
        <f t="shared" si="0"/>
        <v>1</v>
      </c>
    </row>
    <row r="6" spans="1:8" ht="24.95" customHeight="1" x14ac:dyDescent="0.25">
      <c r="B6" s="44">
        <v>22</v>
      </c>
      <c r="C6" s="226" t="s">
        <v>156</v>
      </c>
      <c r="D6" s="124">
        <f>'SGTO POAI VIGENCIA 2021'!BP28+'SGTO POAI VIGENCIA 2021'!BP49+'SGTO POAI VIGENCIA 2021'!BP130+'SGTO POAI VIGENCIA 2021'!BP131+'SGTO POAI VIGENCIA 2021'!BP132+'SGTO POAI VIGENCIA 2021'!BP133+'SGTO POAI VIGENCIA 2021'!BP134+'SGTO POAI VIGENCIA 2021'!BP135+'SGTO POAI VIGENCIA 2021'!BP136+'SGTO POAI VIGENCIA 2021'!BP137+'SGTO POAI VIGENCIA 2021'!BP138+'SGTO POAI VIGENCIA 2021'!BP139+'SGTO POAI VIGENCIA 2021'!BP140+'SGTO POAI VIGENCIA 2021'!BP141+'SGTO POAI VIGENCIA 2021'!BP142+'SGTO POAI VIGENCIA 2021'!BP143+'SGTO POAI VIGENCIA 2021'!BP144+'SGTO POAI VIGENCIA 2021'!BP145+'SGTO POAI VIGENCIA 2021'!BP146+'SGTO POAI VIGENCIA 2021'!BP147+'SGTO POAI VIGENCIA 2021'!BP148+'SGTO POAI VIGENCIA 2021'!BP149+'SGTO POAI VIGENCIA 2021'!BP150+'SGTO POAI VIGENCIA 2021'!BP151+'SGTO POAI VIGENCIA 2021'!BP152+'SGTO POAI VIGENCIA 2021'!BP153+'SGTO POAI VIGENCIA 2021'!BP154+'SGTO POAI VIGENCIA 2021'!BP155+'SGTO POAI VIGENCIA 2021'!BP156+'SGTO POAI VIGENCIA 2021'!BP157+'SGTO POAI VIGENCIA 2021'!BP158+'SGTO POAI VIGENCIA 2021'!BP159+'SGTO POAI VIGENCIA 2021'!BP160+'SGTO POAI VIGENCIA 2021'!BP161+'SGTO POAI VIGENCIA 2021'!BP162+'SGTO POAI VIGENCIA 2021'!BP163+'SGTO POAI VIGENCIA 2021'!BP164</f>
        <v>195030162232.18005</v>
      </c>
      <c r="E6" s="124">
        <f>'SGTO POAI VIGENCIA 2021'!BQ28+'SGTO POAI VIGENCIA 2021'!BQ49+'SGTO POAI VIGENCIA 2021'!BQ130+'SGTO POAI VIGENCIA 2021'!BQ131+'SGTO POAI VIGENCIA 2021'!BQ132+'SGTO POAI VIGENCIA 2021'!BQ133+'SGTO POAI VIGENCIA 2021'!BQ134+'SGTO POAI VIGENCIA 2021'!BQ135+'SGTO POAI VIGENCIA 2021'!BQ136+'SGTO POAI VIGENCIA 2021'!BQ137+'SGTO POAI VIGENCIA 2021'!BQ138+'SGTO POAI VIGENCIA 2021'!BQ139+'SGTO POAI VIGENCIA 2021'!BQ140+'SGTO POAI VIGENCIA 2021'!BQ141+'SGTO POAI VIGENCIA 2021'!BQ142+'SGTO POAI VIGENCIA 2021'!BQ143+'SGTO POAI VIGENCIA 2021'!BQ144+'SGTO POAI VIGENCIA 2021'!BQ145+'SGTO POAI VIGENCIA 2021'!BQ146+'SGTO POAI VIGENCIA 2021'!BQ147+'SGTO POAI VIGENCIA 2021'!BQ148+'SGTO POAI VIGENCIA 2021'!BQ149+'SGTO POAI VIGENCIA 2021'!BQ150+'SGTO POAI VIGENCIA 2021'!BQ151+'SGTO POAI VIGENCIA 2021'!BQ152+'SGTO POAI VIGENCIA 2021'!BQ153+'SGTO POAI VIGENCIA 2021'!BQ154+'SGTO POAI VIGENCIA 2021'!BQ155+'SGTO POAI VIGENCIA 2021'!BQ156+'SGTO POAI VIGENCIA 2021'!BQ157+'SGTO POAI VIGENCIA 2021'!BQ158+'SGTO POAI VIGENCIA 2021'!BQ159+'SGTO POAI VIGENCIA 2021'!BQ160+'SGTO POAI VIGENCIA 2021'!BQ161+'SGTO POAI VIGENCIA 2021'!BQ162+'SGTO POAI VIGENCIA 2021'!BQ163+'SGTO POAI VIGENCIA 2021'!BQ164</f>
        <v>189195208927.94998</v>
      </c>
      <c r="F6" s="377">
        <f t="shared" si="1"/>
        <v>0.97008179023466301</v>
      </c>
      <c r="G6" s="124">
        <f>'SGTO POAI VIGENCIA 2021'!BR28+'SGTO POAI VIGENCIA 2021'!BR49+'SGTO POAI VIGENCIA 2021'!BR130+'SGTO POAI VIGENCIA 2021'!BR131+'SGTO POAI VIGENCIA 2021'!BR132+'SGTO POAI VIGENCIA 2021'!BR133+'SGTO POAI VIGENCIA 2021'!BR134+'SGTO POAI VIGENCIA 2021'!BR135+'SGTO POAI VIGENCIA 2021'!BR136+'SGTO POAI VIGENCIA 2021'!BR137+'SGTO POAI VIGENCIA 2021'!BR138+'SGTO POAI VIGENCIA 2021'!BR139+'SGTO POAI VIGENCIA 2021'!BR140+'SGTO POAI VIGENCIA 2021'!BR141+'SGTO POAI VIGENCIA 2021'!BR142+'SGTO POAI VIGENCIA 2021'!BR143+'SGTO POAI VIGENCIA 2021'!BR144+'SGTO POAI VIGENCIA 2021'!BR145+'SGTO POAI VIGENCIA 2021'!BR146+'SGTO POAI VIGENCIA 2021'!BR147+'SGTO POAI VIGENCIA 2021'!BR148+'SGTO POAI VIGENCIA 2021'!BR149+'SGTO POAI VIGENCIA 2021'!BR150+'SGTO POAI VIGENCIA 2021'!BR151+'SGTO POAI VIGENCIA 2021'!BR152+'SGTO POAI VIGENCIA 2021'!BR153+'SGTO POAI VIGENCIA 2021'!BR154+'SGTO POAI VIGENCIA 2021'!BR155+'SGTO POAI VIGENCIA 2021'!BR156+'SGTO POAI VIGENCIA 2021'!BR157+'SGTO POAI VIGENCIA 2021'!BR158+'SGTO POAI VIGENCIA 2021'!BR159+'SGTO POAI VIGENCIA 2021'!BR160+'SGTO POAI VIGENCIA 2021'!BR161+'SGTO POAI VIGENCIA 2021'!BR162+'SGTO POAI VIGENCIA 2021'!BR163+'SGTO POAI VIGENCIA 2021'!BR164</f>
        <v>189195208927.94998</v>
      </c>
      <c r="H6" s="392">
        <f t="shared" si="0"/>
        <v>1</v>
      </c>
    </row>
    <row r="7" spans="1:8" ht="24.95" customHeight="1" x14ac:dyDescent="0.25">
      <c r="B7" s="44">
        <v>23</v>
      </c>
      <c r="C7" s="248" t="s">
        <v>1198</v>
      </c>
      <c r="D7" s="124">
        <f>'SGTO POAI VIGENCIA 2021'!BP262+'SGTO POAI VIGENCIA 2021'!BP263+'SGTO POAI VIGENCIA 2021'!BP264+'SGTO POAI VIGENCIA 2021'!BP265+'SGTO POAI VIGENCIA 2021'!BP266+'SGTO POAI VIGENCIA 2021'!BP267+'SGTO POAI VIGENCIA 2021'!BP268+'SGTO POAI VIGENCIA 2021'!BP269+'SGTO POAI VIGENCIA 2021'!BP270+'SGTO POAI VIGENCIA 2021'!BP271+'SGTO POAI VIGENCIA 2021'!BP272+'SGTO POAI VIGENCIA 2021'!BP273+'SGTO POAI VIGENCIA 2021'!BP274+'SGTO POAI VIGENCIA 2021'!BP275</f>
        <v>820000000</v>
      </c>
      <c r="E7" s="124">
        <f>'SGTO POAI VIGENCIA 2021'!BQ262+'SGTO POAI VIGENCIA 2021'!BQ263+'SGTO POAI VIGENCIA 2021'!BQ264+'SGTO POAI VIGENCIA 2021'!BQ265+'SGTO POAI VIGENCIA 2021'!BQ266+'SGTO POAI VIGENCIA 2021'!BQ267+'SGTO POAI VIGENCIA 2021'!BQ268+'SGTO POAI VIGENCIA 2021'!BQ269+'SGTO POAI VIGENCIA 2021'!BQ270+'SGTO POAI VIGENCIA 2021'!BQ271+'SGTO POAI VIGENCIA 2021'!BQ272+'SGTO POAI VIGENCIA 2021'!BQ273+'SGTO POAI VIGENCIA 2021'!BQ274+'SGTO POAI VIGENCIA 2021'!BQ275</f>
        <v>714748949.42000008</v>
      </c>
      <c r="F7" s="377">
        <f t="shared" si="1"/>
        <v>0.8716450602682928</v>
      </c>
      <c r="G7" s="124">
        <f>'SGTO POAI VIGENCIA 2021'!BR262+'SGTO POAI VIGENCIA 2021'!BR263+'SGTO POAI VIGENCIA 2021'!BR264+'SGTO POAI VIGENCIA 2021'!BR265+'SGTO POAI VIGENCIA 2021'!BR266+'SGTO POAI VIGENCIA 2021'!BR267+'SGTO POAI VIGENCIA 2021'!BR268+'SGTO POAI VIGENCIA 2021'!BR269+'SGTO POAI VIGENCIA 2021'!BR270+'SGTO POAI VIGENCIA 2021'!BR271+'SGTO POAI VIGENCIA 2021'!BR272+'SGTO POAI VIGENCIA 2021'!BR273+'SGTO POAI VIGENCIA 2021'!BR274+'SGTO POAI VIGENCIA 2021'!BR275</f>
        <v>714748949.42000008</v>
      </c>
      <c r="H7" s="392">
        <f t="shared" si="0"/>
        <v>1</v>
      </c>
    </row>
    <row r="8" spans="1:8" ht="24.95" customHeight="1" x14ac:dyDescent="0.25">
      <c r="B8" s="44">
        <v>33</v>
      </c>
      <c r="C8" s="248" t="s">
        <v>166</v>
      </c>
      <c r="D8" s="124">
        <f>'SGTO POAI VIGENCIA 2021'!BP29+'SGTO POAI VIGENCIA 2021'!BP67+'SGTO POAI VIGENCIA 2021'!BP68+'SGTO POAI VIGENCIA 2021'!BP69+'SGTO POAI VIGENCIA 2021'!BP70+'SGTO POAI VIGENCIA 2021'!BP71+'SGTO POAI VIGENCIA 2021'!BP72+'SGTO POAI VIGENCIA 2021'!BP73+'SGTO POAI VIGENCIA 2021'!BP74+'SGTO POAI VIGENCIA 2021'!BP75+'SGTO POAI VIGENCIA 2021'!BP76+'SGTO POAI VIGENCIA 2021'!BP168</f>
        <v>4112962109.3199997</v>
      </c>
      <c r="E8" s="124">
        <f>'SGTO POAI VIGENCIA 2021'!BQ29+'SGTO POAI VIGENCIA 2021'!BQ67+'SGTO POAI VIGENCIA 2021'!BQ68+'SGTO POAI VIGENCIA 2021'!BQ69+'SGTO POAI VIGENCIA 2021'!BQ70+'SGTO POAI VIGENCIA 2021'!BQ71+'SGTO POAI VIGENCIA 2021'!BQ72+'SGTO POAI VIGENCIA 2021'!BQ73+'SGTO POAI VIGENCIA 2021'!BQ74+'SGTO POAI VIGENCIA 2021'!BQ75+'SGTO POAI VIGENCIA 2021'!BQ76+'SGTO POAI VIGENCIA 2021'!BQ168</f>
        <v>3465542521.8099999</v>
      </c>
      <c r="F8" s="377">
        <f t="shared" si="1"/>
        <v>0.84259043232055486</v>
      </c>
      <c r="G8" s="124">
        <f>'SGTO POAI VIGENCIA 2021'!BR29+'SGTO POAI VIGENCIA 2021'!BR67+'SGTO POAI VIGENCIA 2021'!BR68+'SGTO POAI VIGENCIA 2021'!BR69+'SGTO POAI VIGENCIA 2021'!BR70+'SGTO POAI VIGENCIA 2021'!BR71+'SGTO POAI VIGENCIA 2021'!BR72+'SGTO POAI VIGENCIA 2021'!BR73+'SGTO POAI VIGENCIA 2021'!BR74+'SGTO POAI VIGENCIA 2021'!BR75+'SGTO POAI VIGENCIA 2021'!BR76+'SGTO POAI VIGENCIA 2021'!BR168</f>
        <v>3465542521.8099999</v>
      </c>
      <c r="H8" s="392">
        <f t="shared" si="0"/>
        <v>1</v>
      </c>
    </row>
    <row r="9" spans="1:8" ht="24.95" customHeight="1" x14ac:dyDescent="0.25">
      <c r="B9" s="44">
        <v>41</v>
      </c>
      <c r="C9" s="226" t="s">
        <v>284</v>
      </c>
      <c r="D9" s="124">
        <f>'SGTO POAI VIGENCIA 2021'!BP50+'SGTO POAI VIGENCIA 2021'!BP51+'SGTO POAI VIGENCIA 2021'!BP52+'SGTO POAI VIGENCIA 2021'!BP53+'SGTO POAI VIGENCIA 2021'!BP54+'SGTO POAI VIGENCIA 2021'!BP55+'SGTO POAI VIGENCIA 2021'!BP169+'SGTO POAI VIGENCIA 2021'!BP170+'SGTO POAI VIGENCIA 2021'!BP171+'SGTO POAI VIGENCIA 2021'!BP172+'SGTO POAI VIGENCIA 2021'!BP173+'SGTO POAI VIGENCIA 2021'!BP174+'SGTO POAI VIGENCIA 2021'!BP175+'SGTO POAI VIGENCIA 2021'!BP176+'SGTO POAI VIGENCIA 2021'!BP177+'SGTO POAI VIGENCIA 2021'!BP178+'SGTO POAI VIGENCIA 2021'!BP179+'SGTO POAI VIGENCIA 2021'!BP180+'SGTO POAI VIGENCIA 2021'!BP181+'SGTO POAI VIGENCIA 2021'!BP182+'SGTO POAI VIGENCIA 2021'!BP183+'SGTO POAI VIGENCIA 2021'!BP184+'SGTO POAI VIGENCIA 2021'!BP185+'SGTO POAI VIGENCIA 2021'!BP186+'SGTO POAI VIGENCIA 2021'!BP187+'SGTO POAI VIGENCIA 2021'!BP188+'SGTO POAI VIGENCIA 2021'!BP189+'SGTO POAI VIGENCIA 2021'!BP190</f>
        <v>6734411589.0100002</v>
      </c>
      <c r="E9" s="124">
        <f>'SGTO POAI VIGENCIA 2021'!BQ50+'SGTO POAI VIGENCIA 2021'!BQ51+'SGTO POAI VIGENCIA 2021'!BQ52+'SGTO POAI VIGENCIA 2021'!BQ53+'SGTO POAI VIGENCIA 2021'!BQ54+'SGTO POAI VIGENCIA 2021'!BQ55+'SGTO POAI VIGENCIA 2021'!BQ169+'SGTO POAI VIGENCIA 2021'!BQ170+'SGTO POAI VIGENCIA 2021'!BQ171+'SGTO POAI VIGENCIA 2021'!BQ172+'SGTO POAI VIGENCIA 2021'!BQ173+'SGTO POAI VIGENCIA 2021'!BQ174+'SGTO POAI VIGENCIA 2021'!BQ175+'SGTO POAI VIGENCIA 2021'!BQ176+'SGTO POAI VIGENCIA 2021'!BQ177+'SGTO POAI VIGENCIA 2021'!BQ178+'SGTO POAI VIGENCIA 2021'!BQ179+'SGTO POAI VIGENCIA 2021'!BQ180+'SGTO POAI VIGENCIA 2021'!BQ181+'SGTO POAI VIGENCIA 2021'!BQ182+'SGTO POAI VIGENCIA 2021'!BQ183+'SGTO POAI VIGENCIA 2021'!BQ184+'SGTO POAI VIGENCIA 2021'!BQ185+'SGTO POAI VIGENCIA 2021'!BQ186+'SGTO POAI VIGENCIA 2021'!BQ187+'SGTO POAI VIGENCIA 2021'!BQ188+'SGTO POAI VIGENCIA 2021'!BQ189+'SGTO POAI VIGENCIA 2021'!BQ190</f>
        <v>5215425057.5900002</v>
      </c>
      <c r="F9" s="377">
        <f>E9/D9</f>
        <v>0.77444406072553396</v>
      </c>
      <c r="G9" s="124">
        <f>'SGTO POAI VIGENCIA 2021'!BR50+'SGTO POAI VIGENCIA 2021'!BR51+'SGTO POAI VIGENCIA 2021'!BR52+'SGTO POAI VIGENCIA 2021'!BR53+'SGTO POAI VIGENCIA 2021'!BR54+'SGTO POAI VIGENCIA 2021'!BR55+'SGTO POAI VIGENCIA 2021'!BR169+'SGTO POAI VIGENCIA 2021'!BR170+'SGTO POAI VIGENCIA 2021'!BR171+'SGTO POAI VIGENCIA 2021'!BR172+'SGTO POAI VIGENCIA 2021'!BR173+'SGTO POAI VIGENCIA 2021'!BR174+'SGTO POAI VIGENCIA 2021'!BR175+'SGTO POAI VIGENCIA 2021'!BR176+'SGTO POAI VIGENCIA 2021'!BR177+'SGTO POAI VIGENCIA 2021'!BR178+'SGTO POAI VIGENCIA 2021'!BR179+'SGTO POAI VIGENCIA 2021'!BR180+'SGTO POAI VIGENCIA 2021'!BR181+'SGTO POAI VIGENCIA 2021'!BR182+'SGTO POAI VIGENCIA 2021'!BR183+'SGTO POAI VIGENCIA 2021'!BR184+'SGTO POAI VIGENCIA 2021'!BR185+'SGTO POAI VIGENCIA 2021'!BR186+'SGTO POAI VIGENCIA 2021'!BR187+'SGTO POAI VIGENCIA 2021'!BR188+'SGTO POAI VIGENCIA 2021'!BR189+'SGTO POAI VIGENCIA 2021'!BR190</f>
        <v>5215425057.5900002</v>
      </c>
      <c r="H9" s="392">
        <f>G9/E9</f>
        <v>1</v>
      </c>
    </row>
    <row r="10" spans="1:8" ht="24.95" customHeight="1" x14ac:dyDescent="0.25">
      <c r="B10" s="44">
        <v>43</v>
      </c>
      <c r="C10" s="248" t="s">
        <v>176</v>
      </c>
      <c r="D10" s="124">
        <f>'SGTO POAI VIGENCIA 2021'!BP30</f>
        <v>2760904177.1000004</v>
      </c>
      <c r="E10" s="124">
        <f>'SGTO POAI VIGENCIA 2021'!BQ30</f>
        <v>573180312.50999999</v>
      </c>
      <c r="F10" s="377">
        <f t="shared" si="1"/>
        <v>0.20760601445866092</v>
      </c>
      <c r="G10" s="124">
        <f>'SGTO POAI VIGENCIA 2021'!BR30</f>
        <v>573180312.50999999</v>
      </c>
      <c r="H10" s="392">
        <f t="shared" si="0"/>
        <v>1</v>
      </c>
    </row>
    <row r="11" spans="1:8" ht="24.95" customHeight="1" x14ac:dyDescent="0.25">
      <c r="B11" s="44">
        <v>45</v>
      </c>
      <c r="C11" s="226" t="s">
        <v>38</v>
      </c>
      <c r="D11" s="124">
        <f>'SGTO POAI VIGENCIA 2021'!BP56+'SGTO POAI VIGENCIA 2021'!BP57</f>
        <v>4437379528.3299999</v>
      </c>
      <c r="E11" s="124">
        <f>'SGTO POAI VIGENCIA 2021'!BQ56+'SGTO POAI VIGENCIA 2021'!BQ57</f>
        <v>1180494713.1599998</v>
      </c>
      <c r="F11" s="377">
        <f t="shared" si="1"/>
        <v>0.26603420005506651</v>
      </c>
      <c r="G11" s="124">
        <f>'SGTO POAI VIGENCIA 2021'!BR56+'SGTO POAI VIGENCIA 2021'!BR57</f>
        <v>1180494713.1599998</v>
      </c>
      <c r="H11" s="392">
        <f t="shared" si="0"/>
        <v>1</v>
      </c>
    </row>
    <row r="12" spans="1:8" ht="24.95" customHeight="1" x14ac:dyDescent="0.25">
      <c r="B12" s="422">
        <v>2</v>
      </c>
      <c r="C12" s="414" t="s">
        <v>400</v>
      </c>
      <c r="D12" s="415">
        <f>SUM(D13:D16)</f>
        <v>5899994710.2399998</v>
      </c>
      <c r="E12" s="415">
        <f>SUM(E13:E16)</f>
        <v>4757390366.5100002</v>
      </c>
      <c r="F12" s="478">
        <f t="shared" si="1"/>
        <v>0.8063380731940486</v>
      </c>
      <c r="G12" s="415">
        <f>SUM(G13:G16)</f>
        <v>4757390366.5100002</v>
      </c>
      <c r="H12" s="479">
        <f>G12/E12</f>
        <v>1</v>
      </c>
    </row>
    <row r="13" spans="1:8" ht="24.95" customHeight="1" x14ac:dyDescent="0.25">
      <c r="B13" s="44">
        <v>17</v>
      </c>
      <c r="C13" s="226" t="s">
        <v>451</v>
      </c>
      <c r="D13" s="124">
        <f>'SGTO POAI VIGENCIA 2021'!BP89+'SGTO POAI VIGENCIA 2021'!BP90+'SGTO POAI VIGENCIA 2021'!BP91+'SGTO POAI VIGENCIA 2021'!BP92+'SGTO POAI VIGENCIA 2021'!BP93+'SGTO POAI VIGENCIA 2021'!BP94+'SGTO POAI VIGENCIA 2021'!BP95+'SGTO POAI VIGENCIA 2021'!BP96+'SGTO POAI VIGENCIA 2021'!BP97+'SGTO POAI VIGENCIA 2021'!BP98+'SGTO POAI VIGENCIA 2021'!BP99+'SGTO POAI VIGENCIA 2021'!BP100+'SGTO POAI VIGENCIA 2021'!BP101+'SGTO POAI VIGENCIA 2021'!BP102+'SGTO POAI VIGENCIA 2021'!BP103+'SGTO POAI VIGENCIA 2021'!BP104+'SGTO POAI VIGENCIA 2021'!BP105+'SGTO POAI VIGENCIA 2021'!BP106+'SGTO POAI VIGENCIA 2021'!BP107+'SGTO POAI VIGENCIA 2021'!BP108+'SGTO POAI VIGENCIA 2021'!BP109+'SGTO POAI VIGENCIA 2021'!BP191</f>
        <v>2183711999.6300001</v>
      </c>
      <c r="E13" s="124">
        <f>'SGTO POAI VIGENCIA 2021'!BQ89+'SGTO POAI VIGENCIA 2021'!BQ90+'SGTO POAI VIGENCIA 2021'!BQ91+'SGTO POAI VIGENCIA 2021'!BQ92+'SGTO POAI VIGENCIA 2021'!BQ93+'SGTO POAI VIGENCIA 2021'!BQ94+'SGTO POAI VIGENCIA 2021'!BQ95+'SGTO POAI VIGENCIA 2021'!BQ96+'SGTO POAI VIGENCIA 2021'!BQ97+'SGTO POAI VIGENCIA 2021'!BQ98+'SGTO POAI VIGENCIA 2021'!BQ99+'SGTO POAI VIGENCIA 2021'!BQ100+'SGTO POAI VIGENCIA 2021'!BQ101+'SGTO POAI VIGENCIA 2021'!BQ102+'SGTO POAI VIGENCIA 2021'!BQ103+'SGTO POAI VIGENCIA 2021'!BQ104+'SGTO POAI VIGENCIA 2021'!BQ105+'SGTO POAI VIGENCIA 2021'!BQ106+'SGTO POAI VIGENCIA 2021'!BQ107+'SGTO POAI VIGENCIA 2021'!BQ108+'SGTO POAI VIGENCIA 2021'!BQ109+'SGTO POAI VIGENCIA 2021'!BQ191</f>
        <v>1684264489</v>
      </c>
      <c r="F13" s="377">
        <f t="shared" si="1"/>
        <v>0.77128508213783475</v>
      </c>
      <c r="G13" s="124">
        <f>'SGTO POAI VIGENCIA 2021'!BR89+'SGTO POAI VIGENCIA 2021'!BR90+'SGTO POAI VIGENCIA 2021'!BR91+'SGTO POAI VIGENCIA 2021'!BR92+'SGTO POAI VIGENCIA 2021'!BR93+'SGTO POAI VIGENCIA 2021'!BR94+'SGTO POAI VIGENCIA 2021'!BR95+'SGTO POAI VIGENCIA 2021'!BR96+'SGTO POAI VIGENCIA 2021'!BR97+'SGTO POAI VIGENCIA 2021'!BR98+'SGTO POAI VIGENCIA 2021'!BR99+'SGTO POAI VIGENCIA 2021'!BR100+'SGTO POAI VIGENCIA 2021'!BR101+'SGTO POAI VIGENCIA 2021'!BR102+'SGTO POAI VIGENCIA 2021'!BR103+'SGTO POAI VIGENCIA 2021'!BR104+'SGTO POAI VIGENCIA 2021'!BR105+'SGTO POAI VIGENCIA 2021'!BR106+'SGTO POAI VIGENCIA 2021'!BR107+'SGTO POAI VIGENCIA 2021'!BR108+'SGTO POAI VIGENCIA 2021'!BR109+'SGTO POAI VIGENCIA 2021'!BR191</f>
        <v>1684264489</v>
      </c>
      <c r="H13" s="392">
        <f t="shared" ref="H13:H16" si="2">G13/E13</f>
        <v>1</v>
      </c>
    </row>
    <row r="14" spans="1:8" ht="24.95" customHeight="1" x14ac:dyDescent="0.25">
      <c r="B14" s="44">
        <v>35</v>
      </c>
      <c r="C14" s="226" t="s">
        <v>401</v>
      </c>
      <c r="D14" s="124">
        <f>'SGTO POAI VIGENCIA 2021'!BP31+'SGTO POAI VIGENCIA 2021'!BP77+'SGTO POAI VIGENCIA 2021'!BP78+'SGTO POAI VIGENCIA 2021'!BP79+'SGTO POAI VIGENCIA 2021'!BP80+'SGTO POAI VIGENCIA 2021'!BP81+'SGTO POAI VIGENCIA 2021'!BP82+'SGTO POAI VIGENCIA 2021'!BP83+'SGTO POAI VIGENCIA 2021'!BP84+'SGTO POAI VIGENCIA 2021'!BP110+'SGTO POAI VIGENCIA 2021'!BP111</f>
        <v>3355087710.6100001</v>
      </c>
      <c r="E14" s="124">
        <f>'SGTO POAI VIGENCIA 2021'!BQ31+'SGTO POAI VIGENCIA 2021'!BQ77+'SGTO POAI VIGENCIA 2021'!BQ78+'SGTO POAI VIGENCIA 2021'!BQ79+'SGTO POAI VIGENCIA 2021'!BQ80+'SGTO POAI VIGENCIA 2021'!BQ81+'SGTO POAI VIGENCIA 2021'!BQ82+'SGTO POAI VIGENCIA 2021'!BQ83+'SGTO POAI VIGENCIA 2021'!BQ84+'SGTO POAI VIGENCIA 2021'!BQ110+'SGTO POAI VIGENCIA 2021'!BQ111</f>
        <v>2736632594.5100002</v>
      </c>
      <c r="F14" s="377">
        <f t="shared" si="1"/>
        <v>0.8156664834292644</v>
      </c>
      <c r="G14" s="124">
        <f>'SGTO POAI VIGENCIA 2021'!BR31+'SGTO POAI VIGENCIA 2021'!BR77+'SGTO POAI VIGENCIA 2021'!BR78+'SGTO POAI VIGENCIA 2021'!BR79+'SGTO POAI VIGENCIA 2021'!BR80+'SGTO POAI VIGENCIA 2021'!BR81+'SGTO POAI VIGENCIA 2021'!BR82+'SGTO POAI VIGENCIA 2021'!BR83+'SGTO POAI VIGENCIA 2021'!BR84+'SGTO POAI VIGENCIA 2021'!BR110+'SGTO POAI VIGENCIA 2021'!BR111</f>
        <v>2736632594.5100002</v>
      </c>
      <c r="H14" s="392">
        <f t="shared" si="2"/>
        <v>1</v>
      </c>
    </row>
    <row r="15" spans="1:8" ht="24.95" customHeight="1" x14ac:dyDescent="0.25">
      <c r="B15" s="44">
        <v>36</v>
      </c>
      <c r="C15" s="226" t="s">
        <v>433</v>
      </c>
      <c r="D15" s="124">
        <f>'SGTO POAI VIGENCIA 2021'!BP85+'SGTO POAI VIGENCIA 2021'!BP86+'SGTO POAI VIGENCIA 2021'!BP87+'SGTO POAI VIGENCIA 2021'!BP88+'SGTO POAI VIGENCIA 2021'!BP192</f>
        <v>275695000</v>
      </c>
      <c r="E15" s="124">
        <f>'SGTO POAI VIGENCIA 2021'!BQ85+'SGTO POAI VIGENCIA 2021'!BQ86+'SGTO POAI VIGENCIA 2021'!BQ87+'SGTO POAI VIGENCIA 2021'!BQ88+'SGTO POAI VIGENCIA 2021'!BQ192</f>
        <v>264212451</v>
      </c>
      <c r="F15" s="377">
        <f t="shared" si="1"/>
        <v>0.95835053591831554</v>
      </c>
      <c r="G15" s="124">
        <f>'SGTO POAI VIGENCIA 2021'!BR85+'SGTO POAI VIGENCIA 2021'!BR86+'SGTO POAI VIGENCIA 2021'!BR87+'SGTO POAI VIGENCIA 2021'!BR88+'SGTO POAI VIGENCIA 2021'!BR192</f>
        <v>264212451</v>
      </c>
      <c r="H15" s="392">
        <f t="shared" si="2"/>
        <v>1</v>
      </c>
    </row>
    <row r="16" spans="1:8" ht="24.95" customHeight="1" x14ac:dyDescent="0.25">
      <c r="B16" s="44">
        <v>39</v>
      </c>
      <c r="C16" s="226" t="s">
        <v>1483</v>
      </c>
      <c r="D16" s="124">
        <f>'SGTO POAI VIGENCIA 2021'!BP165+'SGTO POAI VIGENCIA 2021'!BP276+'SGTO POAI VIGENCIA 2021'!BP277+'SGTO POAI VIGENCIA 2021'!BP278+'SGTO POAI VIGENCIA 2021'!BP279</f>
        <v>85500000</v>
      </c>
      <c r="E16" s="124">
        <f>'SGTO POAI VIGENCIA 2021'!BQ165+'SGTO POAI VIGENCIA 2021'!BQ276+'SGTO POAI VIGENCIA 2021'!BQ277+'SGTO POAI VIGENCIA 2021'!BQ278+'SGTO POAI VIGENCIA 2021'!BQ279</f>
        <v>72280832</v>
      </c>
      <c r="F16" s="377">
        <f t="shared" si="1"/>
        <v>0.84538984795321637</v>
      </c>
      <c r="G16" s="124">
        <f>'SGTO POAI VIGENCIA 2021'!BR165+'SGTO POAI VIGENCIA 2021'!BR276+'SGTO POAI VIGENCIA 2021'!BR277+'SGTO POAI VIGENCIA 2021'!BR278+'SGTO POAI VIGENCIA 2021'!BR279</f>
        <v>72280832</v>
      </c>
      <c r="H16" s="392">
        <f t="shared" si="2"/>
        <v>1</v>
      </c>
    </row>
    <row r="17" spans="2:8" ht="24.95" customHeight="1" x14ac:dyDescent="0.25">
      <c r="B17" s="422">
        <v>3</v>
      </c>
      <c r="C17" s="414" t="s">
        <v>186</v>
      </c>
      <c r="D17" s="415">
        <f>SUM(D18:D21)</f>
        <v>16883128288.780001</v>
      </c>
      <c r="E17" s="415">
        <f>SUM(E18:E21)</f>
        <v>4858397431.4200001</v>
      </c>
      <c r="F17" s="478">
        <f t="shared" si="1"/>
        <v>0.28776642268653135</v>
      </c>
      <c r="G17" s="415">
        <f>SUM(G18:G21)</f>
        <v>4858397431.4200001</v>
      </c>
      <c r="H17" s="479">
        <f>G17/E17</f>
        <v>1</v>
      </c>
    </row>
    <row r="18" spans="2:8" ht="24.95" customHeight="1" x14ac:dyDescent="0.25">
      <c r="B18" s="44">
        <v>24</v>
      </c>
      <c r="C18" s="226" t="s">
        <v>187</v>
      </c>
      <c r="D18" s="124">
        <f>'SGTO POAI VIGENCIA 2021'!BP32+'SGTO POAI VIGENCIA 2021'!BP33+'SGTO POAI VIGENCIA 2021'!BP34</f>
        <v>8590607588</v>
      </c>
      <c r="E18" s="124">
        <f>'SGTO POAI VIGENCIA 2021'!BQ32+'SGTO POAI VIGENCIA 2021'!BQ33+'SGTO POAI VIGENCIA 2021'!BQ34</f>
        <v>369431670</v>
      </c>
      <c r="F18" s="377">
        <f t="shared" si="1"/>
        <v>4.3004137508975457E-2</v>
      </c>
      <c r="G18" s="124">
        <f>'SGTO POAI VIGENCIA 2021'!BR32+'SGTO POAI VIGENCIA 2021'!BR33+'SGTO POAI VIGENCIA 2021'!BR34</f>
        <v>369431670</v>
      </c>
      <c r="H18" s="392">
        <f t="shared" ref="H18:H21" si="3">G18/E18</f>
        <v>1</v>
      </c>
    </row>
    <row r="19" spans="2:8" ht="24.95" customHeight="1" x14ac:dyDescent="0.25">
      <c r="B19" s="44">
        <v>32</v>
      </c>
      <c r="C19" s="226" t="s">
        <v>207</v>
      </c>
      <c r="D19" s="124">
        <f>'SGTO POAI VIGENCIA 2021'!BP35+'SGTO POAI VIGENCIA 2021'!BP36+'SGTO POAI VIGENCIA 2021'!BP58+'SGTO POAI VIGENCIA 2021'!BP112+'SGTO POAI VIGENCIA 2021'!BP113+'SGTO POAI VIGENCIA 2021'!BP114+'SGTO POAI VIGENCIA 2021'!BP115+'SGTO POAI VIGENCIA 2021'!BP116+'SGTO POAI VIGENCIA 2021'!BP117+'SGTO POAI VIGENCIA 2021'!BP118+'SGTO POAI VIGENCIA 2021'!BP119+'SGTO POAI VIGENCIA 2021'!BP120+'SGTO POAI VIGENCIA 2021'!BP121+'SGTO POAI VIGENCIA 2021'!BP122+'SGTO POAI VIGENCIA 2021'!BP123+'SGTO POAI VIGENCIA 2021'!BP124+'SGTO POAI VIGENCIA 2021'!BP125+'SGTO POAI VIGENCIA 2021'!BP126</f>
        <v>4144045955</v>
      </c>
      <c r="E19" s="124">
        <f>'SGTO POAI VIGENCIA 2021'!BQ35+'SGTO POAI VIGENCIA 2021'!BQ36+'SGTO POAI VIGENCIA 2021'!BQ58+'SGTO POAI VIGENCIA 2021'!BQ112+'SGTO POAI VIGENCIA 2021'!BQ113+'SGTO POAI VIGENCIA 2021'!BQ114+'SGTO POAI VIGENCIA 2021'!BQ115+'SGTO POAI VIGENCIA 2021'!BQ116+'SGTO POAI VIGENCIA 2021'!BQ117+'SGTO POAI VIGENCIA 2021'!BQ118+'SGTO POAI VIGENCIA 2021'!BQ119+'SGTO POAI VIGENCIA 2021'!BQ120+'SGTO POAI VIGENCIA 2021'!BQ121+'SGTO POAI VIGENCIA 2021'!BQ122+'SGTO POAI VIGENCIA 2021'!BQ123+'SGTO POAI VIGENCIA 2021'!BQ124+'SGTO POAI VIGENCIA 2021'!BQ125+'SGTO POAI VIGENCIA 2021'!BQ126</f>
        <v>1141169925.3599999</v>
      </c>
      <c r="F19" s="377">
        <f t="shared" si="1"/>
        <v>0.27537578920502098</v>
      </c>
      <c r="G19" s="124">
        <f>'SGTO POAI VIGENCIA 2021'!BR35+'SGTO POAI VIGENCIA 2021'!BR36+'SGTO POAI VIGENCIA 2021'!BR58+'SGTO POAI VIGENCIA 2021'!BR112+'SGTO POAI VIGENCIA 2021'!BR113+'SGTO POAI VIGENCIA 2021'!BR114+'SGTO POAI VIGENCIA 2021'!BR115+'SGTO POAI VIGENCIA 2021'!BR116+'SGTO POAI VIGENCIA 2021'!BR117+'SGTO POAI VIGENCIA 2021'!BR118+'SGTO POAI VIGENCIA 2021'!BR119+'SGTO POAI VIGENCIA 2021'!BR120+'SGTO POAI VIGENCIA 2021'!BR121+'SGTO POAI VIGENCIA 2021'!BR122+'SGTO POAI VIGENCIA 2021'!BR123+'SGTO POAI VIGENCIA 2021'!BR124+'SGTO POAI VIGENCIA 2021'!BR125+'SGTO POAI VIGENCIA 2021'!BR126</f>
        <v>1141169925.3599999</v>
      </c>
      <c r="H19" s="392">
        <f t="shared" si="3"/>
        <v>1</v>
      </c>
    </row>
    <row r="20" spans="2:8" ht="24.95" customHeight="1" x14ac:dyDescent="0.25">
      <c r="B20" s="44">
        <v>40</v>
      </c>
      <c r="C20" s="226" t="s">
        <v>221</v>
      </c>
      <c r="D20" s="124">
        <f>'SGTO POAI VIGENCIA 2021'!BP37+'SGTO POAI VIGENCIA 2021'!BP38+'SGTO POAI VIGENCIA 2021'!BP39+'SGTO POAI VIGENCIA 2021'!BP40+'SGTO POAI VIGENCIA 2021'!BP41+'SGTO POAI VIGENCIA 2021'!BP42+'SGTO POAI VIGENCIA 2021'!BP43</f>
        <v>3620159641.7800002</v>
      </c>
      <c r="E20" s="124">
        <f>'SGTO POAI VIGENCIA 2021'!BQ37+'SGTO POAI VIGENCIA 2021'!BQ38+'SGTO POAI VIGENCIA 2021'!BQ39+'SGTO POAI VIGENCIA 2021'!BQ40+'SGTO POAI VIGENCIA 2021'!BQ41+'SGTO POAI VIGENCIA 2021'!BQ42+'SGTO POAI VIGENCIA 2021'!BQ43</f>
        <v>3056693113</v>
      </c>
      <c r="F20" s="377">
        <f t="shared" si="1"/>
        <v>0.84435312678560526</v>
      </c>
      <c r="G20" s="124">
        <f>'SGTO POAI VIGENCIA 2021'!BR37+'SGTO POAI VIGENCIA 2021'!BR38+'SGTO POAI VIGENCIA 2021'!BR39+'SGTO POAI VIGENCIA 2021'!BR40+'SGTO POAI VIGENCIA 2021'!BR41+'SGTO POAI VIGENCIA 2021'!BR42+'SGTO POAI VIGENCIA 2021'!BR43</f>
        <v>3056693113</v>
      </c>
      <c r="H20" s="392">
        <f t="shared" si="3"/>
        <v>1</v>
      </c>
    </row>
    <row r="21" spans="2:8" ht="24.95" customHeight="1" x14ac:dyDescent="0.25">
      <c r="B21" s="44">
        <v>45</v>
      </c>
      <c r="C21" s="226" t="s">
        <v>38</v>
      </c>
      <c r="D21" s="124">
        <f>'SGTO POAI VIGENCIA 2021'!BP59+'SGTO POAI VIGENCIA 2021'!BP60+'SGTO POAI VIGENCIA 2021'!BP61</f>
        <v>528315104</v>
      </c>
      <c r="E21" s="124">
        <f>'SGTO POAI VIGENCIA 2021'!BQ59+'SGTO POAI VIGENCIA 2021'!BQ60+'SGTO POAI VIGENCIA 2021'!BQ61</f>
        <v>291102723.06</v>
      </c>
      <c r="F21" s="377">
        <f t="shared" si="1"/>
        <v>0.55100208352173097</v>
      </c>
      <c r="G21" s="124">
        <f>'SGTO POAI VIGENCIA 2021'!BR59+'SGTO POAI VIGENCIA 2021'!BR60+'SGTO POAI VIGENCIA 2021'!BR61</f>
        <v>291102723.06</v>
      </c>
      <c r="H21" s="392">
        <f t="shared" si="3"/>
        <v>1</v>
      </c>
    </row>
    <row r="22" spans="2:8" ht="24.95" customHeight="1" x14ac:dyDescent="0.25">
      <c r="B22" s="422">
        <v>4</v>
      </c>
      <c r="C22" s="414" t="s">
        <v>37</v>
      </c>
      <c r="D22" s="415">
        <f>SUM(D23:D24)</f>
        <v>6762833750.8400002</v>
      </c>
      <c r="E22" s="415">
        <f>SUM(E23:E24)</f>
        <v>5856182897.5599995</v>
      </c>
      <c r="F22" s="478">
        <f t="shared" si="1"/>
        <v>0.86593624999766006</v>
      </c>
      <c r="G22" s="415">
        <f>SUM(G23:G24)</f>
        <v>5856182897.5599995</v>
      </c>
      <c r="H22" s="479">
        <f>G22/E22</f>
        <v>1</v>
      </c>
    </row>
    <row r="23" spans="2:8" ht="24.95" customHeight="1" x14ac:dyDescent="0.25">
      <c r="B23" s="44">
        <v>23</v>
      </c>
      <c r="C23" s="226" t="s">
        <v>1198</v>
      </c>
      <c r="D23" s="124">
        <f>'SGTO POAI VIGENCIA 2021'!BP280+'SGTO POAI VIGENCIA 2021'!BP281+'SGTO POAI VIGENCIA 2021'!BP282+'SGTO POAI VIGENCIA 2021'!BP283+'SGTO POAI VIGENCIA 2021'!BP284+'SGTO POAI VIGENCIA 2021'!BP285</f>
        <v>298000000</v>
      </c>
      <c r="E23" s="124">
        <f>'SGTO POAI VIGENCIA 2021'!BQ280+'SGTO POAI VIGENCIA 2021'!BQ281+'SGTO POAI VIGENCIA 2021'!BQ282+'SGTO POAI VIGENCIA 2021'!BQ283+'SGTO POAI VIGENCIA 2021'!BQ284+'SGTO POAI VIGENCIA 2021'!BQ285</f>
        <v>277577165.5</v>
      </c>
      <c r="F23" s="377">
        <f t="shared" si="1"/>
        <v>0.93146699832214763</v>
      </c>
      <c r="G23" s="124">
        <f>'SGTO POAI VIGENCIA 2021'!BR280+'SGTO POAI VIGENCIA 2021'!BR281+'SGTO POAI VIGENCIA 2021'!BR282+'SGTO POAI VIGENCIA 2021'!BR283+'SGTO POAI VIGENCIA 2021'!BR284+'SGTO POAI VIGENCIA 2021'!BR285</f>
        <v>277577165.5</v>
      </c>
      <c r="H23" s="392">
        <f t="shared" ref="H23:H24" si="4">G23/E23</f>
        <v>1</v>
      </c>
    </row>
    <row r="24" spans="2:8" ht="24.95" customHeight="1" x14ac:dyDescent="0.25">
      <c r="B24" s="44">
        <v>45</v>
      </c>
      <c r="C24" s="226" t="s">
        <v>38</v>
      </c>
      <c r="D24" s="124">
        <f>'SGTO POAI VIGENCIA 2021'!BP8+'SGTO POAI VIGENCIA 2021'!BP9+'SGTO POAI VIGENCIA 2021'!BP10+'SGTO POAI VIGENCIA 2021'!BP11+'SGTO POAI VIGENCIA 2021'!BP12+'SGTO POAI VIGENCIA 2021'!BP13+'SGTO POAI VIGENCIA 2021'!BP14+'SGTO POAI VIGENCIA 2021'!BP15+'SGTO POAI VIGENCIA 2021'!BP16+'SGTO POAI VIGENCIA 2021'!BP17+'SGTO POAI VIGENCIA 2021'!BP18+'SGTO POAI VIGENCIA 2021'!BP19+'SGTO POAI VIGENCIA 2021'!BP20+'SGTO POAI VIGENCIA 2021'!BP21+'SGTO POAI VIGENCIA 2021'!BP22+'SGTO POAI VIGENCIA 2021'!BP23+'SGTO POAI VIGENCIA 2021'!BP24+'SGTO POAI VIGENCIA 2021'!BP25+'SGTO POAI VIGENCIA 2021'!BP44+'SGTO POAI VIGENCIA 2021'!BP45+'SGTO POAI VIGENCIA 2021'!BP62+'SGTO POAI VIGENCIA 2021'!BP63+'SGTO POAI VIGENCIA 2021'!BP64+'SGTO POAI VIGENCIA 2021'!BP65+'SGTO POAI VIGENCIA 2021'!BP66+'SGTO POAI VIGENCIA 2021'!BP127+'SGTO POAI VIGENCIA 2021'!BP128+'SGTO POAI VIGENCIA 2021'!BP129+'SGTO POAI VIGENCIA 2021'!BP193+'SGTO POAI VIGENCIA 2021'!BP194+'SGTO POAI VIGENCIA 2021'!BP195+'SGTO POAI VIGENCIA 2021'!BP196+'SGTO POAI VIGENCIA 2021'!BP197+'SGTO POAI VIGENCIA 2021'!BP198+'SGTO POAI VIGENCIA 2021'!BP199+'SGTO POAI VIGENCIA 2021'!BP200</f>
        <v>6464833750.8400002</v>
      </c>
      <c r="E24" s="124">
        <f>'SGTO POAI VIGENCIA 2021'!BQ8+'SGTO POAI VIGENCIA 2021'!BQ9+'SGTO POAI VIGENCIA 2021'!BQ10+'SGTO POAI VIGENCIA 2021'!BQ11+'SGTO POAI VIGENCIA 2021'!BQ12+'SGTO POAI VIGENCIA 2021'!BQ13+'SGTO POAI VIGENCIA 2021'!BQ14+'SGTO POAI VIGENCIA 2021'!BQ15+'SGTO POAI VIGENCIA 2021'!BQ16+'SGTO POAI VIGENCIA 2021'!BQ17+'SGTO POAI VIGENCIA 2021'!BQ18+'SGTO POAI VIGENCIA 2021'!BQ19+'SGTO POAI VIGENCIA 2021'!BQ20+'SGTO POAI VIGENCIA 2021'!BQ21+'SGTO POAI VIGENCIA 2021'!BQ22+'SGTO POAI VIGENCIA 2021'!BQ23+'SGTO POAI VIGENCIA 2021'!BQ24+'SGTO POAI VIGENCIA 2021'!BQ25+'SGTO POAI VIGENCIA 2021'!BQ44+'SGTO POAI VIGENCIA 2021'!BQ45+'SGTO POAI VIGENCIA 2021'!BQ62+'SGTO POAI VIGENCIA 2021'!BQ63+'SGTO POAI VIGENCIA 2021'!BQ64+'SGTO POAI VIGENCIA 2021'!BQ65+'SGTO POAI VIGENCIA 2021'!BQ66+'SGTO POAI VIGENCIA 2021'!BQ127+'SGTO POAI VIGENCIA 2021'!BQ128+'SGTO POAI VIGENCIA 2021'!BQ129+'SGTO POAI VIGENCIA 2021'!BQ193+'SGTO POAI VIGENCIA 2021'!BQ194+'SGTO POAI VIGENCIA 2021'!BQ195+'SGTO POAI VIGENCIA 2021'!BQ196+'SGTO POAI VIGENCIA 2021'!BQ197+'SGTO POAI VIGENCIA 2021'!BQ198+'SGTO POAI VIGENCIA 2021'!BQ199+'SGTO POAI VIGENCIA 2021'!BQ200</f>
        <v>5578605732.0599995</v>
      </c>
      <c r="F24" s="377">
        <f t="shared" si="1"/>
        <v>0.86291557479496672</v>
      </c>
      <c r="G24" s="124">
        <f>'SGTO POAI VIGENCIA 2021'!BR8+'SGTO POAI VIGENCIA 2021'!BR9+'SGTO POAI VIGENCIA 2021'!BR10+'SGTO POAI VIGENCIA 2021'!BR11+'SGTO POAI VIGENCIA 2021'!BR12+'SGTO POAI VIGENCIA 2021'!BR13+'SGTO POAI VIGENCIA 2021'!BR14+'SGTO POAI VIGENCIA 2021'!BR15+'SGTO POAI VIGENCIA 2021'!BR16+'SGTO POAI VIGENCIA 2021'!BR17+'SGTO POAI VIGENCIA 2021'!BR18+'SGTO POAI VIGENCIA 2021'!BR19+'SGTO POAI VIGENCIA 2021'!BR20+'SGTO POAI VIGENCIA 2021'!BR21+'SGTO POAI VIGENCIA 2021'!BR22+'SGTO POAI VIGENCIA 2021'!BR23+'SGTO POAI VIGENCIA 2021'!BR24+'SGTO POAI VIGENCIA 2021'!BR25+'SGTO POAI VIGENCIA 2021'!BR44+'SGTO POAI VIGENCIA 2021'!BR45+'SGTO POAI VIGENCIA 2021'!BR62+'SGTO POAI VIGENCIA 2021'!BR63+'SGTO POAI VIGENCIA 2021'!BR64+'SGTO POAI VIGENCIA 2021'!BR65+'SGTO POAI VIGENCIA 2021'!BR66+'SGTO POAI VIGENCIA 2021'!BR127+'SGTO POAI VIGENCIA 2021'!BR128+'SGTO POAI VIGENCIA 2021'!BR129+'SGTO POAI VIGENCIA 2021'!BR193+'SGTO POAI VIGENCIA 2021'!BR194+'SGTO POAI VIGENCIA 2021'!BR195+'SGTO POAI VIGENCIA 2021'!BR196+'SGTO POAI VIGENCIA 2021'!BR197+'SGTO POAI VIGENCIA 2021'!BR198+'SGTO POAI VIGENCIA 2021'!BR199+'SGTO POAI VIGENCIA 2021'!BR200</f>
        <v>5578605732.0599995</v>
      </c>
      <c r="H24" s="392">
        <f t="shared" si="4"/>
        <v>1</v>
      </c>
    </row>
    <row r="25" spans="2:8" ht="24.95" customHeight="1" x14ac:dyDescent="0.25">
      <c r="B25" s="42"/>
      <c r="C25" s="92" t="s">
        <v>1372</v>
      </c>
      <c r="D25" s="98">
        <f>D22+D17+D12+D3</f>
        <v>319490464131.91003</v>
      </c>
      <c r="E25" s="98">
        <f>E22+E17+E12+E3</f>
        <v>286065239361.58002</v>
      </c>
      <c r="F25" s="480">
        <f t="shared" si="1"/>
        <v>0.89537958554991637</v>
      </c>
      <c r="G25" s="98">
        <f>G22+G17+G12+G3</f>
        <v>286065239361.58002</v>
      </c>
      <c r="H25" s="481">
        <f>G25/E25</f>
        <v>1</v>
      </c>
    </row>
    <row r="26" spans="2:8" ht="36.75" customHeight="1" x14ac:dyDescent="0.25"/>
    <row r="27" spans="2:8" ht="45.75" customHeight="1" x14ac:dyDescent="0.25">
      <c r="B27" s="622" t="s">
        <v>1695</v>
      </c>
      <c r="C27" s="623"/>
      <c r="D27" s="623"/>
      <c r="E27" s="623"/>
      <c r="F27" s="623"/>
      <c r="G27" s="623"/>
      <c r="H27" s="624"/>
    </row>
    <row r="28" spans="2:8" ht="24.95" customHeight="1" x14ac:dyDescent="0.25">
      <c r="B28" s="482">
        <v>1</v>
      </c>
      <c r="C28" s="483" t="s">
        <v>136</v>
      </c>
      <c r="D28" s="484">
        <f>SUM(D29:D30)</f>
        <v>8179890631.7399998</v>
      </c>
      <c r="E28" s="484">
        <f>SUM(E29:E30)</f>
        <v>5647345281.7799997</v>
      </c>
      <c r="F28" s="485">
        <f t="shared" ref="F28:F34" si="5">E28/D28</f>
        <v>0.69039373947946225</v>
      </c>
      <c r="G28" s="484">
        <f>SUM(G29:G30)</f>
        <v>5626430281.7799997</v>
      </c>
      <c r="H28" s="479">
        <f>G28/E28</f>
        <v>0.99629648995122044</v>
      </c>
    </row>
    <row r="29" spans="2:8" ht="24.95" customHeight="1" x14ac:dyDescent="0.25">
      <c r="B29" s="44">
        <v>22</v>
      </c>
      <c r="C29" s="248" t="s">
        <v>156</v>
      </c>
      <c r="D29" s="124">
        <f>'SGTO POAI VIGENCIA 2021'!BP293</f>
        <v>329008863.94999999</v>
      </c>
      <c r="E29" s="124">
        <f>'SGTO POAI VIGENCIA 2021'!BQ293</f>
        <v>290761030.31</v>
      </c>
      <c r="F29" s="377">
        <f t="shared" si="5"/>
        <v>0.88374831856866753</v>
      </c>
      <c r="G29" s="124">
        <f>'SGTO POAI VIGENCIA 2021'!BR293</f>
        <v>290761030.31</v>
      </c>
      <c r="H29" s="392">
        <f>G29/E29</f>
        <v>1</v>
      </c>
    </row>
    <row r="30" spans="2:8" ht="24.95" customHeight="1" x14ac:dyDescent="0.25">
      <c r="B30" s="44">
        <v>43</v>
      </c>
      <c r="C30" s="248" t="s">
        <v>176</v>
      </c>
      <c r="D30" s="124">
        <f>'SGTO POAI VIGENCIA 2021'!BP286+'SGTO POAI VIGENCIA 2021'!BP287+'SGTO POAI VIGENCIA 2021'!BP288+'SGTO POAI VIGENCIA 2021'!BP289+'SGTO POAI VIGENCIA 2021'!BP290+'SGTO POAI VIGENCIA 2021'!BP291+'SGTO POAI VIGENCIA 2021'!BP292</f>
        <v>7850881767.79</v>
      </c>
      <c r="E30" s="124">
        <f>'SGTO POAI VIGENCIA 2021'!BQ286+'SGTO POAI VIGENCIA 2021'!BQ287+'SGTO POAI VIGENCIA 2021'!BQ288+'SGTO POAI VIGENCIA 2021'!BQ289+'SGTO POAI VIGENCIA 2021'!BQ290+'SGTO POAI VIGENCIA 2021'!BQ291+'SGTO POAI VIGENCIA 2021'!BQ292</f>
        <v>5356584251.4699993</v>
      </c>
      <c r="F30" s="377">
        <f t="shared" si="5"/>
        <v>0.68229078081988004</v>
      </c>
      <c r="G30" s="124">
        <f>'SGTO POAI VIGENCIA 2021'!BR286+'SGTO POAI VIGENCIA 2021'!BR287+'SGTO POAI VIGENCIA 2021'!BR288+'SGTO POAI VIGENCIA 2021'!BR289+'SGTO POAI VIGENCIA 2021'!BR290+'SGTO POAI VIGENCIA 2021'!BR291+'SGTO POAI VIGENCIA 2021'!BR292</f>
        <v>5335669251.4699993</v>
      </c>
      <c r="H30" s="392">
        <f>G30/E30</f>
        <v>0.99609545952828793</v>
      </c>
    </row>
    <row r="31" spans="2:8" ht="24.95" customHeight="1" x14ac:dyDescent="0.25">
      <c r="B31" s="422">
        <v>3</v>
      </c>
      <c r="C31" s="414" t="s">
        <v>186</v>
      </c>
      <c r="D31" s="415">
        <f>SUM(D32:D33)</f>
        <v>1728023393.23</v>
      </c>
      <c r="E31" s="415">
        <f>SUM(E32:E33)</f>
        <v>1517155332.4140139</v>
      </c>
      <c r="F31" s="492">
        <f t="shared" si="5"/>
        <v>0.87797152420382796</v>
      </c>
      <c r="G31" s="415">
        <f>SUM(G32:G33)</f>
        <v>1350245069.4825239</v>
      </c>
      <c r="H31" s="493">
        <f>G31/E31</f>
        <v>0.88998472380154281</v>
      </c>
    </row>
    <row r="32" spans="2:8" ht="24.95" customHeight="1" x14ac:dyDescent="0.25">
      <c r="B32" s="44">
        <f>'SGTO POAI VIGENCIA 2021'!E294</f>
        <v>24</v>
      </c>
      <c r="C32" s="260" t="str">
        <f>'SGTO POAI VIGENCIA 2021'!F294</f>
        <v>Transporte</v>
      </c>
      <c r="D32" s="124">
        <f>'SGTO POAI VIGENCIA 2021'!BP294+'SGTO POAI VIGENCIA 2021'!BP302+'SGTO POAI VIGENCIA 2021'!BP303+'SGTO POAI VIGENCIA 2021'!BP304+'SGTO POAI VIGENCIA 2021'!BP305</f>
        <v>459106731.19999999</v>
      </c>
      <c r="E32" s="124">
        <f>'SGTO POAI VIGENCIA 2021'!BQ294+'SGTO POAI VIGENCIA 2021'!BQ302+'SGTO POAI VIGENCIA 2021'!BQ303+'SGTO POAI VIGENCIA 2021'!BQ304+'SGTO POAI VIGENCIA 2021'!BQ305</f>
        <v>455100923.11000001</v>
      </c>
      <c r="F32" s="163">
        <f t="shared" si="5"/>
        <v>0.99127477813376919</v>
      </c>
      <c r="G32" s="124">
        <f>'SGTO POAI VIGENCIA 2021'!BR294+'SGTO POAI VIGENCIA 2021'!BR302+'SGTO POAI VIGENCIA 2021'!BR303+'SGTO POAI VIGENCIA 2021'!BR304+'SGTO POAI VIGENCIA 2021'!BR305</f>
        <v>348640657.09000003</v>
      </c>
      <c r="H32" s="392">
        <f t="shared" ref="H32:H33" si="6">G32/E32</f>
        <v>0.76607328042209211</v>
      </c>
    </row>
    <row r="33" spans="2:8" ht="24.95" customHeight="1" x14ac:dyDescent="0.25">
      <c r="B33" s="44">
        <f>'SGTO POAI VIGENCIA 2021'!E295</f>
        <v>40</v>
      </c>
      <c r="C33" s="255" t="str">
        <f>'SGTO POAI VIGENCIA 2021'!F295</f>
        <v>Vivienda, Ciudad y Territorio</v>
      </c>
      <c r="D33" s="124">
        <f>'SGTO POAI VIGENCIA 2021'!BP295+'SGTO POAI VIGENCIA 2021'!BP296+'SGTO POAI VIGENCIA 2021'!BP297+'SGTO POAI VIGENCIA 2021'!BP298+'SGTO POAI VIGENCIA 2021'!BP299+'SGTO POAI VIGENCIA 2021'!BP300+'SGTO POAI VIGENCIA 2021'!BP301</f>
        <v>1268916662.03</v>
      </c>
      <c r="E33" s="124">
        <f>'SGTO POAI VIGENCIA 2021'!BQ295+'SGTO POAI VIGENCIA 2021'!BQ296+'SGTO POAI VIGENCIA 2021'!BQ297+'SGTO POAI VIGENCIA 2021'!BQ298+'SGTO POAI VIGENCIA 2021'!BQ299+'SGTO POAI VIGENCIA 2021'!BQ300+'SGTO POAI VIGENCIA 2021'!BQ301</f>
        <v>1062054409.304014</v>
      </c>
      <c r="F33" s="163">
        <f t="shared" si="5"/>
        <v>0.83697727446099579</v>
      </c>
      <c r="G33" s="124">
        <f>'SGTO POAI VIGENCIA 2021'!BR295+'SGTO POAI VIGENCIA 2021'!BR296+'SGTO POAI VIGENCIA 2021'!BR297+'SGTO POAI VIGENCIA 2021'!BR298+'SGTO POAI VIGENCIA 2021'!BR299+'SGTO POAI VIGENCIA 2021'!BR300+'SGTO POAI VIGENCIA 2021'!BR301</f>
        <v>1001604412.3925239</v>
      </c>
      <c r="H33" s="392">
        <f t="shared" si="6"/>
        <v>0.94308201502491362</v>
      </c>
    </row>
    <row r="34" spans="2:8" ht="24.95" customHeight="1" x14ac:dyDescent="0.25">
      <c r="B34" s="42"/>
      <c r="C34" s="92" t="s">
        <v>1373</v>
      </c>
      <c r="D34" s="98">
        <f>D28+D31</f>
        <v>9907914024.9699993</v>
      </c>
      <c r="E34" s="98">
        <f>E28+E31</f>
        <v>7164500614.1940136</v>
      </c>
      <c r="F34" s="496">
        <f t="shared" si="5"/>
        <v>0.72310888004659557</v>
      </c>
      <c r="G34" s="98">
        <f>G28+G31</f>
        <v>6976675351.2625237</v>
      </c>
      <c r="H34" s="497">
        <f>G34/E34</f>
        <v>0.97378390022615413</v>
      </c>
    </row>
    <row r="35" spans="2:8" x14ac:dyDescent="0.25">
      <c r="D35" s="253"/>
      <c r="E35" s="253"/>
      <c r="G35" s="253"/>
      <c r="H35" s="393"/>
    </row>
    <row r="36" spans="2:8" ht="24.95" customHeight="1" x14ac:dyDescent="0.25">
      <c r="B36" s="625" t="s">
        <v>1374</v>
      </c>
      <c r="C36" s="626"/>
      <c r="D36" s="411">
        <f>D34+D25</f>
        <v>329398378156.88</v>
      </c>
      <c r="E36" s="411">
        <f>E34+E25</f>
        <v>293229739975.77405</v>
      </c>
      <c r="F36" s="494">
        <f>E36/D36</f>
        <v>0.89019788626925112</v>
      </c>
      <c r="G36" s="411">
        <f>G34+G25</f>
        <v>293041914712.84253</v>
      </c>
      <c r="H36" s="495">
        <f>G36/E36</f>
        <v>0.99935946039120371</v>
      </c>
    </row>
    <row r="39" spans="2:8" x14ac:dyDescent="0.25">
      <c r="D39">
        <v>329398378156.88007</v>
      </c>
      <c r="E39">
        <v>293229739975.74408</v>
      </c>
      <c r="F39">
        <v>293041914712.81256</v>
      </c>
    </row>
    <row r="41" spans="2:8" ht="15.75" x14ac:dyDescent="0.25">
      <c r="C41" s="173" t="s">
        <v>1700</v>
      </c>
      <c r="D41" s="170"/>
    </row>
    <row r="42" spans="2:8" x14ac:dyDescent="0.25">
      <c r="C42" s="165" t="s">
        <v>1544</v>
      </c>
      <c r="D42" s="171"/>
    </row>
    <row r="43" spans="2:8" x14ac:dyDescent="0.25">
      <c r="C43" s="166" t="s">
        <v>1545</v>
      </c>
      <c r="D43" s="171"/>
    </row>
    <row r="44" spans="2:8" x14ac:dyDescent="0.25">
      <c r="C44" s="167" t="s">
        <v>1546</v>
      </c>
      <c r="D44" s="171"/>
    </row>
    <row r="45" spans="2:8" x14ac:dyDescent="0.25">
      <c r="C45" s="168" t="s">
        <v>1547</v>
      </c>
      <c r="D45" s="171"/>
    </row>
    <row r="46" spans="2:8" x14ac:dyDescent="0.25">
      <c r="C46" s="169" t="s">
        <v>1548</v>
      </c>
      <c r="D46" s="171"/>
    </row>
    <row r="47" spans="2:8" x14ac:dyDescent="0.25">
      <c r="D47" s="172"/>
    </row>
  </sheetData>
  <mergeCells count="3">
    <mergeCell ref="B1:H1"/>
    <mergeCell ref="B27:H27"/>
    <mergeCell ref="B36:C36"/>
  </mergeCells>
  <conditionalFormatting sqref="F4:F25">
    <cfRule type="cellIs" dxfId="94" priority="26" operator="between">
      <formula>0</formula>
      <formula>0.3999</formula>
    </cfRule>
    <cfRule type="cellIs" dxfId="93" priority="27" operator="between">
      <formula>0.4</formula>
      <formula>0.59</formula>
    </cfRule>
    <cfRule type="cellIs" dxfId="92" priority="28" operator="between">
      <formula>0.6</formula>
      <formula>0.69</formula>
    </cfRule>
    <cfRule type="cellIs" dxfId="91" priority="29" operator="between">
      <formula>0.7</formula>
      <formula>0.79</formula>
    </cfRule>
    <cfRule type="cellIs" dxfId="90" priority="30" operator="greaterThan">
      <formula>0.795</formula>
    </cfRule>
  </conditionalFormatting>
  <conditionalFormatting sqref="F28:F34">
    <cfRule type="cellIs" dxfId="89" priority="21" operator="between">
      <formula>0</formula>
      <formula>0.3999</formula>
    </cfRule>
    <cfRule type="cellIs" dxfId="88" priority="22" operator="between">
      <formula>0.4</formula>
      <formula>0.59</formula>
    </cfRule>
    <cfRule type="cellIs" dxfId="87" priority="23" operator="between">
      <formula>0.6</formula>
      <formula>0.69</formula>
    </cfRule>
    <cfRule type="cellIs" dxfId="86" priority="24" operator="between">
      <formula>0.7</formula>
      <formula>0.79</formula>
    </cfRule>
    <cfRule type="cellIs" dxfId="85" priority="25" operator="between">
      <formula>0.8</formula>
      <formula>1</formula>
    </cfRule>
  </conditionalFormatting>
  <conditionalFormatting sqref="F36">
    <cfRule type="cellIs" dxfId="84" priority="16" operator="between">
      <formula>0</formula>
      <formula>0.3999</formula>
    </cfRule>
    <cfRule type="cellIs" dxfId="83" priority="17" operator="between">
      <formula>0.4</formula>
      <formula>0.59</formula>
    </cfRule>
    <cfRule type="cellIs" dxfId="82" priority="18" operator="between">
      <formula>0.6</formula>
      <formula>0.69</formula>
    </cfRule>
    <cfRule type="cellIs" dxfId="81" priority="19" operator="between">
      <formula>0.695</formula>
      <formula>0.7949</formula>
    </cfRule>
    <cfRule type="cellIs" dxfId="80" priority="20" operator="between">
      <formula>0.8</formula>
      <formula>1</formula>
    </cfRule>
  </conditionalFormatting>
  <conditionalFormatting sqref="F3">
    <cfRule type="cellIs" dxfId="79" priority="11" operator="between">
      <formula>0</formula>
      <formula>0.3999</formula>
    </cfRule>
    <cfRule type="cellIs" dxfId="78" priority="12" operator="between">
      <formula>0.4</formula>
      <formula>0.59</formula>
    </cfRule>
    <cfRule type="cellIs" dxfId="77" priority="13" operator="between">
      <formula>0.6</formula>
      <formula>0.69</formula>
    </cfRule>
    <cfRule type="cellIs" dxfId="76" priority="14" operator="between">
      <formula>0.7</formula>
      <formula>0.79</formula>
    </cfRule>
    <cfRule type="cellIs" dxfId="75" priority="15" operator="greaterThan">
      <formula>0.795</formula>
    </cfRule>
  </conditionalFormatting>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B1:H73"/>
  <sheetViews>
    <sheetView showGridLines="0" topLeftCell="A46" zoomScale="70" zoomScaleNormal="70" workbookViewId="0">
      <selection activeCell="F23" sqref="F23"/>
    </sheetView>
  </sheetViews>
  <sheetFormatPr baseColWidth="10" defaultColWidth="11.42578125" defaultRowHeight="15" x14ac:dyDescent="0.25"/>
  <cols>
    <col min="3" max="3" width="64.42578125" customWidth="1"/>
    <col min="4" max="4" width="30.85546875" customWidth="1"/>
    <col min="5" max="5" width="27.28515625" customWidth="1"/>
    <col min="6" max="6" width="17.140625" customWidth="1"/>
    <col min="7" max="7" width="27.28515625" customWidth="1"/>
    <col min="8" max="8" width="24.5703125" customWidth="1"/>
  </cols>
  <sheetData>
    <row r="1" spans="2:8" ht="69.75" customHeight="1" x14ac:dyDescent="0.25">
      <c r="B1" s="621" t="s">
        <v>1698</v>
      </c>
      <c r="C1" s="621"/>
      <c r="D1" s="621"/>
      <c r="E1" s="621"/>
      <c r="F1" s="621"/>
      <c r="G1" s="621"/>
      <c r="H1" s="621"/>
    </row>
    <row r="2" spans="2:8" ht="15.75" x14ac:dyDescent="0.25">
      <c r="B2" s="503" t="s">
        <v>1355</v>
      </c>
      <c r="C2" s="504" t="s">
        <v>1696</v>
      </c>
      <c r="D2" s="505" t="s">
        <v>1641</v>
      </c>
      <c r="E2" s="505" t="s">
        <v>1490</v>
      </c>
      <c r="F2" s="503" t="s">
        <v>1506</v>
      </c>
      <c r="G2" s="503" t="s">
        <v>1491</v>
      </c>
      <c r="H2" s="503" t="s">
        <v>1508</v>
      </c>
    </row>
    <row r="3" spans="2:8" ht="15.75" x14ac:dyDescent="0.25">
      <c r="B3" s="450">
        <v>1</v>
      </c>
      <c r="C3" s="451" t="s">
        <v>136</v>
      </c>
      <c r="D3" s="453">
        <f>SUM(D4:D21)</f>
        <v>289944507382.05005</v>
      </c>
      <c r="E3" s="453">
        <f>SUM(E4:E21)</f>
        <v>270593268666.09003</v>
      </c>
      <c r="F3" s="490">
        <f>E3/D3</f>
        <v>0.93325881945243561</v>
      </c>
      <c r="G3" s="453">
        <f>SUM(G4:G21)</f>
        <v>270593268666.09003</v>
      </c>
      <c r="H3" s="502">
        <f t="shared" ref="H3:H49" si="0">G3/E3</f>
        <v>1</v>
      </c>
    </row>
    <row r="4" spans="2:8" ht="21" customHeight="1" x14ac:dyDescent="0.25">
      <c r="B4" s="44">
        <v>1202</v>
      </c>
      <c r="C4" s="248" t="s">
        <v>138</v>
      </c>
      <c r="D4" s="124">
        <f>'RESUMEN POR UNIDAD'!E27+'RESUMEN POR UNIDAD'!E55</f>
        <v>160105000</v>
      </c>
      <c r="E4" s="124">
        <f>'RESUMEN POR UNIDAD'!F27+'RESUMEN POR UNIDAD'!F55</f>
        <v>152419827</v>
      </c>
      <c r="F4" s="377">
        <f>E4/D4</f>
        <v>0.95199916929515005</v>
      </c>
      <c r="G4" s="124">
        <f>'RESUMEN POR UNIDAD'!G27+'RESUMEN POR UNIDAD'!G55</f>
        <v>152419827</v>
      </c>
      <c r="H4" s="392">
        <f t="shared" si="0"/>
        <v>1</v>
      </c>
    </row>
    <row r="5" spans="2:8" ht="36.75" customHeight="1" x14ac:dyDescent="0.25">
      <c r="B5" s="44">
        <v>1203</v>
      </c>
      <c r="C5" s="248" t="s">
        <v>265</v>
      </c>
      <c r="D5" s="124">
        <f>'RESUMEN POR UNIDAD'!E56</f>
        <v>67223401</v>
      </c>
      <c r="E5" s="124">
        <f>'RESUMEN POR UNIDAD'!F56</f>
        <v>65096055</v>
      </c>
      <c r="F5" s="377">
        <f t="shared" ref="F5:F49" si="1">E5/D5</f>
        <v>0.96835408550662294</v>
      </c>
      <c r="G5" s="124">
        <f>'RESUMEN POR UNIDAD'!G56</f>
        <v>65096055</v>
      </c>
      <c r="H5" s="392">
        <f t="shared" si="0"/>
        <v>1</v>
      </c>
    </row>
    <row r="6" spans="2:8" ht="40.5" customHeight="1" x14ac:dyDescent="0.25">
      <c r="B6" s="44">
        <v>1206</v>
      </c>
      <c r="C6" s="226" t="s">
        <v>271</v>
      </c>
      <c r="D6" s="124">
        <f>'RESUMEN POR UNIDAD'!E57</f>
        <v>30000000</v>
      </c>
      <c r="E6" s="124">
        <f>'RESUMEN POR UNIDAD'!F57</f>
        <v>10000000</v>
      </c>
      <c r="F6" s="377">
        <f t="shared" si="1"/>
        <v>0.33333333333333331</v>
      </c>
      <c r="G6" s="124">
        <f>'RESUMEN POR UNIDAD'!G57</f>
        <v>10000000</v>
      </c>
      <c r="H6" s="392">
        <f t="shared" si="0"/>
        <v>1</v>
      </c>
    </row>
    <row r="7" spans="2:8" ht="27.75" customHeight="1" x14ac:dyDescent="0.25">
      <c r="B7" s="44">
        <v>1903</v>
      </c>
      <c r="C7" s="248" t="s">
        <v>987</v>
      </c>
      <c r="D7" s="124">
        <f>'RESUMEN POR UNIDAD'!E145</f>
        <v>3182666735.21</v>
      </c>
      <c r="E7" s="124">
        <f>'RESUMEN POR UNIDAD'!F145</f>
        <v>2169681626.6599998</v>
      </c>
      <c r="F7" s="377">
        <f t="shared" si="1"/>
        <v>0.68171813361942812</v>
      </c>
      <c r="G7" s="124">
        <f>'RESUMEN POR UNIDAD'!G145</f>
        <v>2169681626.6599998</v>
      </c>
      <c r="H7" s="392">
        <f t="shared" si="0"/>
        <v>1</v>
      </c>
    </row>
    <row r="8" spans="2:8" ht="25.5" customHeight="1" x14ac:dyDescent="0.25">
      <c r="B8" s="44">
        <v>1905</v>
      </c>
      <c r="C8" s="248" t="s">
        <v>768</v>
      </c>
      <c r="D8" s="124">
        <f>'RESUMEN POR UNIDAD'!E125+'RESUMEN POR UNIDAD'!E146</f>
        <v>7162718049.7600002</v>
      </c>
      <c r="E8" s="124">
        <f>'RESUMEN POR UNIDAD'!F125+'RESUMEN POR UNIDAD'!F146</f>
        <v>4660616356.7600002</v>
      </c>
      <c r="F8" s="377">
        <f t="shared" si="1"/>
        <v>0.65067706482124654</v>
      </c>
      <c r="G8" s="124">
        <f>'RESUMEN POR UNIDAD'!G125+'RESUMEN POR UNIDAD'!G146</f>
        <v>4660616356.7600002</v>
      </c>
      <c r="H8" s="392">
        <f t="shared" si="0"/>
        <v>1</v>
      </c>
    </row>
    <row r="9" spans="2:8" ht="38.25" customHeight="1" x14ac:dyDescent="0.25">
      <c r="B9" s="44">
        <v>1906</v>
      </c>
      <c r="C9" s="226" t="s">
        <v>148</v>
      </c>
      <c r="D9" s="124">
        <f>'RESUMEN POR UNIDAD'!E29+'RESUMEN POR UNIDAD'!E147</f>
        <v>65445974560.139999</v>
      </c>
      <c r="E9" s="124">
        <f>'RESUMEN POR UNIDAD'!F29+'RESUMEN POR UNIDAD'!F147</f>
        <v>63190854318.229996</v>
      </c>
      <c r="F9" s="377">
        <f t="shared" si="1"/>
        <v>0.96554226204030758</v>
      </c>
      <c r="G9" s="124">
        <f>'RESUMEN POR UNIDAD'!G29+'RESUMEN POR UNIDAD'!G147</f>
        <v>63190854318.229996</v>
      </c>
      <c r="H9" s="392">
        <f t="shared" si="0"/>
        <v>1</v>
      </c>
    </row>
    <row r="10" spans="2:8" ht="39" customHeight="1" x14ac:dyDescent="0.25">
      <c r="B10" s="44">
        <v>2201</v>
      </c>
      <c r="C10" s="248" t="s">
        <v>157</v>
      </c>
      <c r="D10" s="124">
        <f>'RESUMEN POR UNIDAD'!E31+'RESUMEN POR UNIDAD'!E59+'RESUMEN POR UNIDAD'!E116</f>
        <v>194591103980.18005</v>
      </c>
      <c r="E10" s="124">
        <f>'RESUMEN POR UNIDAD'!F31+'RESUMEN POR UNIDAD'!F59+'RESUMEN POR UNIDAD'!F116</f>
        <v>188762628165.94998</v>
      </c>
      <c r="F10" s="377">
        <f t="shared" si="1"/>
        <v>0.97004757311606737</v>
      </c>
      <c r="G10" s="124">
        <f>'RESUMEN POR UNIDAD'!G31+'RESUMEN POR UNIDAD'!G59+'RESUMEN POR UNIDAD'!G116</f>
        <v>188762628165.94998</v>
      </c>
      <c r="H10" s="392">
        <f t="shared" si="0"/>
        <v>1</v>
      </c>
    </row>
    <row r="11" spans="2:8" ht="37.5" customHeight="1" x14ac:dyDescent="0.25">
      <c r="B11" s="44">
        <v>2202</v>
      </c>
      <c r="C11" s="226" t="s">
        <v>1482</v>
      </c>
      <c r="D11" s="124">
        <f>'RESUMEN POR UNIDAD'!E117</f>
        <v>439058252</v>
      </c>
      <c r="E11" s="124">
        <f>'RESUMEN POR UNIDAD'!F117</f>
        <v>432580762</v>
      </c>
      <c r="F11" s="377">
        <f t="shared" si="1"/>
        <v>0.9852468551257294</v>
      </c>
      <c r="G11" s="124">
        <f>'RESUMEN POR UNIDAD'!G117</f>
        <v>432580762</v>
      </c>
      <c r="H11" s="392">
        <f t="shared" si="0"/>
        <v>1</v>
      </c>
    </row>
    <row r="12" spans="2:8" ht="49.5" customHeight="1" x14ac:dyDescent="0.25">
      <c r="B12" s="44">
        <v>2301</v>
      </c>
      <c r="C12" s="248" t="s">
        <v>1199</v>
      </c>
      <c r="D12" s="124">
        <f>'RESUMEN POR UNIDAD'!E152</f>
        <v>674000000</v>
      </c>
      <c r="E12" s="124">
        <f>'RESUMEN POR UNIDAD'!F152</f>
        <v>584138115.42000008</v>
      </c>
      <c r="F12" s="377">
        <f t="shared" si="1"/>
        <v>0.86667376175074196</v>
      </c>
      <c r="G12" s="124">
        <f>'RESUMEN POR UNIDAD'!G152</f>
        <v>584138115.42000008</v>
      </c>
      <c r="H12" s="392">
        <f t="shared" si="0"/>
        <v>1</v>
      </c>
    </row>
    <row r="13" spans="2:8" ht="63" customHeight="1" x14ac:dyDescent="0.25">
      <c r="B13" s="44">
        <v>2302</v>
      </c>
      <c r="C13" s="226" t="s">
        <v>1487</v>
      </c>
      <c r="D13" s="124">
        <f>'RESUMEN POR UNIDAD'!E153</f>
        <v>146000000</v>
      </c>
      <c r="E13" s="124">
        <f>'RESUMEN POR UNIDAD'!F153</f>
        <v>130610834</v>
      </c>
      <c r="F13" s="377">
        <f t="shared" si="1"/>
        <v>0.89459475342465755</v>
      </c>
      <c r="G13" s="124">
        <f>'RESUMEN POR UNIDAD'!G153</f>
        <v>130610834</v>
      </c>
      <c r="H13" s="392">
        <f t="shared" si="0"/>
        <v>1</v>
      </c>
    </row>
    <row r="14" spans="2:8" ht="39" customHeight="1" x14ac:dyDescent="0.25">
      <c r="B14" s="44">
        <v>3301</v>
      </c>
      <c r="C14" s="226" t="s">
        <v>167</v>
      </c>
      <c r="D14" s="124">
        <f>'RESUMEN POR UNIDAD'!E33+'RESUMEN POR UNIDAD'!E77+'RESUMEN POR UNIDAD'!E127</f>
        <v>3838763873.0199995</v>
      </c>
      <c r="E14" s="124">
        <f>'RESUMEN POR UNIDAD'!F33+'RESUMEN POR UNIDAD'!F77+'RESUMEN POR UNIDAD'!F127</f>
        <v>3205199053.8099999</v>
      </c>
      <c r="F14" s="377">
        <f t="shared" si="1"/>
        <v>0.83495603267945551</v>
      </c>
      <c r="G14" s="124">
        <f>'RESUMEN POR UNIDAD'!G33+'RESUMEN POR UNIDAD'!G77+'RESUMEN POR UNIDAD'!G127</f>
        <v>3205199053.8099999</v>
      </c>
      <c r="H14" s="392">
        <f t="shared" si="0"/>
        <v>1</v>
      </c>
    </row>
    <row r="15" spans="2:8" ht="37.5" customHeight="1" x14ac:dyDescent="0.25">
      <c r="B15" s="44">
        <v>3302</v>
      </c>
      <c r="C15" s="226" t="s">
        <v>389</v>
      </c>
      <c r="D15" s="124">
        <f>'RESUMEN POR UNIDAD'!E78</f>
        <v>274198236.30000001</v>
      </c>
      <c r="E15" s="124">
        <f>'RESUMEN POR UNIDAD'!F78</f>
        <v>260343468</v>
      </c>
      <c r="F15" s="377">
        <f t="shared" si="1"/>
        <v>0.94947170891047772</v>
      </c>
      <c r="G15" s="124">
        <f>'RESUMEN POR UNIDAD'!G78</f>
        <v>260343468</v>
      </c>
      <c r="H15" s="392">
        <f t="shared" si="0"/>
        <v>1</v>
      </c>
    </row>
    <row r="16" spans="2:8" ht="38.25" customHeight="1" x14ac:dyDescent="0.25">
      <c r="B16" s="44">
        <v>4101</v>
      </c>
      <c r="C16" s="226" t="s">
        <v>285</v>
      </c>
      <c r="D16" s="124">
        <f>'RESUMEN POR UNIDAD'!E61</f>
        <v>502657113</v>
      </c>
      <c r="E16" s="124">
        <f>'RESUMEN POR UNIDAD'!F61</f>
        <v>388019267.94999999</v>
      </c>
      <c r="F16" s="377">
        <f t="shared" si="1"/>
        <v>0.77193629198678027</v>
      </c>
      <c r="G16" s="124">
        <f>'RESUMEN POR UNIDAD'!G61</f>
        <v>388019267.94999999</v>
      </c>
      <c r="H16" s="392">
        <f t="shared" si="0"/>
        <v>1</v>
      </c>
    </row>
    <row r="17" spans="2:8" ht="57.75" customHeight="1" x14ac:dyDescent="0.25">
      <c r="B17" s="44">
        <v>4102</v>
      </c>
      <c r="C17" s="226" t="s">
        <v>785</v>
      </c>
      <c r="D17" s="124">
        <f>'RESUMEN POR UNIDAD'!E129</f>
        <v>1174562889</v>
      </c>
      <c r="E17" s="124">
        <f>'RESUMEN POR UNIDAD'!F129</f>
        <v>1067412570</v>
      </c>
      <c r="F17" s="377">
        <f t="shared" si="1"/>
        <v>0.90877430233537715</v>
      </c>
      <c r="G17" s="124">
        <f>'RESUMEN POR UNIDAD'!G129</f>
        <v>1067412570</v>
      </c>
      <c r="H17" s="392">
        <f t="shared" si="0"/>
        <v>1</v>
      </c>
    </row>
    <row r="18" spans="2:8" ht="42.75" customHeight="1" x14ac:dyDescent="0.25">
      <c r="B18" s="44">
        <v>4103</v>
      </c>
      <c r="C18" s="226" t="s">
        <v>302</v>
      </c>
      <c r="D18" s="124">
        <f>'RESUMEN POR UNIDAD'!E62+'RESUMEN POR UNIDAD'!E130</f>
        <v>267821343</v>
      </c>
      <c r="E18" s="124">
        <f>'RESUMEN POR UNIDAD'!F62+'RESUMEN POR UNIDAD'!F130</f>
        <v>243000926.38999999</v>
      </c>
      <c r="F18" s="377">
        <f t="shared" si="1"/>
        <v>0.90732472501267381</v>
      </c>
      <c r="G18" s="124">
        <f>'RESUMEN POR UNIDAD'!G62+'RESUMEN POR UNIDAD'!G130</f>
        <v>243000926.38999999</v>
      </c>
      <c r="H18" s="392">
        <f t="shared" si="0"/>
        <v>1</v>
      </c>
    </row>
    <row r="19" spans="2:8" ht="45" x14ac:dyDescent="0.25">
      <c r="B19" s="44">
        <v>4104</v>
      </c>
      <c r="C19" s="226" t="s">
        <v>893</v>
      </c>
      <c r="D19" s="124">
        <f>'RESUMEN POR UNIDAD'!E131</f>
        <v>4789370244.0100002</v>
      </c>
      <c r="E19" s="124">
        <f>'RESUMEN POR UNIDAD'!F131</f>
        <v>3516992293.25</v>
      </c>
      <c r="F19" s="377">
        <f t="shared" si="1"/>
        <v>0.7343329319024049</v>
      </c>
      <c r="G19" s="124">
        <f>'RESUMEN POR UNIDAD'!G131</f>
        <v>3516992293.25</v>
      </c>
      <c r="H19" s="392">
        <f t="shared" si="0"/>
        <v>1</v>
      </c>
    </row>
    <row r="20" spans="2:8" ht="52.5" customHeight="1" x14ac:dyDescent="0.25">
      <c r="B20" s="44">
        <v>4301</v>
      </c>
      <c r="C20" s="226" t="s">
        <v>177</v>
      </c>
      <c r="D20" s="124">
        <f>'RESUMEN POR UNIDAD'!E35</f>
        <v>2760904177.1000004</v>
      </c>
      <c r="E20" s="124">
        <f>'RESUMEN POR UNIDAD'!F35</f>
        <v>573180312.50999999</v>
      </c>
      <c r="F20" s="377">
        <f t="shared" si="1"/>
        <v>0.20760601445866092</v>
      </c>
      <c r="G20" s="124">
        <f>'RESUMEN POR UNIDAD'!G35</f>
        <v>573180312.50999999</v>
      </c>
      <c r="H20" s="392">
        <f t="shared" si="0"/>
        <v>1</v>
      </c>
    </row>
    <row r="21" spans="2:8" ht="41.25" customHeight="1" x14ac:dyDescent="0.25">
      <c r="B21" s="44">
        <v>4501</v>
      </c>
      <c r="C21" s="226" t="s">
        <v>311</v>
      </c>
      <c r="D21" s="124">
        <f>'RESUMEN POR UNIDAD'!E64</f>
        <v>4437379528.3299999</v>
      </c>
      <c r="E21" s="124">
        <f>'RESUMEN POR UNIDAD'!F64</f>
        <v>1180494713.1599998</v>
      </c>
      <c r="F21" s="377">
        <f t="shared" si="1"/>
        <v>0.26603420005506651</v>
      </c>
      <c r="G21" s="124">
        <f>'RESUMEN POR UNIDAD'!G64</f>
        <v>1180494713.1599998</v>
      </c>
      <c r="H21" s="392">
        <f t="shared" si="0"/>
        <v>1</v>
      </c>
    </row>
    <row r="22" spans="2:8" ht="15.75" x14ac:dyDescent="0.25">
      <c r="B22" s="450">
        <v>2</v>
      </c>
      <c r="C22" s="451" t="s">
        <v>400</v>
      </c>
      <c r="D22" s="453">
        <f>SUM(D23:D34)</f>
        <v>5899994710.2399998</v>
      </c>
      <c r="E22" s="453">
        <f>SUM(E23:E34)</f>
        <v>4757390366.5100002</v>
      </c>
      <c r="F22" s="490">
        <f t="shared" si="1"/>
        <v>0.8063380731940486</v>
      </c>
      <c r="G22" s="453">
        <f>SUM(G23:G34)</f>
        <v>4757390366.5100002</v>
      </c>
      <c r="H22" s="502">
        <f t="shared" si="0"/>
        <v>1</v>
      </c>
    </row>
    <row r="23" spans="2:8" ht="41.25" customHeight="1" x14ac:dyDescent="0.25">
      <c r="B23" s="44">
        <v>1702</v>
      </c>
      <c r="C23" s="226" t="s">
        <v>452</v>
      </c>
      <c r="D23" s="124">
        <f>'RESUMEN POR UNIDAD'!E90</f>
        <v>1562901499.6300001</v>
      </c>
      <c r="E23" s="124">
        <f>'RESUMEN POR UNIDAD'!F90</f>
        <v>1092284323</v>
      </c>
      <c r="F23" s="377">
        <f t="shared" si="1"/>
        <v>0.69888238206859898</v>
      </c>
      <c r="G23" s="124">
        <f>'RESUMEN POR UNIDAD'!G90</f>
        <v>1092284323</v>
      </c>
      <c r="H23" s="392">
        <f t="shared" si="0"/>
        <v>1</v>
      </c>
    </row>
    <row r="24" spans="2:8" ht="36.75" customHeight="1" x14ac:dyDescent="0.25">
      <c r="B24" s="44">
        <v>1703</v>
      </c>
      <c r="C24" s="226" t="s">
        <v>500</v>
      </c>
      <c r="D24" s="124">
        <f>'RESUMEN POR UNIDAD'!E91+'RESUMEN POR UNIDAD'!E134</f>
        <v>343000000</v>
      </c>
      <c r="E24" s="124">
        <f>'RESUMEN POR UNIDAD'!F91+'RESUMEN POR UNIDAD'!F134</f>
        <v>342305000</v>
      </c>
      <c r="F24" s="377">
        <f t="shared" si="1"/>
        <v>0.99797376093294465</v>
      </c>
      <c r="G24" s="124">
        <f>'RESUMEN POR UNIDAD'!G91+'RESUMEN POR UNIDAD'!G134</f>
        <v>342305000</v>
      </c>
      <c r="H24" s="392">
        <f t="shared" si="0"/>
        <v>1</v>
      </c>
    </row>
    <row r="25" spans="2:8" ht="36.75" customHeight="1" x14ac:dyDescent="0.25">
      <c r="B25" s="44">
        <v>1704</v>
      </c>
      <c r="C25" s="226" t="s">
        <v>507</v>
      </c>
      <c r="D25" s="124">
        <f>'RESUMEN POR UNIDAD'!E92</f>
        <v>69255500</v>
      </c>
      <c r="E25" s="124">
        <f>'RESUMEN POR UNIDAD'!F92</f>
        <v>69255166</v>
      </c>
      <c r="F25" s="377">
        <f t="shared" si="1"/>
        <v>0.99999517727833886</v>
      </c>
      <c r="G25" s="124">
        <f>'RESUMEN POR UNIDAD'!G92</f>
        <v>69255166</v>
      </c>
      <c r="H25" s="392">
        <f t="shared" si="0"/>
        <v>1</v>
      </c>
    </row>
    <row r="26" spans="2:8" ht="43.5" customHeight="1" x14ac:dyDescent="0.25">
      <c r="B26" s="44">
        <v>1706</v>
      </c>
      <c r="C26" s="226" t="s">
        <v>516</v>
      </c>
      <c r="D26" s="124">
        <f>'RESUMEN POR UNIDAD'!E93</f>
        <v>20000000</v>
      </c>
      <c r="E26" s="124">
        <f>'RESUMEN POR UNIDAD'!F93</f>
        <v>20000000</v>
      </c>
      <c r="F26" s="377">
        <f t="shared" si="1"/>
        <v>1</v>
      </c>
      <c r="G26" s="124">
        <f>'RESUMEN POR UNIDAD'!G93</f>
        <v>20000000</v>
      </c>
      <c r="H26" s="392">
        <f t="shared" si="0"/>
        <v>1</v>
      </c>
    </row>
    <row r="27" spans="2:8" ht="39.75" customHeight="1" x14ac:dyDescent="0.25">
      <c r="B27" s="44">
        <v>1707</v>
      </c>
      <c r="C27" s="226" t="s">
        <v>523</v>
      </c>
      <c r="D27" s="124">
        <f>'RESUMEN POR UNIDAD'!E94</f>
        <v>43000000</v>
      </c>
      <c r="E27" s="124">
        <f>'RESUMEN POR UNIDAD'!F94</f>
        <v>34865000</v>
      </c>
      <c r="F27" s="377">
        <f t="shared" si="1"/>
        <v>0.81081395348837204</v>
      </c>
      <c r="G27" s="124">
        <f>'RESUMEN POR UNIDAD'!G94</f>
        <v>34865000</v>
      </c>
      <c r="H27" s="392">
        <f t="shared" si="0"/>
        <v>1</v>
      </c>
    </row>
    <row r="28" spans="2:8" ht="40.5" customHeight="1" x14ac:dyDescent="0.25">
      <c r="B28" s="44">
        <v>1708</v>
      </c>
      <c r="C28" s="226" t="s">
        <v>530</v>
      </c>
      <c r="D28" s="124">
        <f>'RESUMEN POR UNIDAD'!E95</f>
        <v>37555000</v>
      </c>
      <c r="E28" s="124">
        <f>'RESUMEN POR UNIDAD'!F95</f>
        <v>17555000</v>
      </c>
      <c r="F28" s="377">
        <f t="shared" si="1"/>
        <v>0.46744774330981226</v>
      </c>
      <c r="G28" s="124">
        <f>'RESUMEN POR UNIDAD'!G95</f>
        <v>17555000</v>
      </c>
      <c r="H28" s="392">
        <f t="shared" si="0"/>
        <v>1</v>
      </c>
    </row>
    <row r="29" spans="2:8" ht="38.25" customHeight="1" x14ac:dyDescent="0.25">
      <c r="B29" s="44">
        <v>1709</v>
      </c>
      <c r="C29" s="226" t="s">
        <v>539</v>
      </c>
      <c r="D29" s="124">
        <f>'RESUMEN POR UNIDAD'!E96</f>
        <v>108000000</v>
      </c>
      <c r="E29" s="124">
        <f>'RESUMEN POR UNIDAD'!F96</f>
        <v>108000000</v>
      </c>
      <c r="F29" s="377">
        <f t="shared" si="1"/>
        <v>1</v>
      </c>
      <c r="G29" s="124">
        <f>'RESUMEN POR UNIDAD'!G96</f>
        <v>108000000</v>
      </c>
      <c r="H29" s="392">
        <f t="shared" si="0"/>
        <v>1</v>
      </c>
    </row>
    <row r="30" spans="2:8" ht="39" customHeight="1" x14ac:dyDescent="0.25">
      <c r="B30" s="44">
        <v>3502</v>
      </c>
      <c r="C30" s="226" t="s">
        <v>402</v>
      </c>
      <c r="D30" s="124">
        <f>'RESUMEN POR UNIDAD'!E83+'RESUMEN POR UNIDAD'!E98+'RESUMEN POR UNIDAD'!E38</f>
        <v>3355087710.6100001</v>
      </c>
      <c r="E30" s="124">
        <f>'RESUMEN POR UNIDAD'!F83+'RESUMEN POR UNIDAD'!F98+'RESUMEN POR UNIDAD'!F38</f>
        <v>2736632594.5100002</v>
      </c>
      <c r="F30" s="377">
        <f t="shared" si="1"/>
        <v>0.8156664834292644</v>
      </c>
      <c r="G30" s="124">
        <f>'RESUMEN POR UNIDAD'!G83+'RESUMEN POR UNIDAD'!G98+'RESUMEN POR UNIDAD'!G38</f>
        <v>2736632594.5100002</v>
      </c>
      <c r="H30" s="392">
        <f t="shared" si="0"/>
        <v>1</v>
      </c>
    </row>
    <row r="31" spans="2:8" ht="39" customHeight="1" x14ac:dyDescent="0.25">
      <c r="B31" s="44">
        <v>3602</v>
      </c>
      <c r="C31" s="226" t="s">
        <v>434</v>
      </c>
      <c r="D31" s="124">
        <f>'RESUMEN POR UNIDAD'!E85</f>
        <v>237500000</v>
      </c>
      <c r="E31" s="124">
        <f>'RESUMEN POR UNIDAD'!F85</f>
        <v>226517451</v>
      </c>
      <c r="F31" s="377">
        <f t="shared" si="1"/>
        <v>0.95375768842105269</v>
      </c>
      <c r="G31" s="124">
        <f>'RESUMEN POR UNIDAD'!G85</f>
        <v>226517451</v>
      </c>
      <c r="H31" s="392">
        <f t="shared" si="0"/>
        <v>1</v>
      </c>
    </row>
    <row r="32" spans="2:8" ht="35.25" customHeight="1" x14ac:dyDescent="0.25">
      <c r="B32" s="44">
        <v>3604</v>
      </c>
      <c r="C32" s="248" t="s">
        <v>932</v>
      </c>
      <c r="D32" s="124">
        <f>'RESUMEN POR UNIDAD'!E136</f>
        <v>38195000</v>
      </c>
      <c r="E32" s="124">
        <f>'RESUMEN POR UNIDAD'!F136</f>
        <v>37695000</v>
      </c>
      <c r="F32" s="377">
        <f t="shared" si="1"/>
        <v>0.98690928131954447</v>
      </c>
      <c r="G32" s="124">
        <f>'RESUMEN POR UNIDAD'!G136</f>
        <v>37695000</v>
      </c>
      <c r="H32" s="392">
        <f t="shared" si="0"/>
        <v>1</v>
      </c>
    </row>
    <row r="33" spans="2:8" ht="37.5" customHeight="1" x14ac:dyDescent="0.25">
      <c r="B33" s="44">
        <v>3903</v>
      </c>
      <c r="C33" s="226" t="s">
        <v>1240</v>
      </c>
      <c r="D33" s="124">
        <f>'RESUMEN POR UNIDAD'!E156</f>
        <v>60000000</v>
      </c>
      <c r="E33" s="124">
        <f>'RESUMEN POR UNIDAD'!F156</f>
        <v>58180832</v>
      </c>
      <c r="F33" s="377">
        <f t="shared" si="1"/>
        <v>0.96968053333333337</v>
      </c>
      <c r="G33" s="124">
        <f>'RESUMEN POR UNIDAD'!G156</f>
        <v>58180832</v>
      </c>
      <c r="H33" s="392">
        <f t="shared" si="0"/>
        <v>1</v>
      </c>
    </row>
    <row r="34" spans="2:8" ht="41.25" customHeight="1" x14ac:dyDescent="0.25">
      <c r="B34" s="44">
        <v>3904</v>
      </c>
      <c r="C34" s="226" t="s">
        <v>759</v>
      </c>
      <c r="D34" s="124">
        <f>'RESUMEN POR UNIDAD'!E157+'RESUMEN POR UNIDAD'!E120</f>
        <v>25500000</v>
      </c>
      <c r="E34" s="124">
        <f>'RESUMEN POR UNIDAD'!F157+'RESUMEN POR UNIDAD'!F120</f>
        <v>14100000</v>
      </c>
      <c r="F34" s="377">
        <f t="shared" si="1"/>
        <v>0.55294117647058827</v>
      </c>
      <c r="G34" s="124">
        <f>'RESUMEN POR UNIDAD'!G157+'RESUMEN POR UNIDAD'!G120</f>
        <v>14100000</v>
      </c>
      <c r="H34" s="392">
        <f t="shared" si="0"/>
        <v>1</v>
      </c>
    </row>
    <row r="35" spans="2:8" ht="15.75" x14ac:dyDescent="0.25">
      <c r="B35" s="450">
        <v>3</v>
      </c>
      <c r="C35" s="451" t="s">
        <v>186</v>
      </c>
      <c r="D35" s="453">
        <f>SUM(D36:D44)</f>
        <v>16883128288.780001</v>
      </c>
      <c r="E35" s="453">
        <f>SUM(E36:E44)</f>
        <v>4858397431.4200001</v>
      </c>
      <c r="F35" s="490">
        <f t="shared" si="1"/>
        <v>0.28776642268653135</v>
      </c>
      <c r="G35" s="453">
        <f>SUM(G36:G44)</f>
        <v>4858397431.4200001</v>
      </c>
      <c r="H35" s="502">
        <f t="shared" si="0"/>
        <v>1</v>
      </c>
    </row>
    <row r="36" spans="2:8" ht="21.75" customHeight="1" x14ac:dyDescent="0.25">
      <c r="B36" s="44">
        <v>2402</v>
      </c>
      <c r="C36" s="226" t="s">
        <v>188</v>
      </c>
      <c r="D36" s="124">
        <f>'RESUMEN POR UNIDAD'!E41</f>
        <v>8590607588</v>
      </c>
      <c r="E36" s="124">
        <f>'RESUMEN POR UNIDAD'!F41</f>
        <v>369431670</v>
      </c>
      <c r="F36" s="377">
        <f t="shared" si="1"/>
        <v>4.3004137508975457E-2</v>
      </c>
      <c r="G36" s="124">
        <f>'RESUMEN POR UNIDAD'!G41</f>
        <v>369431670</v>
      </c>
      <c r="H36" s="392">
        <f t="shared" si="0"/>
        <v>1</v>
      </c>
    </row>
    <row r="37" spans="2:8" ht="36" customHeight="1" x14ac:dyDescent="0.25">
      <c r="B37" s="44">
        <v>3201</v>
      </c>
      <c r="C37" s="226" t="s">
        <v>558</v>
      </c>
      <c r="D37" s="124">
        <f>'RESUMEN POR UNIDAD'!E101</f>
        <v>81456499</v>
      </c>
      <c r="E37" s="124">
        <f>'RESUMEN POR UNIDAD'!F101</f>
        <v>81456499</v>
      </c>
      <c r="F37" s="377">
        <f t="shared" si="1"/>
        <v>1</v>
      </c>
      <c r="G37" s="124">
        <f>'RESUMEN POR UNIDAD'!G101</f>
        <v>81456499</v>
      </c>
      <c r="H37" s="392">
        <f t="shared" si="0"/>
        <v>1</v>
      </c>
    </row>
    <row r="38" spans="2:8" ht="35.25" customHeight="1" x14ac:dyDescent="0.25">
      <c r="B38" s="44">
        <v>3202</v>
      </c>
      <c r="C38" s="226" t="s">
        <v>568</v>
      </c>
      <c r="D38" s="124">
        <f>'RESUMEN POR UNIDAD'!E102</f>
        <v>1235631389</v>
      </c>
      <c r="E38" s="124">
        <f>'RESUMEN POR UNIDAD'!F102</f>
        <v>464280684.56999999</v>
      </c>
      <c r="F38" s="377">
        <f t="shared" si="1"/>
        <v>0.37574367946879667</v>
      </c>
      <c r="G38" s="124">
        <f>'RESUMEN POR UNIDAD'!G102</f>
        <v>464280684.56999999</v>
      </c>
      <c r="H38" s="392">
        <f t="shared" si="0"/>
        <v>1</v>
      </c>
    </row>
    <row r="39" spans="2:8" ht="43.5" customHeight="1" x14ac:dyDescent="0.25">
      <c r="B39" s="44">
        <v>3204</v>
      </c>
      <c r="C39" s="226" t="s">
        <v>599</v>
      </c>
      <c r="D39" s="124">
        <f>'RESUMEN POR UNIDAD'!E103</f>
        <v>120000000</v>
      </c>
      <c r="E39" s="124">
        <f>'RESUMEN POR UNIDAD'!F103</f>
        <v>52835333</v>
      </c>
      <c r="F39" s="377">
        <f t="shared" si="1"/>
        <v>0.44029444166666665</v>
      </c>
      <c r="G39" s="124">
        <f>'RESUMEN POR UNIDAD'!G103</f>
        <v>52835333</v>
      </c>
      <c r="H39" s="392">
        <f t="shared" si="0"/>
        <v>1</v>
      </c>
    </row>
    <row r="40" spans="2:8" ht="36" customHeight="1" x14ac:dyDescent="0.25">
      <c r="B40" s="44">
        <v>3205</v>
      </c>
      <c r="C40" s="226" t="s">
        <v>208</v>
      </c>
      <c r="D40" s="124">
        <f>'RESUMEN POR UNIDAD'!E104+'RESUMEN POR UNIDAD'!E43+'RESUMEN POR UNIDAD'!E67</f>
        <v>2588958067</v>
      </c>
      <c r="E40" s="124">
        <f>'RESUMEN POR UNIDAD'!F104+'RESUMEN POR UNIDAD'!F43+'RESUMEN POR UNIDAD'!F67</f>
        <v>533062408.78999996</v>
      </c>
      <c r="F40" s="377">
        <f t="shared" si="1"/>
        <v>0.20589843288102971</v>
      </c>
      <c r="G40" s="124">
        <f>'RESUMEN POR UNIDAD'!G104+'RESUMEN POR UNIDAD'!G43+'RESUMEN POR UNIDAD'!G67</f>
        <v>533062408.78999996</v>
      </c>
      <c r="H40" s="392">
        <f t="shared" si="0"/>
        <v>1</v>
      </c>
    </row>
    <row r="41" spans="2:8" ht="45" x14ac:dyDescent="0.25">
      <c r="B41" s="44">
        <v>3206</v>
      </c>
      <c r="C41" s="226" t="s">
        <v>618</v>
      </c>
      <c r="D41" s="124">
        <f>'RESUMEN POR UNIDAD'!E105</f>
        <v>118000000</v>
      </c>
      <c r="E41" s="124">
        <f>'RESUMEN POR UNIDAD'!F105</f>
        <v>9535000</v>
      </c>
      <c r="F41" s="377">
        <f t="shared" si="1"/>
        <v>8.0805084745762715E-2</v>
      </c>
      <c r="G41" s="124">
        <f>'RESUMEN POR UNIDAD'!G105</f>
        <v>9535000</v>
      </c>
      <c r="H41" s="392">
        <f t="shared" si="0"/>
        <v>1</v>
      </c>
    </row>
    <row r="42" spans="2:8" ht="24" customHeight="1" x14ac:dyDescent="0.25">
      <c r="B42" s="44">
        <v>4001</v>
      </c>
      <c r="C42" s="226" t="s">
        <v>222</v>
      </c>
      <c r="D42" s="124">
        <f>'RESUMEN POR UNIDAD'!E45</f>
        <v>120000000.09999999</v>
      </c>
      <c r="E42" s="124">
        <f>'RESUMEN POR UNIDAD'!F45</f>
        <v>0</v>
      </c>
      <c r="F42" s="377">
        <f t="shared" si="1"/>
        <v>0</v>
      </c>
      <c r="G42" s="124">
        <f>'RESUMEN POR UNIDAD'!G45</f>
        <v>0</v>
      </c>
      <c r="H42" s="392" t="e">
        <f t="shared" si="0"/>
        <v>#DIV/0!</v>
      </c>
    </row>
    <row r="43" spans="2:8" ht="34.5" customHeight="1" x14ac:dyDescent="0.25">
      <c r="B43" s="44">
        <v>4003</v>
      </c>
      <c r="C43" s="226" t="s">
        <v>230</v>
      </c>
      <c r="D43" s="124">
        <f>'RESUMEN POR UNIDAD'!E46</f>
        <v>3500159641.6800003</v>
      </c>
      <c r="E43" s="124">
        <f>'RESUMEN POR UNIDAD'!F46</f>
        <v>3056693113</v>
      </c>
      <c r="F43" s="377">
        <f t="shared" si="1"/>
        <v>0.87330105650062695</v>
      </c>
      <c r="G43" s="124">
        <f>'RESUMEN POR UNIDAD'!G46</f>
        <v>3056693113</v>
      </c>
      <c r="H43" s="392">
        <f t="shared" si="0"/>
        <v>1</v>
      </c>
    </row>
    <row r="44" spans="2:8" ht="33" customHeight="1" x14ac:dyDescent="0.25">
      <c r="B44" s="44">
        <v>4503</v>
      </c>
      <c r="C44" s="226" t="s">
        <v>1476</v>
      </c>
      <c r="D44" s="124">
        <f>'RESUMEN POR UNIDAD'!E69</f>
        <v>528315104</v>
      </c>
      <c r="E44" s="124">
        <f>'RESUMEN POR UNIDAD'!F69</f>
        <v>291102723.06</v>
      </c>
      <c r="F44" s="377">
        <f t="shared" si="1"/>
        <v>0.55100208352173097</v>
      </c>
      <c r="G44" s="124">
        <f>'RESUMEN POR UNIDAD'!G69</f>
        <v>291102723.06</v>
      </c>
      <c r="H44" s="392">
        <f t="shared" si="0"/>
        <v>1</v>
      </c>
    </row>
    <row r="45" spans="2:8" ht="15.75" x14ac:dyDescent="0.25">
      <c r="B45" s="450">
        <v>4</v>
      </c>
      <c r="C45" s="451" t="s">
        <v>37</v>
      </c>
      <c r="D45" s="453">
        <f>SUM(D46:D48)</f>
        <v>6762833750.8400002</v>
      </c>
      <c r="E45" s="453">
        <f>SUM(E46:E48)</f>
        <v>5856182897.5600004</v>
      </c>
      <c r="F45" s="490">
        <f t="shared" si="1"/>
        <v>0.86593624999766017</v>
      </c>
      <c r="G45" s="453">
        <f>SUM(G46:G48)</f>
        <v>5856182897.5600004</v>
      </c>
      <c r="H45" s="502">
        <f t="shared" si="0"/>
        <v>1</v>
      </c>
    </row>
    <row r="46" spans="2:8" ht="74.25" customHeight="1" x14ac:dyDescent="0.25">
      <c r="B46" s="69">
        <v>2302</v>
      </c>
      <c r="C46" s="72" t="s">
        <v>1487</v>
      </c>
      <c r="D46" s="252">
        <f>'RESUMEN POR UNIDAD'!E160</f>
        <v>298000000</v>
      </c>
      <c r="E46" s="252">
        <f>'RESUMEN POR UNIDAD'!F160</f>
        <v>277577165.5</v>
      </c>
      <c r="F46" s="377">
        <f t="shared" si="1"/>
        <v>0.93146699832214763</v>
      </c>
      <c r="G46" s="124">
        <f>'RESUMEN POR UNIDAD'!G160</f>
        <v>277577165.5</v>
      </c>
      <c r="H46" s="392">
        <f t="shared" si="0"/>
        <v>1</v>
      </c>
    </row>
    <row r="47" spans="2:8" ht="39.75" customHeight="1" x14ac:dyDescent="0.25">
      <c r="B47" s="69">
        <v>4502</v>
      </c>
      <c r="C47" s="72" t="s">
        <v>60</v>
      </c>
      <c r="D47" s="252">
        <f>'RESUMEN POR UNIDAD'!E11+'RESUMEN POR UNIDAD'!E16+'RESUMEN POR UNIDAD'!E50+'RESUMEN POR UNIDAD'!E72+'RESUMEN POR UNIDAD'!E111+'RESUMEN POR UNIDAD'!E139</f>
        <v>1038584058.98</v>
      </c>
      <c r="E47" s="252">
        <f>'RESUMEN POR UNIDAD'!F11+'RESUMEN POR UNIDAD'!F16+'RESUMEN POR UNIDAD'!F50+'RESUMEN POR UNIDAD'!F72+'RESUMEN POR UNIDAD'!F111+'RESUMEN POR UNIDAD'!F139</f>
        <v>922411548.43000007</v>
      </c>
      <c r="F47" s="377">
        <f t="shared" si="1"/>
        <v>0.88814337217529249</v>
      </c>
      <c r="G47" s="124">
        <f>'RESUMEN POR UNIDAD'!G11+'RESUMEN POR UNIDAD'!G16+'RESUMEN POR UNIDAD'!G50+'RESUMEN POR UNIDAD'!G72+'RESUMEN POR UNIDAD'!G111+'RESUMEN POR UNIDAD'!G139</f>
        <v>922411548.43000007</v>
      </c>
      <c r="H47" s="392">
        <f t="shared" si="0"/>
        <v>1</v>
      </c>
    </row>
    <row r="48" spans="2:8" ht="54.75" customHeight="1" x14ac:dyDescent="0.25">
      <c r="B48" s="69">
        <v>4599</v>
      </c>
      <c r="C48" s="71" t="s">
        <v>39</v>
      </c>
      <c r="D48" s="252">
        <f>'RESUMEN POR UNIDAD'!E10+'RESUMEN POR UNIDAD'!E17+'RESUMEN POR UNIDAD'!E22+'RESUMEN POR UNIDAD'!E49+'RESUMEN POR UNIDAD'!E110+'RESUMEN POR UNIDAD'!E140</f>
        <v>5426249691.8600006</v>
      </c>
      <c r="E48" s="252">
        <f>'RESUMEN POR UNIDAD'!F10+'RESUMEN POR UNIDAD'!F17+'RESUMEN POR UNIDAD'!F22+'RESUMEN POR UNIDAD'!F49+'RESUMEN POR UNIDAD'!F110+'RESUMEN POR UNIDAD'!F140</f>
        <v>4656194183.6300001</v>
      </c>
      <c r="F48" s="377">
        <f t="shared" si="1"/>
        <v>0.85808697499026398</v>
      </c>
      <c r="G48" s="124">
        <f>'RESUMEN POR UNIDAD'!G10+'RESUMEN POR UNIDAD'!G17+'RESUMEN POR UNIDAD'!G22+'RESUMEN POR UNIDAD'!G49+'RESUMEN POR UNIDAD'!G110+'RESUMEN POR UNIDAD'!G140</f>
        <v>4656194183.6300001</v>
      </c>
      <c r="H48" s="392">
        <f t="shared" si="0"/>
        <v>1</v>
      </c>
    </row>
    <row r="49" spans="2:8" ht="21.75" customHeight="1" x14ac:dyDescent="0.25">
      <c r="B49" s="42"/>
      <c r="C49" s="92" t="s">
        <v>1372</v>
      </c>
      <c r="D49" s="98">
        <f>D45+D35+D22+D3</f>
        <v>319490464131.91003</v>
      </c>
      <c r="E49" s="98">
        <f>E45+E35+E22+E3</f>
        <v>286065239361.58002</v>
      </c>
      <c r="F49" s="480">
        <f t="shared" si="1"/>
        <v>0.89537958554991637</v>
      </c>
      <c r="G49" s="98">
        <f>G45+G35+G22+G3</f>
        <v>286065239361.58002</v>
      </c>
      <c r="H49" s="498">
        <f t="shared" si="0"/>
        <v>1</v>
      </c>
    </row>
    <row r="50" spans="2:8" ht="27" customHeight="1" x14ac:dyDescent="0.25"/>
    <row r="51" spans="2:8" ht="45.75" customHeight="1" x14ac:dyDescent="0.25">
      <c r="B51" s="622" t="s">
        <v>1699</v>
      </c>
      <c r="C51" s="623"/>
      <c r="D51" s="623"/>
      <c r="E51" s="623"/>
      <c r="F51" s="623"/>
      <c r="G51" s="623"/>
      <c r="H51" s="624"/>
    </row>
    <row r="52" spans="2:8" ht="15.75" x14ac:dyDescent="0.25">
      <c r="B52" s="458">
        <v>1</v>
      </c>
      <c r="C52" s="499" t="s">
        <v>136</v>
      </c>
      <c r="D52" s="457">
        <f>SUM(D53:D55)</f>
        <v>8179890631.7399998</v>
      </c>
      <c r="E52" s="457">
        <f>SUM(E53:E55)</f>
        <v>5647345281.7799997</v>
      </c>
      <c r="F52" s="500">
        <f t="shared" ref="F52:F60" si="2">E52/D52</f>
        <v>0.69039373947946225</v>
      </c>
      <c r="G52" s="457">
        <f>SUM(G53:G55)</f>
        <v>5626430281.7799997</v>
      </c>
      <c r="H52" s="491">
        <f>G52/E52</f>
        <v>0.99629648995122044</v>
      </c>
    </row>
    <row r="53" spans="2:8" ht="45" x14ac:dyDescent="0.25">
      <c r="B53" s="44">
        <v>2201</v>
      </c>
      <c r="C53" s="248" t="s">
        <v>277</v>
      </c>
      <c r="D53" s="124">
        <f>'RESUMEN POR UNIDAD'!E175</f>
        <v>329008863.94999999</v>
      </c>
      <c r="E53" s="124">
        <f>'RESUMEN POR UNIDAD'!F175</f>
        <v>290761030.31</v>
      </c>
      <c r="F53" s="377">
        <f t="shared" si="2"/>
        <v>0.88374831856866753</v>
      </c>
      <c r="G53" s="124">
        <f>'RESUMEN POR UNIDAD'!G175</f>
        <v>290761030.31</v>
      </c>
      <c r="H53" s="392">
        <f>G53/E53</f>
        <v>1</v>
      </c>
    </row>
    <row r="54" spans="2:8" ht="51.75" customHeight="1" x14ac:dyDescent="0.25">
      <c r="B54" s="44">
        <v>4301</v>
      </c>
      <c r="C54" s="248" t="s">
        <v>177</v>
      </c>
      <c r="D54" s="124">
        <f>'RESUMEN POR UNIDAD'!E173+'RESUMEN POR UNIDAD'!E167</f>
        <v>3537751176.7399998</v>
      </c>
      <c r="E54" s="124">
        <f>'RESUMEN POR UNIDAD'!F173+'RESUMEN POR UNIDAD'!F167</f>
        <v>2875539895.29</v>
      </c>
      <c r="F54" s="377">
        <f t="shared" si="2"/>
        <v>0.81281575544263673</v>
      </c>
      <c r="G54" s="124">
        <f>'RESUMEN POR UNIDAD'!G173+'RESUMEN POR UNIDAD'!G167</f>
        <v>2875539895.29</v>
      </c>
      <c r="H54" s="392">
        <f>G54/E54</f>
        <v>1</v>
      </c>
    </row>
    <row r="55" spans="2:8" ht="32.25" customHeight="1" x14ac:dyDescent="0.25">
      <c r="B55" s="44">
        <v>4302</v>
      </c>
      <c r="C55" s="248" t="s">
        <v>1287</v>
      </c>
      <c r="D55" s="124">
        <f>'RESUMEN POR UNIDAD'!E168</f>
        <v>4313130591.0500002</v>
      </c>
      <c r="E55" s="124">
        <f>'RESUMEN POR UNIDAD'!F168</f>
        <v>2481044356.1799998</v>
      </c>
      <c r="F55" s="377">
        <f t="shared" si="2"/>
        <v>0.57523052080275816</v>
      </c>
      <c r="G55" s="124">
        <f>'RESUMEN POR UNIDAD'!G168</f>
        <v>2460129356.1799998</v>
      </c>
      <c r="H55" s="392">
        <f>G55/E55</f>
        <v>0.99157008219224174</v>
      </c>
    </row>
    <row r="56" spans="2:8" ht="15.75" x14ac:dyDescent="0.25">
      <c r="B56" s="450">
        <v>3</v>
      </c>
      <c r="C56" s="451" t="s">
        <v>186</v>
      </c>
      <c r="D56" s="453">
        <f>SUM(D57:D59)</f>
        <v>1728023393.23</v>
      </c>
      <c r="E56" s="453">
        <f>SUM(E57:E59)</f>
        <v>1517155332.4140139</v>
      </c>
      <c r="F56" s="501">
        <f t="shared" si="2"/>
        <v>0.87797152420382796</v>
      </c>
      <c r="G56" s="453">
        <f>SUM(G57:G59)</f>
        <v>1350245069.4825239</v>
      </c>
      <c r="H56" s="502">
        <f>G56/E56</f>
        <v>0.88998472380154281</v>
      </c>
    </row>
    <row r="57" spans="2:8" ht="24" customHeight="1" x14ac:dyDescent="0.25">
      <c r="B57" s="44">
        <v>2402</v>
      </c>
      <c r="C57" s="260" t="s">
        <v>188</v>
      </c>
      <c r="D57" s="124">
        <f>'RESUMEN POR UNIDAD'!E178</f>
        <v>348896731.19999999</v>
      </c>
      <c r="E57" s="124">
        <f>'RESUMEN POR UNIDAD'!F178</f>
        <v>347384923.11000001</v>
      </c>
      <c r="F57" s="163">
        <f t="shared" si="2"/>
        <v>0.99566688949821847</v>
      </c>
      <c r="G57" s="124">
        <f>'RESUMEN POR UNIDAD'!G178</f>
        <v>240924657.09</v>
      </c>
      <c r="H57" s="392">
        <f t="shared" ref="H57:H59" si="3">G57/E57</f>
        <v>0.69353803536750158</v>
      </c>
    </row>
    <row r="58" spans="2:8" ht="23.25" customHeight="1" x14ac:dyDescent="0.25">
      <c r="B58" s="44">
        <v>2409</v>
      </c>
      <c r="C58" s="255" t="s">
        <v>1334</v>
      </c>
      <c r="D58" s="124">
        <f>'RESUMEN POR UNIDAD'!E185</f>
        <v>110210000</v>
      </c>
      <c r="E58" s="124">
        <f>'RESUMEN POR UNIDAD'!F185</f>
        <v>107716000</v>
      </c>
      <c r="F58" s="163">
        <f t="shared" si="2"/>
        <v>0.97737047454858905</v>
      </c>
      <c r="G58" s="124">
        <f>'RESUMEN POR UNIDAD'!G185</f>
        <v>107716000</v>
      </c>
      <c r="H58" s="392">
        <f t="shared" si="3"/>
        <v>1</v>
      </c>
    </row>
    <row r="59" spans="2:8" ht="23.25" customHeight="1" x14ac:dyDescent="0.25">
      <c r="B59" s="44">
        <v>4001</v>
      </c>
      <c r="C59" s="255" t="s">
        <v>222</v>
      </c>
      <c r="D59" s="124">
        <f>'RESUMEN POR UNIDAD'!E180</f>
        <v>1268916662.03</v>
      </c>
      <c r="E59" s="124">
        <f>'RESUMEN POR UNIDAD'!F180</f>
        <v>1062054409.304014</v>
      </c>
      <c r="F59" s="163">
        <f t="shared" si="2"/>
        <v>0.83697727446099579</v>
      </c>
      <c r="G59" s="124">
        <f>'RESUMEN POR UNIDAD'!G180</f>
        <v>1001604412.3925239</v>
      </c>
      <c r="H59" s="392">
        <f t="shared" si="3"/>
        <v>0.94308201502491362</v>
      </c>
    </row>
    <row r="60" spans="2:8" ht="23.25" customHeight="1" x14ac:dyDescent="0.25">
      <c r="B60" s="42"/>
      <c r="C60" s="92" t="s">
        <v>1373</v>
      </c>
      <c r="D60" s="98">
        <f>D52+D56</f>
        <v>9907914024.9699993</v>
      </c>
      <c r="E60" s="98">
        <f>E52+E56</f>
        <v>7164500614.1940136</v>
      </c>
      <c r="F60" s="496">
        <f t="shared" si="2"/>
        <v>0.72310888004659557</v>
      </c>
      <c r="G60" s="98">
        <f>G52+G56</f>
        <v>6976675351.2625237</v>
      </c>
      <c r="H60" s="497">
        <f>G60/E60</f>
        <v>0.97378390022615413</v>
      </c>
    </row>
    <row r="61" spans="2:8" x14ac:dyDescent="0.25">
      <c r="D61" s="253"/>
      <c r="E61" s="253"/>
      <c r="G61" s="253"/>
      <c r="H61" s="393"/>
    </row>
    <row r="62" spans="2:8" ht="26.25" customHeight="1" x14ac:dyDescent="0.25">
      <c r="B62" s="625" t="s">
        <v>1374</v>
      </c>
      <c r="C62" s="626"/>
      <c r="D62" s="411">
        <f>D60+D49</f>
        <v>329398378156.88</v>
      </c>
      <c r="E62" s="411">
        <f>E60+E49</f>
        <v>293229739975.77405</v>
      </c>
      <c r="F62" s="494">
        <f>E62/D62</f>
        <v>0.89019788626925112</v>
      </c>
      <c r="G62" s="411">
        <f>G60+G49</f>
        <v>293041914712.84253</v>
      </c>
      <c r="H62" s="495">
        <f>G62/E62</f>
        <v>0.99935946039120371</v>
      </c>
    </row>
    <row r="67" spans="3:4" ht="15.75" x14ac:dyDescent="0.25">
      <c r="C67" s="173" t="s">
        <v>1700</v>
      </c>
      <c r="D67" s="170"/>
    </row>
    <row r="68" spans="3:4" x14ac:dyDescent="0.25">
      <c r="C68" s="165" t="s">
        <v>1544</v>
      </c>
      <c r="D68" s="171"/>
    </row>
    <row r="69" spans="3:4" x14ac:dyDescent="0.25">
      <c r="C69" s="166" t="s">
        <v>1545</v>
      </c>
      <c r="D69" s="171"/>
    </row>
    <row r="70" spans="3:4" x14ac:dyDescent="0.25">
      <c r="C70" s="167" t="s">
        <v>1546</v>
      </c>
      <c r="D70" s="171"/>
    </row>
    <row r="71" spans="3:4" x14ac:dyDescent="0.25">
      <c r="C71" s="168" t="s">
        <v>1547</v>
      </c>
      <c r="D71" s="171"/>
    </row>
    <row r="72" spans="3:4" x14ac:dyDescent="0.25">
      <c r="C72" s="169" t="s">
        <v>1548</v>
      </c>
      <c r="D72" s="171"/>
    </row>
    <row r="73" spans="3:4" x14ac:dyDescent="0.25">
      <c r="D73" s="172"/>
    </row>
  </sheetData>
  <mergeCells count="3">
    <mergeCell ref="B62:C62"/>
    <mergeCell ref="B1:H1"/>
    <mergeCell ref="B51:H51"/>
  </mergeCells>
  <conditionalFormatting sqref="F4:F49">
    <cfRule type="cellIs" dxfId="74" priority="21" operator="between">
      <formula>0</formula>
      <formula>0.3999</formula>
    </cfRule>
    <cfRule type="cellIs" dxfId="73" priority="22" operator="between">
      <formula>0.4</formula>
      <formula>0.59</formula>
    </cfRule>
    <cfRule type="cellIs" dxfId="72" priority="23" operator="between">
      <formula>0.6</formula>
      <formula>0.69</formula>
    </cfRule>
    <cfRule type="cellIs" dxfId="71" priority="24" operator="between">
      <formula>0.695</formula>
      <formula>0.7949</formula>
    </cfRule>
    <cfRule type="cellIs" dxfId="70" priority="25" operator="greaterThan">
      <formula>0.795</formula>
    </cfRule>
  </conditionalFormatting>
  <conditionalFormatting sqref="F52:F60">
    <cfRule type="cellIs" dxfId="69" priority="16" operator="between">
      <formula>0</formula>
      <formula>0.3999</formula>
    </cfRule>
    <cfRule type="cellIs" dxfId="68" priority="17" operator="between">
      <formula>0.4</formula>
      <formula>0.59</formula>
    </cfRule>
    <cfRule type="cellIs" dxfId="67" priority="18" operator="between">
      <formula>0.6</formula>
      <formula>0.69</formula>
    </cfRule>
    <cfRule type="cellIs" dxfId="66" priority="19" operator="between">
      <formula>0.7</formula>
      <formula>0.79</formula>
    </cfRule>
    <cfRule type="cellIs" dxfId="65" priority="20" operator="between">
      <formula>0.8</formula>
      <formula>1</formula>
    </cfRule>
  </conditionalFormatting>
  <conditionalFormatting sqref="F62">
    <cfRule type="cellIs" dxfId="64" priority="11" operator="between">
      <formula>0</formula>
      <formula>0.3999</formula>
    </cfRule>
    <cfRule type="cellIs" dxfId="63" priority="12" operator="between">
      <formula>0.4</formula>
      <formula>0.59</formula>
    </cfRule>
    <cfRule type="cellIs" dxfId="62" priority="13" operator="between">
      <formula>0.6</formula>
      <formula>0.69</formula>
    </cfRule>
    <cfRule type="cellIs" dxfId="61" priority="14" operator="between">
      <formula>0.695</formula>
      <formula>0.7949</formula>
    </cfRule>
    <cfRule type="cellIs" dxfId="60" priority="15" operator="between">
      <formula>0.8</formula>
      <formula>1</formula>
    </cfRule>
  </conditionalFormatting>
  <conditionalFormatting sqref="F3">
    <cfRule type="cellIs" dxfId="59" priority="6" operator="between">
      <formula>0</formula>
      <formula>0.3999</formula>
    </cfRule>
    <cfRule type="cellIs" dxfId="58" priority="7" operator="between">
      <formula>0.4</formula>
      <formula>0.59</formula>
    </cfRule>
    <cfRule type="cellIs" dxfId="57" priority="8" operator="between">
      <formula>0.6</formula>
      <formula>0.69</formula>
    </cfRule>
    <cfRule type="cellIs" dxfId="56" priority="9" operator="between">
      <formula>0.7</formula>
      <formula>0.79</formula>
    </cfRule>
    <cfRule type="cellIs" dxfId="55" priority="10" operator="greaterThan">
      <formula>0.795</formula>
    </cfRule>
  </conditionalFormatting>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dimension ref="B1:H47"/>
  <sheetViews>
    <sheetView showGridLines="0" tabSelected="1" topLeftCell="C10" zoomScale="80" zoomScaleNormal="80" workbookViewId="0">
      <selection activeCell="F36" sqref="F36"/>
    </sheetView>
  </sheetViews>
  <sheetFormatPr baseColWidth="10" defaultColWidth="11.42578125" defaultRowHeight="15" x14ac:dyDescent="0.25"/>
  <cols>
    <col min="3" max="3" width="64.42578125" customWidth="1"/>
    <col min="4" max="4" width="32.7109375" customWidth="1"/>
    <col min="5" max="5" width="31.7109375" customWidth="1"/>
    <col min="6" max="6" width="17.5703125" customWidth="1"/>
    <col min="7" max="7" width="31.85546875" customWidth="1"/>
    <col min="8" max="8" width="24.140625" customWidth="1"/>
  </cols>
  <sheetData>
    <row r="1" spans="2:8" ht="67.5" customHeight="1" x14ac:dyDescent="0.25">
      <c r="B1" s="621" t="s">
        <v>1690</v>
      </c>
      <c r="C1" s="621"/>
      <c r="D1" s="621"/>
      <c r="E1" s="621"/>
      <c r="F1" s="621"/>
      <c r="G1" s="621"/>
      <c r="H1" s="621"/>
    </row>
    <row r="2" spans="2:8" ht="24.95" customHeight="1" x14ac:dyDescent="0.25">
      <c r="B2" s="486" t="s">
        <v>1371</v>
      </c>
      <c r="C2" s="487" t="s">
        <v>1353</v>
      </c>
      <c r="D2" s="486" t="s">
        <v>1492</v>
      </c>
      <c r="E2" s="486" t="s">
        <v>1490</v>
      </c>
      <c r="F2" s="486" t="s">
        <v>1506</v>
      </c>
      <c r="G2" s="486" t="s">
        <v>1491</v>
      </c>
      <c r="H2" s="487" t="s">
        <v>1505</v>
      </c>
    </row>
    <row r="3" spans="2:8" ht="24.95" customHeight="1" x14ac:dyDescent="0.25">
      <c r="B3" s="506">
        <v>1</v>
      </c>
      <c r="C3" s="507" t="s">
        <v>1614</v>
      </c>
      <c r="D3" s="508">
        <f>PROGRAMAS!D3</f>
        <v>289944507382.05005</v>
      </c>
      <c r="E3" s="508">
        <f>PROGRAMAS!E3</f>
        <v>270593268666.09003</v>
      </c>
      <c r="F3" s="509">
        <f>E3/D3</f>
        <v>0.93325881945243561</v>
      </c>
      <c r="G3" s="508">
        <f>PROGRAMAS!G3</f>
        <v>270593268666.09003</v>
      </c>
      <c r="H3" s="510">
        <f>G3/E3</f>
        <v>1</v>
      </c>
    </row>
    <row r="4" spans="2:8" ht="24.95" customHeight="1" x14ac:dyDescent="0.25">
      <c r="B4" s="69">
        <v>2</v>
      </c>
      <c r="C4" s="70" t="s">
        <v>1621</v>
      </c>
      <c r="D4" s="252">
        <f>PROGRAMAS!D22</f>
        <v>5899994710.2399998</v>
      </c>
      <c r="E4" s="252">
        <f>PROGRAMAS!E22</f>
        <v>4757390366.5100002</v>
      </c>
      <c r="F4" s="378">
        <f>E4/D4</f>
        <v>0.8063380731940486</v>
      </c>
      <c r="G4" s="252">
        <f>PROGRAMAS!G22</f>
        <v>4757390366.5100002</v>
      </c>
      <c r="H4" s="164">
        <f>G4/E4</f>
        <v>1</v>
      </c>
    </row>
    <row r="5" spans="2:8" ht="24.95" customHeight="1" x14ac:dyDescent="0.25">
      <c r="B5" s="69">
        <v>3</v>
      </c>
      <c r="C5" s="255" t="s">
        <v>1616</v>
      </c>
      <c r="D5" s="252">
        <f>PROGRAMAS!D35</f>
        <v>16883128288.780001</v>
      </c>
      <c r="E5" s="252">
        <f>PROGRAMAS!E35</f>
        <v>4858397431.4200001</v>
      </c>
      <c r="F5" s="378">
        <f>E5/D5</f>
        <v>0.28776642268653135</v>
      </c>
      <c r="G5" s="252">
        <f>PROGRAMAS!G35</f>
        <v>4858397431.4200001</v>
      </c>
      <c r="H5" s="164">
        <f>G5/E5</f>
        <v>1</v>
      </c>
    </row>
    <row r="6" spans="2:8" ht="24.95" customHeight="1" x14ac:dyDescent="0.25">
      <c r="B6" s="69">
        <v>4</v>
      </c>
      <c r="C6" s="259" t="s">
        <v>1612</v>
      </c>
      <c r="D6" s="252">
        <f>PROGRAMAS!D45</f>
        <v>6762833750.8400002</v>
      </c>
      <c r="E6" s="252">
        <f>PROGRAMAS!E45</f>
        <v>5856182897.5600004</v>
      </c>
      <c r="F6" s="378">
        <f>E6/D6</f>
        <v>0.86593624999766017</v>
      </c>
      <c r="G6" s="252">
        <f>PROGRAMAS!G45</f>
        <v>5856182897.5600004</v>
      </c>
      <c r="H6" s="164">
        <f>G6/E6</f>
        <v>1</v>
      </c>
    </row>
    <row r="7" spans="2:8" ht="24.95" customHeight="1" x14ac:dyDescent="0.25">
      <c r="B7" s="42"/>
      <c r="C7" s="92" t="s">
        <v>1375</v>
      </c>
      <c r="D7" s="98">
        <f>SUM(D3:D6)</f>
        <v>319490464131.9101</v>
      </c>
      <c r="E7" s="98">
        <f>SUM(E3:E6)</f>
        <v>286065239361.58002</v>
      </c>
      <c r="F7" s="480">
        <f>E7/D7</f>
        <v>0.89537958554991615</v>
      </c>
      <c r="G7" s="98">
        <f>SUM(G3:G6)</f>
        <v>286065239361.58002</v>
      </c>
      <c r="H7" s="511">
        <f>G7/E7</f>
        <v>1</v>
      </c>
    </row>
    <row r="14" spans="2:8" ht="64.5" customHeight="1" x14ac:dyDescent="0.25">
      <c r="B14" s="621" t="s">
        <v>1691</v>
      </c>
      <c r="C14" s="621"/>
      <c r="D14" s="621"/>
      <c r="E14" s="621"/>
      <c r="F14" s="621"/>
      <c r="G14" s="621"/>
      <c r="H14" s="621"/>
    </row>
    <row r="15" spans="2:8" ht="24.95" customHeight="1" x14ac:dyDescent="0.25">
      <c r="B15" s="486" t="s">
        <v>1371</v>
      </c>
      <c r="C15" s="487" t="s">
        <v>1353</v>
      </c>
      <c r="D15" s="486" t="s">
        <v>1492</v>
      </c>
      <c r="E15" s="486" t="s">
        <v>1490</v>
      </c>
      <c r="F15" s="486" t="s">
        <v>1506</v>
      </c>
      <c r="G15" s="486" t="s">
        <v>1491</v>
      </c>
      <c r="H15" s="487" t="s">
        <v>1505</v>
      </c>
    </row>
    <row r="16" spans="2:8" ht="24.95" customHeight="1" x14ac:dyDescent="0.25">
      <c r="B16" s="506">
        <v>1</v>
      </c>
      <c r="C16" s="507" t="s">
        <v>1612</v>
      </c>
      <c r="D16" s="508">
        <f>PROGRAMAS!D52</f>
        <v>8179890631.7399998</v>
      </c>
      <c r="E16" s="508">
        <f>PROGRAMAS!E52</f>
        <v>5647345281.7799997</v>
      </c>
      <c r="F16" s="509">
        <f>E16/D16</f>
        <v>0.69039373947946225</v>
      </c>
      <c r="G16" s="508">
        <f>PROGRAMAS!G52</f>
        <v>5626430281.7799997</v>
      </c>
      <c r="H16" s="510">
        <f>G16/E16</f>
        <v>0.99629648995122044</v>
      </c>
    </row>
    <row r="17" spans="2:8" ht="24.95" customHeight="1" x14ac:dyDescent="0.25">
      <c r="B17" s="69">
        <v>3</v>
      </c>
      <c r="C17" s="70" t="s">
        <v>1616</v>
      </c>
      <c r="D17" s="252">
        <f>PROGRAMAS!D56</f>
        <v>1728023393.23</v>
      </c>
      <c r="E17" s="252">
        <f>PROGRAMAS!E56</f>
        <v>1517155332.4140139</v>
      </c>
      <c r="F17" s="378">
        <f>E17/D17</f>
        <v>0.87797152420382796</v>
      </c>
      <c r="G17" s="252">
        <f>PROGRAMAS!G56</f>
        <v>1350245069.4825239</v>
      </c>
      <c r="H17" s="164">
        <f>G17/E17</f>
        <v>0.88998472380154281</v>
      </c>
    </row>
    <row r="18" spans="2:8" ht="24.95" customHeight="1" x14ac:dyDescent="0.25">
      <c r="B18" s="42"/>
      <c r="C18" s="92" t="s">
        <v>1375</v>
      </c>
      <c r="D18" s="98">
        <f>SUM(D16:D17)</f>
        <v>9907914024.9699993</v>
      </c>
      <c r="E18" s="98">
        <f>SUM(E16:E17)</f>
        <v>7164500614.1940136</v>
      </c>
      <c r="F18" s="480">
        <f>E18/D18</f>
        <v>0.72310888004659557</v>
      </c>
      <c r="G18" s="98">
        <f>SUM(G16:G17)</f>
        <v>6976675351.2625237</v>
      </c>
      <c r="H18" s="511">
        <f>G18/E18</f>
        <v>0.97378390022615413</v>
      </c>
    </row>
    <row r="30" spans="2:8" ht="60.75" customHeight="1" x14ac:dyDescent="0.25">
      <c r="B30" s="621" t="s">
        <v>1692</v>
      </c>
      <c r="C30" s="621"/>
      <c r="D30" s="621"/>
      <c r="E30" s="621"/>
      <c r="F30" s="621"/>
      <c r="G30" s="621"/>
      <c r="H30" s="621"/>
    </row>
    <row r="31" spans="2:8" ht="24.95" customHeight="1" x14ac:dyDescent="0.25">
      <c r="B31" s="486" t="s">
        <v>1371</v>
      </c>
      <c r="C31" s="487" t="s">
        <v>1668</v>
      </c>
      <c r="D31" s="486" t="s">
        <v>1492</v>
      </c>
      <c r="E31" s="486" t="s">
        <v>1490</v>
      </c>
      <c r="F31" s="486" t="s">
        <v>1506</v>
      </c>
      <c r="G31" s="486" t="s">
        <v>1491</v>
      </c>
      <c r="H31" s="487" t="s">
        <v>1505</v>
      </c>
    </row>
    <row r="32" spans="2:8" ht="24.95" customHeight="1" x14ac:dyDescent="0.25">
      <c r="B32" s="506">
        <v>1</v>
      </c>
      <c r="C32" s="507" t="s">
        <v>1614</v>
      </c>
      <c r="D32" s="508">
        <f>D3+D16</f>
        <v>298124398013.79004</v>
      </c>
      <c r="E32" s="508">
        <f>E3+E16</f>
        <v>276240613947.87006</v>
      </c>
      <c r="F32" s="509">
        <f>E32/D32</f>
        <v>0.92659512535130473</v>
      </c>
      <c r="G32" s="508">
        <f>G3+G16</f>
        <v>276219698947.87006</v>
      </c>
      <c r="H32" s="510">
        <f>G32/E32</f>
        <v>0.99992428702028602</v>
      </c>
    </row>
    <row r="33" spans="2:8" ht="24.95" customHeight="1" x14ac:dyDescent="0.25">
      <c r="B33" s="69">
        <v>2</v>
      </c>
      <c r="C33" s="70" t="s">
        <v>1621</v>
      </c>
      <c r="D33" s="252">
        <f>D4</f>
        <v>5899994710.2399998</v>
      </c>
      <c r="E33" s="252">
        <f>E4</f>
        <v>4757390366.5100002</v>
      </c>
      <c r="F33" s="378">
        <f>E33/D33</f>
        <v>0.8063380731940486</v>
      </c>
      <c r="G33" s="252">
        <f>G4</f>
        <v>4757390366.5100002</v>
      </c>
      <c r="H33" s="164">
        <f>G33/E33</f>
        <v>1</v>
      </c>
    </row>
    <row r="34" spans="2:8" ht="24.95" customHeight="1" x14ac:dyDescent="0.25">
      <c r="B34" s="69">
        <v>3</v>
      </c>
      <c r="C34" s="70" t="s">
        <v>1616</v>
      </c>
      <c r="D34" s="252">
        <f>D5+D17</f>
        <v>18611151682.010002</v>
      </c>
      <c r="E34" s="252">
        <f>E5+E17</f>
        <v>6375552763.8340139</v>
      </c>
      <c r="F34" s="378">
        <f>E34/D34</f>
        <v>0.34256626740605101</v>
      </c>
      <c r="G34" s="252">
        <f>G5+G17</f>
        <v>6208642500.902524</v>
      </c>
      <c r="H34" s="164">
        <f>G34/E34</f>
        <v>0.9738202679651079</v>
      </c>
    </row>
    <row r="35" spans="2:8" ht="24.95" customHeight="1" x14ac:dyDescent="0.25">
      <c r="B35" s="69">
        <v>4</v>
      </c>
      <c r="C35" s="259" t="s">
        <v>1612</v>
      </c>
      <c r="D35" s="252">
        <f>D6</f>
        <v>6762833750.8400002</v>
      </c>
      <c r="E35" s="252">
        <f>E6</f>
        <v>5856182897.5600004</v>
      </c>
      <c r="F35" s="378">
        <f>E35/D35</f>
        <v>0.86593624999766017</v>
      </c>
      <c r="G35" s="252">
        <f>G6</f>
        <v>5856182897.5600004</v>
      </c>
      <c r="H35" s="164">
        <f>G35/E35</f>
        <v>1</v>
      </c>
    </row>
    <row r="36" spans="2:8" ht="24.95" customHeight="1" x14ac:dyDescent="0.25">
      <c r="B36" s="42"/>
      <c r="C36" s="92" t="s">
        <v>1375</v>
      </c>
      <c r="D36" s="98">
        <f>SUM(D32:D35)</f>
        <v>329398378156.88007</v>
      </c>
      <c r="E36" s="98">
        <f>SUM(E32:E35)</f>
        <v>293229739975.77405</v>
      </c>
      <c r="F36" s="480">
        <f>E36/D36</f>
        <v>0.890197886269251</v>
      </c>
      <c r="G36" s="98">
        <f>SUM(G32:G35)</f>
        <v>293041914712.84259</v>
      </c>
      <c r="H36" s="511">
        <f>G36/E36</f>
        <v>0.99935946039120394</v>
      </c>
    </row>
    <row r="41" spans="2:8" ht="15.75" thickBot="1" x14ac:dyDescent="0.3"/>
    <row r="42" spans="2:8" ht="15.75" x14ac:dyDescent="0.25">
      <c r="B42" s="631" t="s">
        <v>1700</v>
      </c>
      <c r="C42" s="632"/>
    </row>
    <row r="43" spans="2:8" x14ac:dyDescent="0.25">
      <c r="B43" s="633" t="s">
        <v>1544</v>
      </c>
      <c r="C43" s="634"/>
    </row>
    <row r="44" spans="2:8" x14ac:dyDescent="0.25">
      <c r="B44" s="635" t="s">
        <v>1545</v>
      </c>
      <c r="C44" s="636"/>
    </row>
    <row r="45" spans="2:8" x14ac:dyDescent="0.25">
      <c r="B45" s="637" t="s">
        <v>1546</v>
      </c>
      <c r="C45" s="638"/>
    </row>
    <row r="46" spans="2:8" x14ac:dyDescent="0.25">
      <c r="B46" s="627" t="s">
        <v>1547</v>
      </c>
      <c r="C46" s="628"/>
    </row>
    <row r="47" spans="2:8" x14ac:dyDescent="0.25">
      <c r="B47" s="629" t="s">
        <v>1548</v>
      </c>
      <c r="C47" s="630"/>
    </row>
  </sheetData>
  <mergeCells count="9">
    <mergeCell ref="B46:C46"/>
    <mergeCell ref="B47:C47"/>
    <mergeCell ref="B14:H14"/>
    <mergeCell ref="B30:H30"/>
    <mergeCell ref="B1:H1"/>
    <mergeCell ref="B42:C42"/>
    <mergeCell ref="B43:C43"/>
    <mergeCell ref="B44:C44"/>
    <mergeCell ref="B45:C45"/>
  </mergeCells>
  <conditionalFormatting sqref="F16:F18">
    <cfRule type="cellIs" dxfId="44" priority="11" operator="between">
      <formula>0</formula>
      <formula>0.3999</formula>
    </cfRule>
    <cfRule type="cellIs" dxfId="43" priority="12" operator="between">
      <formula>0.4</formula>
      <formula>0.59</formula>
    </cfRule>
    <cfRule type="cellIs" dxfId="42" priority="13" operator="between">
      <formula>0.595</formula>
      <formula>0.6949</formula>
    </cfRule>
    <cfRule type="cellIs" dxfId="41" priority="14" operator="between">
      <formula>0.7</formula>
      <formula>0.79</formula>
    </cfRule>
    <cfRule type="cellIs" dxfId="40" priority="15" operator="between">
      <formula>0.8</formula>
      <formula>1</formula>
    </cfRule>
  </conditionalFormatting>
  <conditionalFormatting sqref="F3:F7">
    <cfRule type="cellIs" dxfId="39" priority="6" operator="between">
      <formula>0</formula>
      <formula>0.3999</formula>
    </cfRule>
    <cfRule type="cellIs" dxfId="38" priority="7" operator="between">
      <formula>0.4</formula>
      <formula>0.59</formula>
    </cfRule>
    <cfRule type="cellIs" dxfId="37" priority="8" operator="between">
      <formula>0.6</formula>
      <formula>0.69</formula>
    </cfRule>
    <cfRule type="cellIs" dxfId="36" priority="9" operator="between">
      <formula>0.7</formula>
      <formula>0.79</formula>
    </cfRule>
    <cfRule type="cellIs" dxfId="35" priority="10" operator="greaterThan">
      <formula>0.795</formula>
    </cfRule>
  </conditionalFormatting>
  <conditionalFormatting sqref="F32:F36">
    <cfRule type="cellIs" dxfId="4" priority="1" operator="between">
      <formula>0</formula>
      <formula>0.3999</formula>
    </cfRule>
    <cfRule type="cellIs" dxfId="3" priority="2" operator="between">
      <formula>0.4</formula>
      <formula>0.59</formula>
    </cfRule>
    <cfRule type="cellIs" dxfId="2" priority="3" operator="between">
      <formula>0.6</formula>
      <formula>0.69</formula>
    </cfRule>
    <cfRule type="cellIs" dxfId="1" priority="4" operator="between">
      <formula>0.7</formula>
      <formula>0.79</formula>
    </cfRule>
    <cfRule type="cellIs" dxfId="0" priority="5" operator="greaterThan">
      <formula>0.795</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dimension ref="A1:G172"/>
  <sheetViews>
    <sheetView showGridLines="0" zoomScale="80" zoomScaleNormal="80" workbookViewId="0">
      <selection activeCell="B21" sqref="B21"/>
    </sheetView>
  </sheetViews>
  <sheetFormatPr baseColWidth="10" defaultColWidth="11.42578125" defaultRowHeight="15" x14ac:dyDescent="0.2"/>
  <cols>
    <col min="1" max="1" width="20.5703125" style="7" customWidth="1"/>
    <col min="2" max="2" width="70.7109375" style="7" customWidth="1"/>
    <col min="3" max="3" width="25.7109375" style="91" customWidth="1"/>
    <col min="4" max="4" width="28.140625" style="7" customWidth="1"/>
    <col min="5" max="5" width="23.85546875" style="7" customWidth="1"/>
    <col min="6" max="6" width="29.140625" style="7" customWidth="1"/>
    <col min="7" max="7" width="22.85546875" style="7" customWidth="1"/>
    <col min="8" max="16384" width="11.42578125" style="7"/>
  </cols>
  <sheetData>
    <row r="1" spans="1:7" ht="42" customHeight="1" thickBot="1" x14ac:dyDescent="0.25">
      <c r="A1" s="646" t="s">
        <v>1693</v>
      </c>
      <c r="B1" s="647"/>
      <c r="C1" s="647"/>
      <c r="D1" s="647"/>
      <c r="E1" s="647"/>
      <c r="F1" s="647"/>
      <c r="G1" s="648"/>
    </row>
    <row r="2" spans="1:7" s="126" customFormat="1" ht="24" customHeight="1" x14ac:dyDescent="0.25">
      <c r="A2" s="639" t="s">
        <v>23</v>
      </c>
      <c r="B2" s="641" t="s">
        <v>24</v>
      </c>
      <c r="C2" s="643" t="s">
        <v>1376</v>
      </c>
      <c r="D2" s="644"/>
      <c r="E2" s="644"/>
      <c r="F2" s="644"/>
      <c r="G2" s="645"/>
    </row>
    <row r="3" spans="1:7" s="126" customFormat="1" ht="24" customHeight="1" thickBot="1" x14ac:dyDescent="0.3">
      <c r="A3" s="640"/>
      <c r="B3" s="642"/>
      <c r="C3" s="520" t="s">
        <v>1492</v>
      </c>
      <c r="D3" s="520" t="s">
        <v>1490</v>
      </c>
      <c r="E3" s="521" t="s">
        <v>1509</v>
      </c>
      <c r="F3" s="520" t="s">
        <v>1491</v>
      </c>
      <c r="G3" s="520" t="s">
        <v>1507</v>
      </c>
    </row>
    <row r="4" spans="1:7" ht="20.100000000000001" customHeight="1" thickBot="1" x14ac:dyDescent="0.25">
      <c r="A4" s="657" t="s">
        <v>36</v>
      </c>
      <c r="B4" s="658"/>
      <c r="C4" s="522">
        <f>SUM(C5:C8)</f>
        <v>457524940</v>
      </c>
      <c r="D4" s="522">
        <f>SUM(D5:D8)</f>
        <v>421596834.77999997</v>
      </c>
      <c r="E4" s="523">
        <f>D4/C4</f>
        <v>0.92147290326949161</v>
      </c>
      <c r="F4" s="522">
        <f>SUM(F5:F8)</f>
        <v>421596834.77999997</v>
      </c>
      <c r="G4" s="523">
        <f>F4/D4</f>
        <v>1</v>
      </c>
    </row>
    <row r="5" spans="1:7" ht="90" customHeight="1" thickBot="1" x14ac:dyDescent="0.25">
      <c r="A5" s="78" t="s">
        <v>46</v>
      </c>
      <c r="B5" s="85" t="s">
        <v>1377</v>
      </c>
      <c r="C5" s="379">
        <f>'SGTO POAI VIGENCIA 2021'!BP8</f>
        <v>179885000</v>
      </c>
      <c r="D5" s="379">
        <f>'SGTO POAI VIGENCIA 2021'!BQ8</f>
        <v>167290817</v>
      </c>
      <c r="E5" s="108">
        <f t="shared" ref="E5:E68" si="0">D5/C5</f>
        <v>0.92998758651360591</v>
      </c>
      <c r="F5" s="379">
        <f>'SGTO POAI VIGENCIA 2021'!BR8</f>
        <v>167290817</v>
      </c>
      <c r="G5" s="108">
        <f t="shared" ref="G5:G68" si="1">F5/D5</f>
        <v>1</v>
      </c>
    </row>
    <row r="6" spans="1:7" ht="90" customHeight="1" thickBot="1" x14ac:dyDescent="0.25">
      <c r="A6" s="78" t="s">
        <v>52</v>
      </c>
      <c r="B6" s="85" t="s">
        <v>53</v>
      </c>
      <c r="C6" s="379">
        <f>'SGTO POAI VIGENCIA 2021'!BP9</f>
        <v>154285400</v>
      </c>
      <c r="D6" s="379">
        <f>'SGTO POAI VIGENCIA 2021'!BQ9</f>
        <v>145062829</v>
      </c>
      <c r="E6" s="108">
        <f t="shared" si="0"/>
        <v>0.94022395508583445</v>
      </c>
      <c r="F6" s="379">
        <f>'SGTO POAI VIGENCIA 2021'!BR9</f>
        <v>145062829</v>
      </c>
      <c r="G6" s="108">
        <f t="shared" si="1"/>
        <v>1</v>
      </c>
    </row>
    <row r="7" spans="1:7" ht="90" customHeight="1" thickBot="1" x14ac:dyDescent="0.25">
      <c r="A7" s="79" t="s">
        <v>58</v>
      </c>
      <c r="B7" s="85" t="s">
        <v>1378</v>
      </c>
      <c r="C7" s="379">
        <f>'SGTO POAI VIGENCIA 2021'!BP10</f>
        <v>42811174</v>
      </c>
      <c r="D7" s="379">
        <f>'SGTO POAI VIGENCIA 2021'!BQ10</f>
        <v>42811174</v>
      </c>
      <c r="E7" s="108">
        <f t="shared" si="0"/>
        <v>1</v>
      </c>
      <c r="F7" s="379">
        <f>'SGTO POAI VIGENCIA 2021'!BR10</f>
        <v>42811174</v>
      </c>
      <c r="G7" s="108">
        <f t="shared" si="1"/>
        <v>1</v>
      </c>
    </row>
    <row r="8" spans="1:7" ht="90" customHeight="1" thickBot="1" x14ac:dyDescent="0.25">
      <c r="A8" s="80" t="s">
        <v>66</v>
      </c>
      <c r="B8" s="85" t="s">
        <v>67</v>
      </c>
      <c r="C8" s="379">
        <f>'SGTO POAI VIGENCIA 2021'!BP11</f>
        <v>80543366</v>
      </c>
      <c r="D8" s="379">
        <f>'SGTO POAI VIGENCIA 2021'!BQ11</f>
        <v>66432014.780000001</v>
      </c>
      <c r="E8" s="108">
        <f t="shared" si="0"/>
        <v>0.82479809423410488</v>
      </c>
      <c r="F8" s="379">
        <f>'SGTO POAI VIGENCIA 2021'!BR11</f>
        <v>66432014.780000001</v>
      </c>
      <c r="G8" s="108">
        <f t="shared" si="1"/>
        <v>1</v>
      </c>
    </row>
    <row r="9" spans="1:7" ht="16.5" thickBot="1" x14ac:dyDescent="0.25">
      <c r="A9" s="653" t="s">
        <v>69</v>
      </c>
      <c r="B9" s="654"/>
      <c r="C9" s="522">
        <f>SUM(C10:C16)</f>
        <v>910965833</v>
      </c>
      <c r="D9" s="522">
        <f>SUM(D10:D16)</f>
        <v>877866456</v>
      </c>
      <c r="E9" s="523">
        <f t="shared" si="0"/>
        <v>0.96366562191361571</v>
      </c>
      <c r="F9" s="522">
        <f>SUM(F10:F16)</f>
        <v>877866456</v>
      </c>
      <c r="G9" s="523">
        <f t="shared" si="1"/>
        <v>1</v>
      </c>
    </row>
    <row r="10" spans="1:7" ht="90" customHeight="1" thickBot="1" x14ac:dyDescent="0.25">
      <c r="A10" s="80" t="s">
        <v>75</v>
      </c>
      <c r="B10" s="85" t="s">
        <v>1379</v>
      </c>
      <c r="C10" s="379">
        <f>'SGTO POAI VIGENCIA 2021'!BP12</f>
        <v>110600000</v>
      </c>
      <c r="D10" s="379">
        <f>'SGTO POAI VIGENCIA 2021'!BQ12</f>
        <v>87108467</v>
      </c>
      <c r="E10" s="108">
        <f t="shared" si="0"/>
        <v>0.78759915913200729</v>
      </c>
      <c r="F10" s="379">
        <f>'SGTO POAI VIGENCIA 2021'!BR12</f>
        <v>87108467</v>
      </c>
      <c r="G10" s="108">
        <f t="shared" si="1"/>
        <v>1</v>
      </c>
    </row>
    <row r="11" spans="1:7" ht="90" customHeight="1" thickBot="1" x14ac:dyDescent="0.25">
      <c r="A11" s="80" t="s">
        <v>80</v>
      </c>
      <c r="B11" s="85" t="s">
        <v>1380</v>
      </c>
      <c r="C11" s="379">
        <f>'SGTO POAI VIGENCIA 2021'!BP13</f>
        <v>14925000</v>
      </c>
      <c r="D11" s="379">
        <f>'SGTO POAI VIGENCIA 2021'!BQ13</f>
        <v>14925000</v>
      </c>
      <c r="E11" s="108">
        <f t="shared" si="0"/>
        <v>1</v>
      </c>
      <c r="F11" s="379">
        <f>'SGTO POAI VIGENCIA 2021'!BR13</f>
        <v>14925000</v>
      </c>
      <c r="G11" s="108">
        <f t="shared" si="1"/>
        <v>1</v>
      </c>
    </row>
    <row r="12" spans="1:7" ht="90" customHeight="1" thickBot="1" x14ac:dyDescent="0.25">
      <c r="A12" s="80" t="s">
        <v>87</v>
      </c>
      <c r="B12" s="85" t="s">
        <v>1381</v>
      </c>
      <c r="C12" s="379">
        <f>'SGTO POAI VIGENCIA 2021'!BP14</f>
        <v>220682500</v>
      </c>
      <c r="D12" s="379">
        <f>'SGTO POAI VIGENCIA 2021'!BQ14</f>
        <v>216173985</v>
      </c>
      <c r="E12" s="108">
        <f t="shared" si="0"/>
        <v>0.97957012903152718</v>
      </c>
      <c r="F12" s="379">
        <f>'SGTO POAI VIGENCIA 2021'!BR14</f>
        <v>216173985</v>
      </c>
      <c r="G12" s="108">
        <f t="shared" si="1"/>
        <v>1</v>
      </c>
    </row>
    <row r="13" spans="1:7" ht="90" customHeight="1" thickBot="1" x14ac:dyDescent="0.25">
      <c r="A13" s="80" t="s">
        <v>94</v>
      </c>
      <c r="B13" s="85" t="s">
        <v>1382</v>
      </c>
      <c r="C13" s="379">
        <f>'SGTO POAI VIGENCIA 2021'!BP15</f>
        <v>50776000</v>
      </c>
      <c r="D13" s="379">
        <f>'SGTO POAI VIGENCIA 2021'!BQ15</f>
        <v>50776000</v>
      </c>
      <c r="E13" s="108">
        <f t="shared" si="0"/>
        <v>1</v>
      </c>
      <c r="F13" s="379">
        <f>'SGTO POAI VIGENCIA 2021'!BR15</f>
        <v>50776000</v>
      </c>
      <c r="G13" s="108">
        <f t="shared" si="1"/>
        <v>1</v>
      </c>
    </row>
    <row r="14" spans="1:7" ht="90" customHeight="1" thickBot="1" x14ac:dyDescent="0.25">
      <c r="A14" s="80" t="s">
        <v>98</v>
      </c>
      <c r="B14" s="85" t="s">
        <v>1383</v>
      </c>
      <c r="C14" s="379">
        <f>'SGTO POAI VIGENCIA 2021'!BP16</f>
        <v>298084000</v>
      </c>
      <c r="D14" s="379">
        <f>'SGTO POAI VIGENCIA 2021'!BQ16</f>
        <v>293946671</v>
      </c>
      <c r="E14" s="108">
        <f t="shared" si="0"/>
        <v>0.98612025804806702</v>
      </c>
      <c r="F14" s="379">
        <f>'SGTO POAI VIGENCIA 2021'!BR16</f>
        <v>293946671</v>
      </c>
      <c r="G14" s="108">
        <f t="shared" si="1"/>
        <v>1</v>
      </c>
    </row>
    <row r="15" spans="1:7" ht="90" customHeight="1" thickBot="1" x14ac:dyDescent="0.25">
      <c r="A15" s="80" t="s">
        <v>106</v>
      </c>
      <c r="B15" s="85" t="s">
        <v>1384</v>
      </c>
      <c r="C15" s="379">
        <f>'SGTO POAI VIGENCIA 2021'!BP17+'SGTO POAI VIGENCIA 2021'!BP18+'SGTO POAI VIGENCIA 2021'!BP19+'SGTO POAI VIGENCIA 2021'!BP20+'SGTO POAI VIGENCIA 2021'!BP21+'SGTO POAI VIGENCIA 2021'!BP22</f>
        <v>145168333</v>
      </c>
      <c r="D15" s="379">
        <f>'SGTO POAI VIGENCIA 2021'!BQ17+'SGTO POAI VIGENCIA 2021'!BQ18+'SGTO POAI VIGENCIA 2021'!BQ19+'SGTO POAI VIGENCIA 2021'!BQ20+'SGTO POAI VIGENCIA 2021'!BQ21+'SGTO POAI VIGENCIA 2021'!BQ22</f>
        <v>144206333</v>
      </c>
      <c r="E15" s="108">
        <f t="shared" si="0"/>
        <v>0.99337321039568593</v>
      </c>
      <c r="F15" s="379">
        <f>'SGTO POAI VIGENCIA 2021'!BR17+'SGTO POAI VIGENCIA 2021'!BR18+'SGTO POAI VIGENCIA 2021'!BR19+'SGTO POAI VIGENCIA 2021'!BR20+'SGTO POAI VIGENCIA 2021'!BR21+'SGTO POAI VIGENCIA 2021'!BR22</f>
        <v>144206333</v>
      </c>
      <c r="G15" s="108">
        <f t="shared" si="1"/>
        <v>1</v>
      </c>
    </row>
    <row r="16" spans="1:7" ht="90" customHeight="1" thickBot="1" x14ac:dyDescent="0.25">
      <c r="A16" s="79" t="s">
        <v>118</v>
      </c>
      <c r="B16" s="85" t="s">
        <v>1385</v>
      </c>
      <c r="C16" s="379">
        <f>'SGTO POAI VIGENCIA 2021'!BP23</f>
        <v>70730000</v>
      </c>
      <c r="D16" s="379">
        <f>'SGTO POAI VIGENCIA 2021'!BQ23</f>
        <v>70730000</v>
      </c>
      <c r="E16" s="108">
        <f t="shared" si="0"/>
        <v>1</v>
      </c>
      <c r="F16" s="379">
        <f>'SGTO POAI VIGENCIA 2021'!BR23</f>
        <v>70730000</v>
      </c>
      <c r="G16" s="108">
        <f t="shared" si="1"/>
        <v>1</v>
      </c>
    </row>
    <row r="17" spans="1:7" ht="20.100000000000001" customHeight="1" thickBot="1" x14ac:dyDescent="0.25">
      <c r="A17" s="659" t="s">
        <v>121</v>
      </c>
      <c r="B17" s="660"/>
      <c r="C17" s="518">
        <f>SUM(C18:C19)</f>
        <v>2801625342.8400002</v>
      </c>
      <c r="D17" s="518">
        <f>SUM(D18:D19)</f>
        <v>2189284618.6800003</v>
      </c>
      <c r="E17" s="519">
        <f t="shared" si="0"/>
        <v>0.78143375747048616</v>
      </c>
      <c r="F17" s="518">
        <f>SUM(F18:F19)</f>
        <v>2189284618.6800003</v>
      </c>
      <c r="G17" s="519">
        <f t="shared" si="1"/>
        <v>1</v>
      </c>
    </row>
    <row r="18" spans="1:7" ht="90" customHeight="1" thickBot="1" x14ac:dyDescent="0.25">
      <c r="A18" s="80" t="s">
        <v>126</v>
      </c>
      <c r="B18" s="86" t="s">
        <v>127</v>
      </c>
      <c r="C18" s="379">
        <f>'SGTO POAI VIGENCIA 2021'!BP24</f>
        <v>2485625342.8400002</v>
      </c>
      <c r="D18" s="379">
        <f>'SGTO POAI VIGENCIA 2021'!BQ24</f>
        <v>1884104618.6800001</v>
      </c>
      <c r="E18" s="108">
        <f t="shared" si="0"/>
        <v>0.75800024493123297</v>
      </c>
      <c r="F18" s="379">
        <f>'SGTO POAI VIGENCIA 2021'!BR24</f>
        <v>1884104618.6800001</v>
      </c>
      <c r="G18" s="108">
        <f t="shared" si="1"/>
        <v>1</v>
      </c>
    </row>
    <row r="19" spans="1:7" ht="90" customHeight="1" thickBot="1" x14ac:dyDescent="0.25">
      <c r="A19" s="80" t="s">
        <v>132</v>
      </c>
      <c r="B19" s="86" t="s">
        <v>1386</v>
      </c>
      <c r="C19" s="379">
        <f>'SGTO POAI VIGENCIA 2021'!BP25</f>
        <v>316000000</v>
      </c>
      <c r="D19" s="379">
        <f>'SGTO POAI VIGENCIA 2021'!BQ25</f>
        <v>305180000</v>
      </c>
      <c r="E19" s="108">
        <f t="shared" si="0"/>
        <v>0.96575949367088609</v>
      </c>
      <c r="F19" s="379">
        <f>'SGTO POAI VIGENCIA 2021'!BR25</f>
        <v>305180000</v>
      </c>
      <c r="G19" s="108">
        <f t="shared" si="1"/>
        <v>1</v>
      </c>
    </row>
    <row r="20" spans="1:7" ht="20.100000000000001" customHeight="1" thickBot="1" x14ac:dyDescent="0.25">
      <c r="A20" s="653" t="s">
        <v>135</v>
      </c>
      <c r="B20" s="654"/>
      <c r="C20" s="522">
        <f>SUM(C21:C34)</f>
        <v>19845352105.279999</v>
      </c>
      <c r="D20" s="522">
        <f>SUM(D21:D34)</f>
        <v>4976127086.9700003</v>
      </c>
      <c r="E20" s="523">
        <f t="shared" si="0"/>
        <v>0.25074521533160732</v>
      </c>
      <c r="F20" s="522">
        <f>SUM(F21:F34)</f>
        <v>4976127086.9700003</v>
      </c>
      <c r="G20" s="523">
        <f t="shared" si="1"/>
        <v>1</v>
      </c>
    </row>
    <row r="21" spans="1:7" ht="90" customHeight="1" thickBot="1" x14ac:dyDescent="0.25">
      <c r="A21" s="78" t="s">
        <v>144</v>
      </c>
      <c r="B21" s="87" t="s">
        <v>1387</v>
      </c>
      <c r="C21" s="379">
        <f>'SGTO POAI VIGENCIA 2021'!BP26</f>
        <v>24750000</v>
      </c>
      <c r="D21" s="379">
        <f>'SGTO POAI VIGENCIA 2021'!BQ26</f>
        <v>22616827</v>
      </c>
      <c r="E21" s="108">
        <f t="shared" si="0"/>
        <v>0.91381119191919191</v>
      </c>
      <c r="F21" s="379">
        <f>'SGTO POAI VIGENCIA 2021'!BR26</f>
        <v>22616827</v>
      </c>
      <c r="G21" s="108">
        <f t="shared" si="1"/>
        <v>1</v>
      </c>
    </row>
    <row r="22" spans="1:7" ht="90" customHeight="1" thickBot="1" x14ac:dyDescent="0.25">
      <c r="A22" s="78" t="s">
        <v>153</v>
      </c>
      <c r="B22" s="85" t="s">
        <v>1388</v>
      </c>
      <c r="C22" s="379">
        <f>'SGTO POAI VIGENCIA 2021'!BP27</f>
        <v>459746979</v>
      </c>
      <c r="D22" s="379">
        <f>'SGTO POAI VIGENCIA 2021'!BQ27</f>
        <v>6880000</v>
      </c>
      <c r="E22" s="108">
        <f t="shared" si="0"/>
        <v>1.4964753036474003E-2</v>
      </c>
      <c r="F22" s="379">
        <f>'SGTO POAI VIGENCIA 2021'!BR27</f>
        <v>6880000</v>
      </c>
      <c r="G22" s="108">
        <f t="shared" si="1"/>
        <v>1</v>
      </c>
    </row>
    <row r="23" spans="1:7" ht="90" customHeight="1" thickBot="1" x14ac:dyDescent="0.25">
      <c r="A23" s="80" t="s">
        <v>163</v>
      </c>
      <c r="B23" s="85" t="s">
        <v>1389</v>
      </c>
      <c r="C23" s="379">
        <f>'SGTO POAI VIGENCIA 2021'!BP28</f>
        <v>1765974462.4000001</v>
      </c>
      <c r="D23" s="379">
        <f>'SGTO POAI VIGENCIA 2021'!BQ28</f>
        <v>298522254</v>
      </c>
      <c r="E23" s="108">
        <f t="shared" si="0"/>
        <v>0.16904109337702503</v>
      </c>
      <c r="F23" s="379">
        <f>'SGTO POAI VIGENCIA 2021'!BR28</f>
        <v>298522254</v>
      </c>
      <c r="G23" s="108">
        <f t="shared" si="1"/>
        <v>1</v>
      </c>
    </row>
    <row r="24" spans="1:7" ht="90" customHeight="1" thickBot="1" x14ac:dyDescent="0.25">
      <c r="A24" s="80" t="s">
        <v>173</v>
      </c>
      <c r="B24" s="85" t="s">
        <v>174</v>
      </c>
      <c r="C24" s="379">
        <f>'SGTO POAI VIGENCIA 2021'!BP29</f>
        <v>110104790</v>
      </c>
      <c r="D24" s="379">
        <f>'SGTO POAI VIGENCIA 2021'!BQ29</f>
        <v>52387068</v>
      </c>
      <c r="E24" s="108">
        <f t="shared" si="0"/>
        <v>0.47579281518996586</v>
      </c>
      <c r="F24" s="379">
        <f>'SGTO POAI VIGENCIA 2021'!BR29</f>
        <v>52387068</v>
      </c>
      <c r="G24" s="108">
        <f t="shared" si="1"/>
        <v>1</v>
      </c>
    </row>
    <row r="25" spans="1:7" ht="90" customHeight="1" thickBot="1" x14ac:dyDescent="0.25">
      <c r="A25" s="80" t="s">
        <v>183</v>
      </c>
      <c r="B25" s="85" t="s">
        <v>1390</v>
      </c>
      <c r="C25" s="379">
        <f>'SGTO POAI VIGENCIA 2021'!BP30</f>
        <v>2760904177.1000004</v>
      </c>
      <c r="D25" s="379">
        <f>'SGTO POAI VIGENCIA 2021'!BQ30</f>
        <v>573180312.50999999</v>
      </c>
      <c r="E25" s="108">
        <f t="shared" si="0"/>
        <v>0.20760601445866092</v>
      </c>
      <c r="F25" s="379">
        <f>'SGTO POAI VIGENCIA 2021'!BR30</f>
        <v>573180312.50999999</v>
      </c>
      <c r="G25" s="108">
        <f t="shared" si="1"/>
        <v>1</v>
      </c>
    </row>
    <row r="26" spans="1:7" ht="90" customHeight="1" thickBot="1" x14ac:dyDescent="0.25">
      <c r="A26" s="80" t="s">
        <v>1684</v>
      </c>
      <c r="B26" s="85" t="s">
        <v>1682</v>
      </c>
      <c r="C26" s="379">
        <f>'SGTO POAI VIGENCIA 2021'!BP31</f>
        <v>1</v>
      </c>
      <c r="D26" s="379">
        <f>'SGTO POAI VIGENCIA 2021'!BQ31</f>
        <v>0</v>
      </c>
      <c r="E26" s="108">
        <f t="shared" si="0"/>
        <v>0</v>
      </c>
      <c r="F26" s="379">
        <f>'SGTO POAI VIGENCIA 2021'!BR31</f>
        <v>0</v>
      </c>
      <c r="G26" s="108" t="e">
        <f t="shared" si="1"/>
        <v>#DIV/0!</v>
      </c>
    </row>
    <row r="27" spans="1:7" ht="90" customHeight="1" thickBot="1" x14ac:dyDescent="0.25">
      <c r="A27" s="80" t="s">
        <v>193</v>
      </c>
      <c r="B27" s="85" t="s">
        <v>1391</v>
      </c>
      <c r="C27" s="379">
        <f>'SGTO POAI VIGENCIA 2021'!BP32+'SGTO POAI VIGENCIA 2021'!BP33</f>
        <v>8550607588</v>
      </c>
      <c r="D27" s="379">
        <f>'SGTO POAI VIGENCIA 2021'!BQ32+'SGTO POAI VIGENCIA 2021'!BQ33</f>
        <v>360431670</v>
      </c>
      <c r="E27" s="108">
        <f t="shared" si="0"/>
        <v>4.2152755379142072E-2</v>
      </c>
      <c r="F27" s="379">
        <f>'SGTO POAI VIGENCIA 2021'!BR32+'SGTO POAI VIGENCIA 2021'!BR33</f>
        <v>360431670</v>
      </c>
      <c r="G27" s="108">
        <f t="shared" si="1"/>
        <v>1</v>
      </c>
    </row>
    <row r="28" spans="1:7" ht="90" customHeight="1" thickBot="1" x14ac:dyDescent="0.25">
      <c r="A28" s="80" t="s">
        <v>204</v>
      </c>
      <c r="B28" s="85" t="s">
        <v>205</v>
      </c>
      <c r="C28" s="379">
        <f>'SGTO POAI VIGENCIA 2021'!BP34</f>
        <v>40000000</v>
      </c>
      <c r="D28" s="379">
        <f>'SGTO POAI VIGENCIA 2021'!BQ34</f>
        <v>9000000</v>
      </c>
      <c r="E28" s="108">
        <f t="shared" si="0"/>
        <v>0.22500000000000001</v>
      </c>
      <c r="F28" s="379">
        <f>'SGTO POAI VIGENCIA 2021'!BR34</f>
        <v>9000000</v>
      </c>
      <c r="G28" s="108">
        <f t="shared" si="1"/>
        <v>1</v>
      </c>
    </row>
    <row r="29" spans="1:7" ht="90" customHeight="1" thickBot="1" x14ac:dyDescent="0.25">
      <c r="A29" s="80" t="s">
        <v>213</v>
      </c>
      <c r="B29" s="85" t="s">
        <v>1392</v>
      </c>
      <c r="C29" s="379">
        <f>'SGTO POAI VIGENCIA 2021'!BP35</f>
        <v>1418800000</v>
      </c>
      <c r="D29" s="379">
        <f>'SGTO POAI VIGENCIA 2021'!BQ35</f>
        <v>64515000</v>
      </c>
      <c r="E29" s="108">
        <f t="shared" si="0"/>
        <v>4.5471525232590924E-2</v>
      </c>
      <c r="F29" s="379">
        <f>'SGTO POAI VIGENCIA 2021'!BR35</f>
        <v>64515000</v>
      </c>
      <c r="G29" s="108">
        <f t="shared" si="1"/>
        <v>1</v>
      </c>
    </row>
    <row r="30" spans="1:7" ht="90" customHeight="1" thickBot="1" x14ac:dyDescent="0.25">
      <c r="A30" s="80" t="s">
        <v>218</v>
      </c>
      <c r="B30" s="85" t="s">
        <v>1393</v>
      </c>
      <c r="C30" s="379">
        <f>'SGTO POAI VIGENCIA 2021'!BP36</f>
        <v>844308067</v>
      </c>
      <c r="D30" s="379">
        <f>'SGTO POAI VIGENCIA 2021'!BQ36</f>
        <v>367946075.78999996</v>
      </c>
      <c r="E30" s="108">
        <f t="shared" si="0"/>
        <v>0.43579599694858767</v>
      </c>
      <c r="F30" s="379">
        <f>'SGTO POAI VIGENCIA 2021'!BR36</f>
        <v>367946075.78999996</v>
      </c>
      <c r="G30" s="108">
        <f t="shared" si="1"/>
        <v>1</v>
      </c>
    </row>
    <row r="31" spans="1:7" ht="90" customHeight="1" thickBot="1" x14ac:dyDescent="0.25">
      <c r="A31" s="80" t="s">
        <v>227</v>
      </c>
      <c r="B31" s="85" t="s">
        <v>228</v>
      </c>
      <c r="C31" s="379">
        <f>'SGTO POAI VIGENCIA 2021'!BP37</f>
        <v>120000000.09999999</v>
      </c>
      <c r="D31" s="379">
        <f>'SGTO POAI VIGENCIA 2021'!BQ37</f>
        <v>0</v>
      </c>
      <c r="E31" s="108">
        <f t="shared" si="0"/>
        <v>0</v>
      </c>
      <c r="F31" s="379">
        <f>'SGTO POAI VIGENCIA 2021'!BR37</f>
        <v>0</v>
      </c>
      <c r="G31" s="108" t="e">
        <f t="shared" si="1"/>
        <v>#DIV/0!</v>
      </c>
    </row>
    <row r="32" spans="1:7" ht="90" customHeight="1" thickBot="1" x14ac:dyDescent="0.25">
      <c r="A32" s="78" t="s">
        <v>236</v>
      </c>
      <c r="B32" s="87" t="s">
        <v>237</v>
      </c>
      <c r="C32" s="379">
        <f>'SGTO POAI VIGENCIA 2021'!BP38+'SGTO POAI VIGENCIA 2021'!BP39+'SGTO POAI VIGENCIA 2021'!BP40+'SGTO POAI VIGENCIA 2021'!BP41+'SGTO POAI VIGENCIA 2021'!BP42+'SGTO POAI VIGENCIA 2021'!BP43</f>
        <v>3500159641.6800003</v>
      </c>
      <c r="D32" s="379">
        <f>'SGTO POAI VIGENCIA 2021'!BQ38+'SGTO POAI VIGENCIA 2021'!BQ39+'SGTO POAI VIGENCIA 2021'!BQ40+'SGTO POAI VIGENCIA 2021'!BQ41+'SGTO POAI VIGENCIA 2021'!BQ42+'SGTO POAI VIGENCIA 2021'!BQ43</f>
        <v>3056693113</v>
      </c>
      <c r="E32" s="108">
        <f t="shared" si="0"/>
        <v>0.87330105650062695</v>
      </c>
      <c r="F32" s="379">
        <f>'SGTO POAI VIGENCIA 2021'!BR38+'SGTO POAI VIGENCIA 2021'!BR39+'SGTO POAI VIGENCIA 2021'!BR40+'SGTO POAI VIGENCIA 2021'!BR41+'SGTO POAI VIGENCIA 2021'!BR42+'SGTO POAI VIGENCIA 2021'!BR43</f>
        <v>3056693113</v>
      </c>
      <c r="G32" s="108">
        <f t="shared" si="1"/>
        <v>1</v>
      </c>
    </row>
    <row r="33" spans="1:7" ht="90" customHeight="1" thickBot="1" x14ac:dyDescent="0.25">
      <c r="A33" s="80" t="s">
        <v>254</v>
      </c>
      <c r="B33" s="85" t="s">
        <v>1394</v>
      </c>
      <c r="C33" s="379">
        <f>'SGTO POAI VIGENCIA 2021'!BP44</f>
        <v>218394939</v>
      </c>
      <c r="D33" s="379">
        <f>'SGTO POAI VIGENCIA 2021'!BQ44</f>
        <v>132461956</v>
      </c>
      <c r="E33" s="108">
        <f t="shared" si="0"/>
        <v>0.60652484259262074</v>
      </c>
      <c r="F33" s="379">
        <f>'SGTO POAI VIGENCIA 2021'!BR44</f>
        <v>132461956</v>
      </c>
      <c r="G33" s="108">
        <f t="shared" si="1"/>
        <v>1</v>
      </c>
    </row>
    <row r="34" spans="1:7" ht="90" customHeight="1" thickBot="1" x14ac:dyDescent="0.25">
      <c r="A34" s="80" t="s">
        <v>258</v>
      </c>
      <c r="B34" s="85" t="s">
        <v>259</v>
      </c>
      <c r="C34" s="379">
        <f>'SGTO POAI VIGENCIA 2021'!BP45</f>
        <v>31601460</v>
      </c>
      <c r="D34" s="379">
        <f>'SGTO POAI VIGENCIA 2021'!BQ45</f>
        <v>31492810.670000002</v>
      </c>
      <c r="E34" s="108">
        <f t="shared" si="0"/>
        <v>0.99656188891272746</v>
      </c>
      <c r="F34" s="379">
        <f>'SGTO POAI VIGENCIA 2021'!BR45</f>
        <v>31492810.670000002</v>
      </c>
      <c r="G34" s="108">
        <f t="shared" si="1"/>
        <v>1</v>
      </c>
    </row>
    <row r="35" spans="1:7" ht="20.100000000000001" customHeight="1" thickBot="1" x14ac:dyDescent="0.25">
      <c r="A35" s="653" t="s">
        <v>1395</v>
      </c>
      <c r="B35" s="654"/>
      <c r="C35" s="522">
        <f>SUM(C36:C47)</f>
        <v>6443722008.3299999</v>
      </c>
      <c r="D35" s="522">
        <f>SUM(D36:D47)</f>
        <v>2583294879.1700001</v>
      </c>
      <c r="E35" s="524">
        <f t="shared" si="0"/>
        <v>0.4009010438114019</v>
      </c>
      <c r="F35" s="522">
        <f>SUM(F36:F47)</f>
        <v>2583294879.1700001</v>
      </c>
      <c r="G35" s="523">
        <f t="shared" si="1"/>
        <v>1</v>
      </c>
    </row>
    <row r="36" spans="1:7" ht="90" customHeight="1" thickBot="1" x14ac:dyDescent="0.25">
      <c r="A36" s="80" t="s">
        <v>263</v>
      </c>
      <c r="B36" s="87" t="s">
        <v>1396</v>
      </c>
      <c r="C36" s="379">
        <f>'SGTO POAI VIGENCIA 2021'!BP46</f>
        <v>135355000</v>
      </c>
      <c r="D36" s="379">
        <f>'SGTO POAI VIGENCIA 2021'!BQ46</f>
        <v>129803000</v>
      </c>
      <c r="E36" s="108">
        <f t="shared" si="0"/>
        <v>0.95898193638949425</v>
      </c>
      <c r="F36" s="379">
        <f>'SGTO POAI VIGENCIA 2021'!BR46</f>
        <v>129803000</v>
      </c>
      <c r="G36" s="108">
        <f t="shared" si="1"/>
        <v>1</v>
      </c>
    </row>
    <row r="37" spans="1:7" ht="90" customHeight="1" thickBot="1" x14ac:dyDescent="0.25">
      <c r="A37" s="80" t="s">
        <v>268</v>
      </c>
      <c r="B37" s="87" t="s">
        <v>1397</v>
      </c>
      <c r="C37" s="379">
        <f>'SGTO POAI VIGENCIA 2021'!BP47</f>
        <v>67223401</v>
      </c>
      <c r="D37" s="379">
        <f>'SGTO POAI VIGENCIA 2021'!BQ47</f>
        <v>65096055</v>
      </c>
      <c r="E37" s="108">
        <f t="shared" si="0"/>
        <v>0.96835408550662294</v>
      </c>
      <c r="F37" s="379">
        <f>'SGTO POAI VIGENCIA 2021'!BR47</f>
        <v>65096055</v>
      </c>
      <c r="G37" s="108">
        <f t="shared" si="1"/>
        <v>1</v>
      </c>
    </row>
    <row r="38" spans="1:7" ht="90" customHeight="1" thickBot="1" x14ac:dyDescent="0.25">
      <c r="A38" s="80" t="s">
        <v>274</v>
      </c>
      <c r="B38" s="87" t="s">
        <v>1398</v>
      </c>
      <c r="C38" s="379">
        <f>'SGTO POAI VIGENCIA 2021'!BP48</f>
        <v>30000000</v>
      </c>
      <c r="D38" s="379">
        <f>'SGTO POAI VIGENCIA 2021'!BQ48</f>
        <v>10000000</v>
      </c>
      <c r="E38" s="108">
        <f t="shared" si="0"/>
        <v>0.33333333333333331</v>
      </c>
      <c r="F38" s="379">
        <f>'SGTO POAI VIGENCIA 2021'!BR48</f>
        <v>10000000</v>
      </c>
      <c r="G38" s="108">
        <f t="shared" si="1"/>
        <v>1</v>
      </c>
    </row>
    <row r="39" spans="1:7" ht="90" customHeight="1" thickBot="1" x14ac:dyDescent="0.25">
      <c r="A39" s="80" t="s">
        <v>281</v>
      </c>
      <c r="B39" s="85" t="s">
        <v>1399</v>
      </c>
      <c r="C39" s="379">
        <f>'SGTO POAI VIGENCIA 2021'!BP49</f>
        <v>74287500</v>
      </c>
      <c r="D39" s="379">
        <f>'SGTO POAI VIGENCIA 2021'!BQ49</f>
        <v>61854666</v>
      </c>
      <c r="E39" s="108">
        <f t="shared" si="0"/>
        <v>0.8326389500252398</v>
      </c>
      <c r="F39" s="379">
        <f>'SGTO POAI VIGENCIA 2021'!BR49</f>
        <v>61854666</v>
      </c>
      <c r="G39" s="108">
        <f t="shared" si="1"/>
        <v>1</v>
      </c>
    </row>
    <row r="40" spans="1:7" ht="90" customHeight="1" thickBot="1" x14ac:dyDescent="0.25">
      <c r="A40" s="80" t="s">
        <v>289</v>
      </c>
      <c r="B40" s="86" t="s">
        <v>290</v>
      </c>
      <c r="C40" s="379">
        <f>'SGTO POAI VIGENCIA 2021'!BP50+'SGTO POAI VIGENCIA 2021'!BP51+'SGTO POAI VIGENCIA 2021'!BP52+'SGTO POAI VIGENCIA 2021'!BP53+'SGTO POAI VIGENCIA 2021'!BP54</f>
        <v>502657113</v>
      </c>
      <c r="D40" s="379">
        <f>'SGTO POAI VIGENCIA 2021'!BQ50+'SGTO POAI VIGENCIA 2021'!BQ51+'SGTO POAI VIGENCIA 2021'!BQ52+'SGTO POAI VIGENCIA 2021'!BQ53+'SGTO POAI VIGENCIA 2021'!BQ54</f>
        <v>388019267.94999999</v>
      </c>
      <c r="E40" s="108">
        <f t="shared" si="0"/>
        <v>0.77193629198678027</v>
      </c>
      <c r="F40" s="379">
        <f>'SGTO POAI VIGENCIA 2021'!BR50+'SGTO POAI VIGENCIA 2021'!BR51+'SGTO POAI VIGENCIA 2021'!BR52+'SGTO POAI VIGENCIA 2021'!BR53+'SGTO POAI VIGENCIA 2021'!BR54</f>
        <v>388019267.94999999</v>
      </c>
      <c r="G40" s="108">
        <f t="shared" si="1"/>
        <v>1</v>
      </c>
    </row>
    <row r="41" spans="1:7" ht="90" customHeight="1" thickBot="1" x14ac:dyDescent="0.25">
      <c r="A41" s="80" t="s">
        <v>308</v>
      </c>
      <c r="B41" s="85" t="s">
        <v>1400</v>
      </c>
      <c r="C41" s="379">
        <f>'SGTO POAI VIGENCIA 2021'!BP55</f>
        <v>34027629</v>
      </c>
      <c r="D41" s="379">
        <f>'SGTO POAI VIGENCIA 2021'!BQ55</f>
        <v>16292129</v>
      </c>
      <c r="E41" s="108">
        <f t="shared" si="0"/>
        <v>0.47879119053519714</v>
      </c>
      <c r="F41" s="379">
        <f>'SGTO POAI VIGENCIA 2021'!BR55</f>
        <v>16292129</v>
      </c>
      <c r="G41" s="108">
        <f t="shared" si="1"/>
        <v>1</v>
      </c>
    </row>
    <row r="42" spans="1:7" ht="90" customHeight="1" thickBot="1" x14ac:dyDescent="0.25">
      <c r="A42" s="80" t="s">
        <v>316</v>
      </c>
      <c r="B42" s="85" t="s">
        <v>1401</v>
      </c>
      <c r="C42" s="379">
        <f>'SGTO POAI VIGENCIA 2021'!BP56</f>
        <v>4387879528.3299999</v>
      </c>
      <c r="D42" s="379">
        <f>'SGTO POAI VIGENCIA 2021'!BQ56</f>
        <v>1133578214.1599998</v>
      </c>
      <c r="E42" s="108">
        <f t="shared" si="0"/>
        <v>0.25834305769817539</v>
      </c>
      <c r="F42" s="379">
        <f>'SGTO POAI VIGENCIA 2021'!BR56</f>
        <v>1133578214.1599998</v>
      </c>
      <c r="G42" s="108">
        <f t="shared" si="1"/>
        <v>1</v>
      </c>
    </row>
    <row r="43" spans="1:7" ht="90" customHeight="1" thickBot="1" x14ac:dyDescent="0.25">
      <c r="A43" s="80" t="s">
        <v>343</v>
      </c>
      <c r="B43" s="85" t="s">
        <v>1402</v>
      </c>
      <c r="C43" s="379">
        <f>'SGTO POAI VIGENCIA 2021'!BP62</f>
        <v>89000000</v>
      </c>
      <c r="D43" s="379">
        <f>'SGTO POAI VIGENCIA 2021'!BQ62</f>
        <v>73017284</v>
      </c>
      <c r="E43" s="108">
        <f t="shared" si="0"/>
        <v>0.82041892134831462</v>
      </c>
      <c r="F43" s="379">
        <f>'SGTO POAI VIGENCIA 2021'!BR62</f>
        <v>73017284</v>
      </c>
      <c r="G43" s="108">
        <f t="shared" si="1"/>
        <v>1</v>
      </c>
    </row>
    <row r="44" spans="1:7" ht="90" customHeight="1" thickBot="1" x14ac:dyDescent="0.25">
      <c r="A44" s="80" t="s">
        <v>320</v>
      </c>
      <c r="B44" s="85" t="s">
        <v>1403</v>
      </c>
      <c r="C44" s="379">
        <f>'SGTO POAI VIGENCIA 2021'!BP57</f>
        <v>49500000</v>
      </c>
      <c r="D44" s="379">
        <f>'SGTO POAI VIGENCIA 2021'!BQ57</f>
        <v>46916499</v>
      </c>
      <c r="E44" s="108">
        <f t="shared" si="0"/>
        <v>0.9478080606060606</v>
      </c>
      <c r="F44" s="379">
        <f>'SGTO POAI VIGENCIA 2021'!BR57</f>
        <v>46916499</v>
      </c>
      <c r="G44" s="108">
        <f t="shared" si="1"/>
        <v>1</v>
      </c>
    </row>
    <row r="45" spans="1:7" ht="90" customHeight="1" thickBot="1" x14ac:dyDescent="0.25">
      <c r="A45" s="80" t="s">
        <v>325</v>
      </c>
      <c r="B45" s="86" t="s">
        <v>1404</v>
      </c>
      <c r="C45" s="379">
        <f>'SGTO POAI VIGENCIA 2021'!BP58</f>
        <v>243850000</v>
      </c>
      <c r="D45" s="379">
        <f>'SGTO POAI VIGENCIA 2021'!BQ58</f>
        <v>100601333</v>
      </c>
      <c r="E45" s="108">
        <f t="shared" si="0"/>
        <v>0.41255416444535575</v>
      </c>
      <c r="F45" s="379">
        <f>'SGTO POAI VIGENCIA 2021'!BR58</f>
        <v>100601333</v>
      </c>
      <c r="G45" s="108">
        <f t="shared" si="1"/>
        <v>1</v>
      </c>
    </row>
    <row r="46" spans="1:7" ht="90" customHeight="1" thickBot="1" x14ac:dyDescent="0.25">
      <c r="A46" s="80" t="s">
        <v>331</v>
      </c>
      <c r="B46" s="86" t="s">
        <v>332</v>
      </c>
      <c r="C46" s="379">
        <f>'SGTO POAI VIGENCIA 2021'!BP59+'SGTO POAI VIGENCIA 2021'!BP60+'SGTO POAI VIGENCIA 2021'!BP61</f>
        <v>528315104</v>
      </c>
      <c r="D46" s="379">
        <f>'SGTO POAI VIGENCIA 2021'!BQ59+'SGTO POAI VIGENCIA 2021'!BQ60+'SGTO POAI VIGENCIA 2021'!BQ61</f>
        <v>291102723.06</v>
      </c>
      <c r="E46" s="108">
        <f t="shared" si="0"/>
        <v>0.55100208352173097</v>
      </c>
      <c r="F46" s="379">
        <f>'SGTO POAI VIGENCIA 2021'!BR59+'SGTO POAI VIGENCIA 2021'!BR60+'SGTO POAI VIGENCIA 2021'!BR61</f>
        <v>291102723.06</v>
      </c>
      <c r="G46" s="108">
        <f t="shared" si="1"/>
        <v>1</v>
      </c>
    </row>
    <row r="47" spans="1:7" ht="90" customHeight="1" thickBot="1" x14ac:dyDescent="0.25">
      <c r="A47" s="80" t="s">
        <v>347</v>
      </c>
      <c r="B47" s="87" t="s">
        <v>1405</v>
      </c>
      <c r="C47" s="379">
        <f>'SGTO POAI VIGENCIA 2021'!BP63+'SGTO POAI VIGENCIA 2021'!BP64+'SGTO POAI VIGENCIA 2021'!BP65+'SGTO POAI VIGENCIA 2021'!BP66</f>
        <v>301626733</v>
      </c>
      <c r="D47" s="379">
        <f>'SGTO POAI VIGENCIA 2021'!BQ63+'SGTO POAI VIGENCIA 2021'!BQ64+'SGTO POAI VIGENCIA 2021'!BQ65+'SGTO POAI VIGENCIA 2021'!BQ66</f>
        <v>267013708</v>
      </c>
      <c r="E47" s="108">
        <f t="shared" si="0"/>
        <v>0.88524549977471656</v>
      </c>
      <c r="F47" s="379">
        <f>'SGTO POAI VIGENCIA 2021'!BR63+'SGTO POAI VIGENCIA 2021'!BR64+'SGTO POAI VIGENCIA 2021'!BR65+'SGTO POAI VIGENCIA 2021'!BR66</f>
        <v>267013708</v>
      </c>
      <c r="G47" s="108">
        <f t="shared" si="1"/>
        <v>1</v>
      </c>
    </row>
    <row r="48" spans="1:7" ht="20.100000000000001" customHeight="1" thickBot="1" x14ac:dyDescent="0.25">
      <c r="A48" s="653" t="s">
        <v>359</v>
      </c>
      <c r="B48" s="654"/>
      <c r="C48" s="522">
        <f>SUM(C49:C52)</f>
        <v>3988607319.3200002</v>
      </c>
      <c r="D48" s="522">
        <f>SUM(D49:D52)</f>
        <v>3398905453.8099999</v>
      </c>
      <c r="E48" s="524">
        <f t="shared" si="0"/>
        <v>0.8521534414647427</v>
      </c>
      <c r="F48" s="522">
        <f>SUM(F49:F52)</f>
        <v>3398905453.8099999</v>
      </c>
      <c r="G48" s="523">
        <f t="shared" si="1"/>
        <v>1</v>
      </c>
    </row>
    <row r="49" spans="1:7" ht="90" customHeight="1" thickBot="1" x14ac:dyDescent="0.25">
      <c r="A49" s="78" t="s">
        <v>362</v>
      </c>
      <c r="B49" s="85" t="s">
        <v>1406</v>
      </c>
      <c r="C49" s="379">
        <f>'SGTO POAI VIGENCIA 2021'!BP67+'SGTO POAI VIGENCIA 2021'!BP68+'SGTO POAI VIGENCIA 2021'!BP69+'SGTO POAI VIGENCIA 2021'!BP70+'SGTO POAI VIGENCIA 2021'!BP71</f>
        <v>1980078703.8999999</v>
      </c>
      <c r="D49" s="379">
        <f>'SGTO POAI VIGENCIA 2021'!BQ67+'SGTO POAI VIGENCIA 2021'!BQ68+'SGTO POAI VIGENCIA 2021'!BQ69+'SGTO POAI VIGENCIA 2021'!BQ70+'SGTO POAI VIGENCIA 2021'!BQ71</f>
        <v>1777271724.0599999</v>
      </c>
      <c r="E49" s="108">
        <f t="shared" si="0"/>
        <v>0.89757630368906671</v>
      </c>
      <c r="F49" s="379">
        <f>'SGTO POAI VIGENCIA 2021'!BR67+'SGTO POAI VIGENCIA 2021'!BR68+'SGTO POAI VIGENCIA 2021'!BR69+'SGTO POAI VIGENCIA 2021'!BR70+'SGTO POAI VIGENCIA 2021'!BR71</f>
        <v>1777271724.0599999</v>
      </c>
      <c r="G49" s="108">
        <f t="shared" si="1"/>
        <v>1</v>
      </c>
    </row>
    <row r="50" spans="1:7" ht="90" customHeight="1" thickBot="1" x14ac:dyDescent="0.25">
      <c r="A50" s="78" t="s">
        <v>377</v>
      </c>
      <c r="B50" s="86" t="s">
        <v>1407</v>
      </c>
      <c r="C50" s="379">
        <f>'SGTO POAI VIGENCIA 2021'!BP72+'SGTO POAI VIGENCIA 2021'!BP73</f>
        <v>333103297.60000002</v>
      </c>
      <c r="D50" s="379">
        <f>'SGTO POAI VIGENCIA 2021'!BQ72+'SGTO POAI VIGENCIA 2021'!BQ73</f>
        <v>216525623.75</v>
      </c>
      <c r="E50" s="108">
        <f t="shared" si="0"/>
        <v>0.65002545849909343</v>
      </c>
      <c r="F50" s="379">
        <f>'SGTO POAI VIGENCIA 2021'!BR72+'SGTO POAI VIGENCIA 2021'!BR73</f>
        <v>216525623.75</v>
      </c>
      <c r="G50" s="108">
        <f t="shared" si="1"/>
        <v>1</v>
      </c>
    </row>
    <row r="51" spans="1:7" ht="90" customHeight="1" thickBot="1" x14ac:dyDescent="0.25">
      <c r="A51" s="80" t="s">
        <v>386</v>
      </c>
      <c r="B51" s="87" t="s">
        <v>1408</v>
      </c>
      <c r="C51" s="379">
        <f>'SGTO POAI VIGENCIA 2021'!BP74</f>
        <v>1401227081.52</v>
      </c>
      <c r="D51" s="379">
        <f>'SGTO POAI VIGENCIA 2021'!BQ74</f>
        <v>1144764638</v>
      </c>
      <c r="E51" s="108">
        <f t="shared" si="0"/>
        <v>0.81697296112647289</v>
      </c>
      <c r="F51" s="379">
        <f>'SGTO POAI VIGENCIA 2021'!BR74</f>
        <v>1144764638</v>
      </c>
      <c r="G51" s="108">
        <f t="shared" si="1"/>
        <v>1</v>
      </c>
    </row>
    <row r="52" spans="1:7" ht="90" customHeight="1" thickBot="1" x14ac:dyDescent="0.25">
      <c r="A52" s="80" t="s">
        <v>394</v>
      </c>
      <c r="B52" s="87" t="s">
        <v>395</v>
      </c>
      <c r="C52" s="379">
        <f>'SGTO POAI VIGENCIA 2021'!BP75+'SGTO POAI VIGENCIA 2021'!BP76</f>
        <v>274198236.30000001</v>
      </c>
      <c r="D52" s="379">
        <f>'SGTO POAI VIGENCIA 2021'!BQ75+'SGTO POAI VIGENCIA 2021'!BQ76</f>
        <v>260343468</v>
      </c>
      <c r="E52" s="108">
        <f t="shared" si="0"/>
        <v>0.94947170891047772</v>
      </c>
      <c r="F52" s="379">
        <f>'SGTO POAI VIGENCIA 2021'!BR75+'SGTO POAI VIGENCIA 2021'!BR76</f>
        <v>260343468</v>
      </c>
      <c r="G52" s="108">
        <f t="shared" si="1"/>
        <v>1</v>
      </c>
    </row>
    <row r="53" spans="1:7" ht="20.100000000000001" customHeight="1" thickBot="1" x14ac:dyDescent="0.25">
      <c r="A53" s="653" t="s">
        <v>399</v>
      </c>
      <c r="B53" s="654"/>
      <c r="C53" s="522">
        <f>SUM(C54:C58)</f>
        <v>3556587709.6100001</v>
      </c>
      <c r="D53" s="522">
        <f>SUM(D54:D58)</f>
        <v>2928955045.5100002</v>
      </c>
      <c r="E53" s="524">
        <f t="shared" si="0"/>
        <v>0.82352954141855728</v>
      </c>
      <c r="F53" s="522">
        <f>SUM(F54:F58)</f>
        <v>2928955045.5100002</v>
      </c>
      <c r="G53" s="523">
        <f t="shared" si="1"/>
        <v>1</v>
      </c>
    </row>
    <row r="54" spans="1:7" ht="90" customHeight="1" thickBot="1" x14ac:dyDescent="0.25">
      <c r="A54" s="80" t="s">
        <v>407</v>
      </c>
      <c r="B54" s="87" t="s">
        <v>1409</v>
      </c>
      <c r="C54" s="379">
        <f>'SGTO POAI VIGENCIA 2021'!BP77+'SGTO POAI VIGENCIA 2021'!BP78</f>
        <v>143000000</v>
      </c>
      <c r="D54" s="379">
        <f>'SGTO POAI VIGENCIA 2021'!BQ77+'SGTO POAI VIGENCIA 2021'!BQ78</f>
        <v>142910333</v>
      </c>
      <c r="E54" s="108">
        <f t="shared" si="0"/>
        <v>0.99937295804195803</v>
      </c>
      <c r="F54" s="379">
        <f>'SGTO POAI VIGENCIA 2021'!BR77+'SGTO POAI VIGENCIA 2021'!BR78</f>
        <v>142910333</v>
      </c>
      <c r="G54" s="108">
        <f t="shared" si="1"/>
        <v>1</v>
      </c>
    </row>
    <row r="55" spans="1:7" ht="90" customHeight="1" thickBot="1" x14ac:dyDescent="0.25">
      <c r="A55" s="80" t="s">
        <v>415</v>
      </c>
      <c r="B55" s="85" t="s">
        <v>1410</v>
      </c>
      <c r="C55" s="379">
        <f>'SGTO POAI VIGENCIA 2021'!BP79+'SGTO POAI VIGENCIA 2021'!BP80</f>
        <v>124000000</v>
      </c>
      <c r="D55" s="379">
        <f>'SGTO POAI VIGENCIA 2021'!BQ79+'SGTO POAI VIGENCIA 2021'!BQ80</f>
        <v>114292500</v>
      </c>
      <c r="E55" s="108">
        <f t="shared" si="0"/>
        <v>0.92171370967741939</v>
      </c>
      <c r="F55" s="379">
        <f>'SGTO POAI VIGENCIA 2021'!BR79+'SGTO POAI VIGENCIA 2021'!BR80</f>
        <v>114292500</v>
      </c>
      <c r="G55" s="108">
        <f t="shared" si="1"/>
        <v>1</v>
      </c>
    </row>
    <row r="56" spans="1:7" ht="90" customHeight="1" thickBot="1" x14ac:dyDescent="0.25">
      <c r="A56" s="80" t="s">
        <v>423</v>
      </c>
      <c r="B56" s="85" t="s">
        <v>1411</v>
      </c>
      <c r="C56" s="379">
        <f>'SGTO POAI VIGENCIA 2021'!BP81+'SGTO POAI VIGENCIA 2021'!BP82+'SGTO POAI VIGENCIA 2021'!BP83</f>
        <v>1791856036</v>
      </c>
      <c r="D56" s="379">
        <f>'SGTO POAI VIGENCIA 2021'!BQ81+'SGTO POAI VIGENCIA 2021'!BQ82+'SGTO POAI VIGENCIA 2021'!BQ83</f>
        <v>1785909533</v>
      </c>
      <c r="E56" s="108">
        <f t="shared" si="0"/>
        <v>0.99668137234212495</v>
      </c>
      <c r="F56" s="379">
        <f>'SGTO POAI VIGENCIA 2021'!BR81+'SGTO POAI VIGENCIA 2021'!BR82+'SGTO POAI VIGENCIA 2021'!BR83</f>
        <v>1785909533</v>
      </c>
      <c r="G56" s="108">
        <f t="shared" si="1"/>
        <v>1</v>
      </c>
    </row>
    <row r="57" spans="1:7" ht="90" customHeight="1" thickBot="1" x14ac:dyDescent="0.25">
      <c r="A57" s="80" t="s">
        <v>430</v>
      </c>
      <c r="B57" s="85" t="s">
        <v>1412</v>
      </c>
      <c r="C57" s="379">
        <f>'SGTO POAI VIGENCIA 2021'!BP84</f>
        <v>1260231673.6100001</v>
      </c>
      <c r="D57" s="379">
        <f>'SGTO POAI VIGENCIA 2021'!BQ84</f>
        <v>659325228.50999999</v>
      </c>
      <c r="E57" s="108">
        <f t="shared" si="0"/>
        <v>0.52317779525515973</v>
      </c>
      <c r="F57" s="379">
        <f>'SGTO POAI VIGENCIA 2021'!BR84</f>
        <v>659325228.50999999</v>
      </c>
      <c r="G57" s="108">
        <f t="shared" si="1"/>
        <v>1</v>
      </c>
    </row>
    <row r="58" spans="1:7" ht="90" customHeight="1" thickBot="1" x14ac:dyDescent="0.25">
      <c r="A58" s="80" t="s">
        <v>438</v>
      </c>
      <c r="B58" s="86" t="s">
        <v>439</v>
      </c>
      <c r="C58" s="379">
        <f>'SGTO POAI VIGENCIA 2021'!BP85+'SGTO POAI VIGENCIA 2021'!BP86+'SGTO POAI VIGENCIA 2021'!BP87+'SGTO POAI VIGENCIA 2021'!BP88</f>
        <v>237500000</v>
      </c>
      <c r="D58" s="379">
        <f>'SGTO POAI VIGENCIA 2021'!BQ85+'SGTO POAI VIGENCIA 2021'!BQ86+'SGTO POAI VIGENCIA 2021'!BQ87+'SGTO POAI VIGENCIA 2021'!BQ88</f>
        <v>226517451</v>
      </c>
      <c r="E58" s="108">
        <f t="shared" si="0"/>
        <v>0.95375768842105269</v>
      </c>
      <c r="F58" s="379">
        <f>'SGTO POAI VIGENCIA 2021'!BR85+'SGTO POAI VIGENCIA 2021'!BR86+'SGTO POAI VIGENCIA 2021'!BR87+'SGTO POAI VIGENCIA 2021'!BR88</f>
        <v>226517451</v>
      </c>
      <c r="G58" s="108">
        <f t="shared" si="1"/>
        <v>1</v>
      </c>
    </row>
    <row r="59" spans="1:7" ht="20.100000000000001" customHeight="1" thickBot="1" x14ac:dyDescent="0.25">
      <c r="A59" s="653" t="s">
        <v>450</v>
      </c>
      <c r="B59" s="654"/>
      <c r="C59" s="522">
        <f>SUM(C60:C78)</f>
        <v>3838799887.6300001</v>
      </c>
      <c r="D59" s="522">
        <f>SUM(D60:D78)</f>
        <v>2309257005.5700002</v>
      </c>
      <c r="E59" s="524">
        <f t="shared" si="0"/>
        <v>0.60155701603807488</v>
      </c>
      <c r="F59" s="522">
        <f>SUM(F60:F78)</f>
        <v>2309257005.5700002</v>
      </c>
      <c r="G59" s="523">
        <f t="shared" si="1"/>
        <v>1</v>
      </c>
    </row>
    <row r="60" spans="1:7" ht="90" customHeight="1" thickBot="1" x14ac:dyDescent="0.25">
      <c r="A60" s="80" t="s">
        <v>457</v>
      </c>
      <c r="B60" s="86" t="s">
        <v>458</v>
      </c>
      <c r="C60" s="379">
        <f>'SGTO POAI VIGENCIA 2021'!BP89+'SGTO POAI VIGENCIA 2021'!BP90+'SGTO POAI VIGENCIA 2021'!BP91</f>
        <v>739000000</v>
      </c>
      <c r="D60" s="379">
        <f>'SGTO POAI VIGENCIA 2021'!BQ89+'SGTO POAI VIGENCIA 2021'!BQ90+'SGTO POAI VIGENCIA 2021'!BQ91</f>
        <v>509728324</v>
      </c>
      <c r="E60" s="108">
        <f t="shared" si="0"/>
        <v>0.68975415967523679</v>
      </c>
      <c r="F60" s="379">
        <f>'SGTO POAI VIGENCIA 2021'!BR89+'SGTO POAI VIGENCIA 2021'!BR90+'SGTO POAI VIGENCIA 2021'!BR91</f>
        <v>509728324</v>
      </c>
      <c r="G60" s="108">
        <f t="shared" si="1"/>
        <v>1</v>
      </c>
    </row>
    <row r="61" spans="1:7" ht="90" customHeight="1" thickBot="1" x14ac:dyDescent="0.25">
      <c r="A61" s="78" t="s">
        <v>469</v>
      </c>
      <c r="B61" s="86" t="s">
        <v>470</v>
      </c>
      <c r="C61" s="379">
        <f>'SGTO POAI VIGENCIA 2021'!BP92+'SGTO POAI VIGENCIA 2021'!BP93+'SGTO POAI VIGENCIA 2021'!BP94</f>
        <v>530052526.97000003</v>
      </c>
      <c r="D61" s="379">
        <f>'SGTO POAI VIGENCIA 2021'!BQ92+'SGTO POAI VIGENCIA 2021'!BQ93+'SGTO POAI VIGENCIA 2021'!BQ94</f>
        <v>399880999</v>
      </c>
      <c r="E61" s="108">
        <f t="shared" si="0"/>
        <v>0.75441768250004493</v>
      </c>
      <c r="F61" s="379">
        <f>'SGTO POAI VIGENCIA 2021'!BR92+'SGTO POAI VIGENCIA 2021'!BR93+'SGTO POAI VIGENCIA 2021'!BR94</f>
        <v>399880999</v>
      </c>
      <c r="G61" s="108">
        <f t="shared" si="1"/>
        <v>1</v>
      </c>
    </row>
    <row r="62" spans="1:7" ht="90" customHeight="1" thickBot="1" x14ac:dyDescent="0.25">
      <c r="A62" s="80" t="s">
        <v>481</v>
      </c>
      <c r="B62" s="86" t="s">
        <v>1413</v>
      </c>
      <c r="C62" s="379">
        <f>'SGTO POAI VIGENCIA 2021'!BP95+'SGTO POAI VIGENCIA 2021'!BP96</f>
        <v>188606585.66</v>
      </c>
      <c r="D62" s="379">
        <f>'SGTO POAI VIGENCIA 2021'!BQ95+'SGTO POAI VIGENCIA 2021'!BQ96</f>
        <v>78670000</v>
      </c>
      <c r="E62" s="108">
        <f t="shared" si="0"/>
        <v>0.41711162802033835</v>
      </c>
      <c r="F62" s="379">
        <f>'SGTO POAI VIGENCIA 2021'!BR95+'SGTO POAI VIGENCIA 2021'!BR96</f>
        <v>78670000</v>
      </c>
      <c r="G62" s="108">
        <f t="shared" si="1"/>
        <v>1</v>
      </c>
    </row>
    <row r="63" spans="1:7" ht="90" customHeight="1" thickBot="1" x14ac:dyDescent="0.25">
      <c r="A63" s="78" t="s">
        <v>488</v>
      </c>
      <c r="B63" s="85" t="s">
        <v>489</v>
      </c>
      <c r="C63" s="379">
        <f>'SGTO POAI VIGENCIA 2021'!BP97+'SGTO POAI VIGENCIA 2021'!BP98</f>
        <v>78242387</v>
      </c>
      <c r="D63" s="379">
        <f>'SGTO POAI VIGENCIA 2021'!BQ97+'SGTO POAI VIGENCIA 2021'!BQ98</f>
        <v>77065000</v>
      </c>
      <c r="E63" s="108">
        <f t="shared" si="0"/>
        <v>0.98495205674131592</v>
      </c>
      <c r="F63" s="379">
        <f>'SGTO POAI VIGENCIA 2021'!BR97+'SGTO POAI VIGENCIA 2021'!BR98</f>
        <v>77065000</v>
      </c>
      <c r="G63" s="108">
        <f t="shared" si="1"/>
        <v>1</v>
      </c>
    </row>
    <row r="64" spans="1:7" ht="90" customHeight="1" thickBot="1" x14ac:dyDescent="0.25">
      <c r="A64" s="80" t="s">
        <v>497</v>
      </c>
      <c r="B64" s="86" t="s">
        <v>1414</v>
      </c>
      <c r="C64" s="379">
        <f>'SGTO POAI VIGENCIA 2021'!BP99</f>
        <v>27000000</v>
      </c>
      <c r="D64" s="379">
        <f>'SGTO POAI VIGENCIA 2021'!BQ99</f>
        <v>26940000</v>
      </c>
      <c r="E64" s="108">
        <f t="shared" si="0"/>
        <v>0.99777777777777776</v>
      </c>
      <c r="F64" s="379">
        <f>'SGTO POAI VIGENCIA 2021'!BR99</f>
        <v>26940000</v>
      </c>
      <c r="G64" s="108">
        <f t="shared" si="1"/>
        <v>1</v>
      </c>
    </row>
    <row r="65" spans="1:7" ht="90" customHeight="1" thickBot="1" x14ac:dyDescent="0.25">
      <c r="A65" s="80" t="s">
        <v>504</v>
      </c>
      <c r="B65" s="85" t="s">
        <v>505</v>
      </c>
      <c r="C65" s="379">
        <f>'SGTO POAI VIGENCIA 2021'!BP100</f>
        <v>325000000</v>
      </c>
      <c r="D65" s="379">
        <f>'SGTO POAI VIGENCIA 2021'!BQ100</f>
        <v>324995000</v>
      </c>
      <c r="E65" s="108">
        <f t="shared" si="0"/>
        <v>0.99998461538461536</v>
      </c>
      <c r="F65" s="379">
        <f>'SGTO POAI VIGENCIA 2021'!BR100</f>
        <v>324995000</v>
      </c>
      <c r="G65" s="108">
        <f t="shared" si="1"/>
        <v>1</v>
      </c>
    </row>
    <row r="66" spans="1:7" ht="90" customHeight="1" thickBot="1" x14ac:dyDescent="0.25">
      <c r="A66" s="78" t="s">
        <v>510</v>
      </c>
      <c r="B66" s="86" t="s">
        <v>511</v>
      </c>
      <c r="C66" s="379">
        <f>'SGTO POAI VIGENCIA 2021'!BP101+'SGTO POAI VIGENCIA 2021'!BP102</f>
        <v>69255500</v>
      </c>
      <c r="D66" s="379">
        <f>'SGTO POAI VIGENCIA 2021'!BQ101+'SGTO POAI VIGENCIA 2021'!BQ102</f>
        <v>69255166</v>
      </c>
      <c r="E66" s="108">
        <f t="shared" si="0"/>
        <v>0.99999517727833886</v>
      </c>
      <c r="F66" s="379">
        <f>'SGTO POAI VIGENCIA 2021'!BR101+'SGTO POAI VIGENCIA 2021'!BR102</f>
        <v>69255166</v>
      </c>
      <c r="G66" s="108">
        <f t="shared" si="1"/>
        <v>1</v>
      </c>
    </row>
    <row r="67" spans="1:7" ht="90" customHeight="1" thickBot="1" x14ac:dyDescent="0.25">
      <c r="A67" s="80" t="s">
        <v>520</v>
      </c>
      <c r="B67" s="86" t="s">
        <v>1415</v>
      </c>
      <c r="C67" s="379">
        <f>'SGTO POAI VIGENCIA 2021'!BP103</f>
        <v>20000000</v>
      </c>
      <c r="D67" s="379">
        <f>'SGTO POAI VIGENCIA 2021'!BQ103</f>
        <v>20000000</v>
      </c>
      <c r="E67" s="108">
        <f t="shared" si="0"/>
        <v>1</v>
      </c>
      <c r="F67" s="379">
        <f>'SGTO POAI VIGENCIA 2021'!BR103</f>
        <v>20000000</v>
      </c>
      <c r="G67" s="108">
        <f t="shared" si="1"/>
        <v>1</v>
      </c>
    </row>
    <row r="68" spans="1:7" ht="90" customHeight="1" thickBot="1" x14ac:dyDescent="0.25">
      <c r="A68" s="80" t="s">
        <v>527</v>
      </c>
      <c r="B68" s="85" t="s">
        <v>1416</v>
      </c>
      <c r="C68" s="379">
        <f>'SGTO POAI VIGENCIA 2021'!BP104</f>
        <v>43000000</v>
      </c>
      <c r="D68" s="379">
        <f>'SGTO POAI VIGENCIA 2021'!BQ104</f>
        <v>34865000</v>
      </c>
      <c r="E68" s="108">
        <f t="shared" si="0"/>
        <v>0.81081395348837204</v>
      </c>
      <c r="F68" s="379">
        <f>'SGTO POAI VIGENCIA 2021'!BR104</f>
        <v>34865000</v>
      </c>
      <c r="G68" s="108">
        <f t="shared" si="1"/>
        <v>1</v>
      </c>
    </row>
    <row r="69" spans="1:7" ht="90" customHeight="1" thickBot="1" x14ac:dyDescent="0.25">
      <c r="A69" s="78" t="s">
        <v>533</v>
      </c>
      <c r="B69" s="86" t="s">
        <v>534</v>
      </c>
      <c r="C69" s="379">
        <f>'SGTO POAI VIGENCIA 2021'!BP105+'SGTO POAI VIGENCIA 2021'!BP106</f>
        <v>37555000</v>
      </c>
      <c r="D69" s="379">
        <f>'SGTO POAI VIGENCIA 2021'!BQ105+'SGTO POAI VIGENCIA 2021'!BQ106</f>
        <v>17555000</v>
      </c>
      <c r="E69" s="108">
        <f t="shared" ref="E69:E132" si="2">D69/C69</f>
        <v>0.46744774330981226</v>
      </c>
      <c r="F69" s="379">
        <f>'SGTO POAI VIGENCIA 2021'!BR105+'SGTO POAI VIGENCIA 2021'!BR106</f>
        <v>17555000</v>
      </c>
      <c r="G69" s="108">
        <f t="shared" ref="G69:G132" si="3">F69/D69</f>
        <v>1</v>
      </c>
    </row>
    <row r="70" spans="1:7" ht="90" customHeight="1" thickBot="1" x14ac:dyDescent="0.25">
      <c r="A70" s="81" t="s">
        <v>541</v>
      </c>
      <c r="B70" s="85" t="s">
        <v>542</v>
      </c>
      <c r="C70" s="379">
        <f>'SGTO POAI VIGENCIA 2021'!BP107+'SGTO POAI VIGENCIA 2021'!BP108+'SGTO POAI VIGENCIA 2021'!BP109</f>
        <v>108000000</v>
      </c>
      <c r="D70" s="379">
        <f>'SGTO POAI VIGENCIA 2021'!BQ107+'SGTO POAI VIGENCIA 2021'!BQ108+'SGTO POAI VIGENCIA 2021'!BQ109</f>
        <v>108000000</v>
      </c>
      <c r="E70" s="108">
        <f t="shared" si="2"/>
        <v>1</v>
      </c>
      <c r="F70" s="379">
        <f>'SGTO POAI VIGENCIA 2021'!BR107+'SGTO POAI VIGENCIA 2021'!BR108+'SGTO POAI VIGENCIA 2021'!BR109</f>
        <v>108000000</v>
      </c>
      <c r="G70" s="108">
        <f t="shared" si="3"/>
        <v>1</v>
      </c>
    </row>
    <row r="71" spans="1:7" ht="90" customHeight="1" thickBot="1" x14ac:dyDescent="0.25">
      <c r="A71" s="80" t="s">
        <v>553</v>
      </c>
      <c r="B71" s="86" t="s">
        <v>1417</v>
      </c>
      <c r="C71" s="379">
        <f>'SGTO POAI VIGENCIA 2021'!BP110+'SGTO POAI VIGENCIA 2021'!BP111</f>
        <v>36000000</v>
      </c>
      <c r="D71" s="379">
        <f>'SGTO POAI VIGENCIA 2021'!BQ110+'SGTO POAI VIGENCIA 2021'!BQ111</f>
        <v>34195000</v>
      </c>
      <c r="E71" s="108">
        <f t="shared" si="2"/>
        <v>0.94986111111111116</v>
      </c>
      <c r="F71" s="379">
        <f>'SGTO POAI VIGENCIA 2021'!BR110+'SGTO POAI VIGENCIA 2021'!BR111</f>
        <v>34195000</v>
      </c>
      <c r="G71" s="108">
        <f t="shared" si="3"/>
        <v>1</v>
      </c>
    </row>
    <row r="72" spans="1:7" ht="90" customHeight="1" thickBot="1" x14ac:dyDescent="0.25">
      <c r="A72" s="81" t="s">
        <v>562</v>
      </c>
      <c r="B72" s="86" t="s">
        <v>1418</v>
      </c>
      <c r="C72" s="379">
        <f>'SGTO POAI VIGENCIA 2021'!BP112+'SGTO POAI VIGENCIA 2021'!BP113</f>
        <v>81456499</v>
      </c>
      <c r="D72" s="379">
        <f>'SGTO POAI VIGENCIA 2021'!BQ112+'SGTO POAI VIGENCIA 2021'!BQ113</f>
        <v>81456499</v>
      </c>
      <c r="E72" s="108">
        <f t="shared" si="2"/>
        <v>1</v>
      </c>
      <c r="F72" s="379">
        <f>'SGTO POAI VIGENCIA 2021'!BR112+'SGTO POAI VIGENCIA 2021'!BR113</f>
        <v>81456499</v>
      </c>
      <c r="G72" s="108">
        <f t="shared" si="3"/>
        <v>1</v>
      </c>
    </row>
    <row r="73" spans="1:7" ht="90" customHeight="1" thickBot="1" x14ac:dyDescent="0.25">
      <c r="A73" s="80" t="s">
        <v>573</v>
      </c>
      <c r="B73" s="86" t="s">
        <v>574</v>
      </c>
      <c r="C73" s="379">
        <f>'SGTO POAI VIGENCIA 2021'!BP114+'SGTO POAI VIGENCIA 2021'!BP115+'SGTO POAI VIGENCIA 2021'!BP116+'SGTO POAI VIGENCIA 2021'!BP117</f>
        <v>1145631389</v>
      </c>
      <c r="D73" s="379">
        <f>'SGTO POAI VIGENCIA 2021'!BQ114+'SGTO POAI VIGENCIA 2021'!BQ115+'SGTO POAI VIGENCIA 2021'!BQ116+'SGTO POAI VIGENCIA 2021'!BQ117</f>
        <v>386628018.56999999</v>
      </c>
      <c r="E73" s="108">
        <f t="shared" si="2"/>
        <v>0.3374802945190602</v>
      </c>
      <c r="F73" s="379">
        <f>'SGTO POAI VIGENCIA 2021'!BR114+'SGTO POAI VIGENCIA 2021'!BR115+'SGTO POAI VIGENCIA 2021'!BR116+'SGTO POAI VIGENCIA 2021'!BR117</f>
        <v>386628018.56999999</v>
      </c>
      <c r="G73" s="108">
        <f t="shared" si="3"/>
        <v>1</v>
      </c>
    </row>
    <row r="74" spans="1:7" ht="90" customHeight="1" thickBot="1" x14ac:dyDescent="0.25">
      <c r="A74" s="78" t="s">
        <v>590</v>
      </c>
      <c r="B74" s="86" t="s">
        <v>1419</v>
      </c>
      <c r="C74" s="379">
        <f>'SGTO POAI VIGENCIA 2021'!BP118</f>
        <v>36000000</v>
      </c>
      <c r="D74" s="379">
        <f>'SGTO POAI VIGENCIA 2021'!BQ118</f>
        <v>34532000</v>
      </c>
      <c r="E74" s="108">
        <f t="shared" si="2"/>
        <v>0.9592222222222222</v>
      </c>
      <c r="F74" s="379">
        <f>'SGTO POAI VIGENCIA 2021'!BR118</f>
        <v>34532000</v>
      </c>
      <c r="G74" s="108">
        <f t="shared" si="3"/>
        <v>1</v>
      </c>
    </row>
    <row r="75" spans="1:7" ht="90" customHeight="1" thickBot="1" x14ac:dyDescent="0.25">
      <c r="A75" s="78" t="s">
        <v>595</v>
      </c>
      <c r="B75" s="86" t="s">
        <v>1420</v>
      </c>
      <c r="C75" s="379">
        <f>'SGTO POAI VIGENCIA 2021'!BP119</f>
        <v>54000000</v>
      </c>
      <c r="D75" s="379">
        <f>'SGTO POAI VIGENCIA 2021'!BQ119</f>
        <v>43120666</v>
      </c>
      <c r="E75" s="108">
        <f t="shared" si="2"/>
        <v>0.7985308518518518</v>
      </c>
      <c r="F75" s="379">
        <f>'SGTO POAI VIGENCIA 2021'!BR119</f>
        <v>43120666</v>
      </c>
      <c r="G75" s="108">
        <f t="shared" si="3"/>
        <v>1</v>
      </c>
    </row>
    <row r="76" spans="1:7" ht="90" customHeight="1" thickBot="1" x14ac:dyDescent="0.25">
      <c r="A76" s="78" t="s">
        <v>603</v>
      </c>
      <c r="B76" s="86" t="s">
        <v>604</v>
      </c>
      <c r="C76" s="379">
        <f>'SGTO POAI VIGENCIA 2021'!BP120</f>
        <v>120000000</v>
      </c>
      <c r="D76" s="379">
        <f>'SGTO POAI VIGENCIA 2021'!BQ120</f>
        <v>52835333</v>
      </c>
      <c r="E76" s="108">
        <f t="shared" si="2"/>
        <v>0.44029444166666665</v>
      </c>
      <c r="F76" s="379">
        <f>'SGTO POAI VIGENCIA 2021'!BR120</f>
        <v>52835333</v>
      </c>
      <c r="G76" s="108">
        <f t="shared" si="3"/>
        <v>1</v>
      </c>
    </row>
    <row r="77" spans="1:7" ht="90" customHeight="1" thickBot="1" x14ac:dyDescent="0.25">
      <c r="A77" s="78" t="s">
        <v>610</v>
      </c>
      <c r="B77" s="86" t="s">
        <v>611</v>
      </c>
      <c r="C77" s="379">
        <f>'SGTO POAI VIGENCIA 2021'!BP121+'SGTO POAI VIGENCIA 2021'!BP122+'SGTO POAI VIGENCIA 2021'!BP123</f>
        <v>82000000</v>
      </c>
      <c r="D77" s="379">
        <f>'SGTO POAI VIGENCIA 2021'!BQ121+'SGTO POAI VIGENCIA 2021'!BQ122+'SGTO POAI VIGENCIA 2021'!BQ123</f>
        <v>0</v>
      </c>
      <c r="E77" s="108">
        <f t="shared" si="2"/>
        <v>0</v>
      </c>
      <c r="F77" s="379">
        <f>'SGTO POAI VIGENCIA 2021'!BR121+'SGTO POAI VIGENCIA 2021'!BR122+'SGTO POAI VIGENCIA 2021'!BR123</f>
        <v>0</v>
      </c>
      <c r="G77" s="108">
        <v>0</v>
      </c>
    </row>
    <row r="78" spans="1:7" ht="90" customHeight="1" thickBot="1" x14ac:dyDescent="0.25">
      <c r="A78" s="80" t="s">
        <v>623</v>
      </c>
      <c r="B78" s="86" t="s">
        <v>1421</v>
      </c>
      <c r="C78" s="379">
        <f>'SGTO POAI VIGENCIA 2021'!BP124+'SGTO POAI VIGENCIA 2021'!BP125+'SGTO POAI VIGENCIA 2021'!BP126</f>
        <v>118000000</v>
      </c>
      <c r="D78" s="379">
        <f>'SGTO POAI VIGENCIA 2021'!BQ124+'SGTO POAI VIGENCIA 2021'!BQ125+'SGTO POAI VIGENCIA 2021'!BQ126</f>
        <v>9535000</v>
      </c>
      <c r="E78" s="108">
        <f t="shared" si="2"/>
        <v>8.0805084745762715E-2</v>
      </c>
      <c r="F78" s="379">
        <f>'SGTO POAI VIGENCIA 2021'!BR124+'SGTO POAI VIGENCIA 2021'!BR125+'SGTO POAI VIGENCIA 2021'!BR126</f>
        <v>9535000</v>
      </c>
      <c r="G78" s="108">
        <f t="shared" si="3"/>
        <v>1</v>
      </c>
    </row>
    <row r="79" spans="1:7" ht="20.100000000000001" customHeight="1" thickBot="1" x14ac:dyDescent="0.25">
      <c r="A79" s="653" t="s">
        <v>633</v>
      </c>
      <c r="B79" s="654"/>
      <c r="C79" s="522">
        <f>SUM(C80:C82)</f>
        <v>1177000000</v>
      </c>
      <c r="D79" s="522">
        <f>SUM(D80:D82)</f>
        <v>1175258655.9299998</v>
      </c>
      <c r="E79" s="524">
        <f t="shared" si="2"/>
        <v>0.99852052330501262</v>
      </c>
      <c r="F79" s="522">
        <f>SUM(F80:F82)</f>
        <v>1175258655.9299998</v>
      </c>
      <c r="G79" s="523">
        <f t="shared" si="3"/>
        <v>1</v>
      </c>
    </row>
    <row r="80" spans="1:7" ht="90" customHeight="1" thickBot="1" x14ac:dyDescent="0.25">
      <c r="A80" s="80" t="s">
        <v>638</v>
      </c>
      <c r="B80" s="88" t="s">
        <v>1422</v>
      </c>
      <c r="C80" s="379">
        <f>'SGTO POAI VIGENCIA 2021'!BP127</f>
        <v>249636991.63999999</v>
      </c>
      <c r="D80" s="379">
        <f>'SGTO POAI VIGENCIA 2021'!BQ127</f>
        <v>249630991.63999999</v>
      </c>
      <c r="E80" s="108">
        <f t="shared" si="2"/>
        <v>0.99997596510052222</v>
      </c>
      <c r="F80" s="379">
        <f>'SGTO POAI VIGENCIA 2021'!BR127</f>
        <v>249630991.63999999</v>
      </c>
      <c r="G80" s="108">
        <f t="shared" si="3"/>
        <v>1</v>
      </c>
    </row>
    <row r="81" spans="1:7" ht="90" customHeight="1" thickBot="1" x14ac:dyDescent="0.25">
      <c r="A81" s="80" t="s">
        <v>643</v>
      </c>
      <c r="B81" s="86" t="s">
        <v>1423</v>
      </c>
      <c r="C81" s="379">
        <f>'SGTO POAI VIGENCIA 2021'!BP128</f>
        <v>783075508.38</v>
      </c>
      <c r="D81" s="379">
        <f>'SGTO POAI VIGENCIA 2021'!BQ128</f>
        <v>781340164.30999994</v>
      </c>
      <c r="E81" s="108">
        <f t="shared" si="2"/>
        <v>0.9977839377538571</v>
      </c>
      <c r="F81" s="379">
        <f>'SGTO POAI VIGENCIA 2021'!BR128</f>
        <v>781340164.30999994</v>
      </c>
      <c r="G81" s="108">
        <f t="shared" si="3"/>
        <v>1</v>
      </c>
    </row>
    <row r="82" spans="1:7" ht="90" customHeight="1" thickBot="1" x14ac:dyDescent="0.25">
      <c r="A82" s="81" t="s">
        <v>648</v>
      </c>
      <c r="B82" s="85" t="s">
        <v>1424</v>
      </c>
      <c r="C82" s="379">
        <f>'SGTO POAI VIGENCIA 2021'!BP129</f>
        <v>144287499.97999999</v>
      </c>
      <c r="D82" s="379">
        <f>'SGTO POAI VIGENCIA 2021'!BQ129</f>
        <v>144287499.97999999</v>
      </c>
      <c r="E82" s="108">
        <f t="shared" si="2"/>
        <v>1</v>
      </c>
      <c r="F82" s="379">
        <f>'SGTO POAI VIGENCIA 2021'!BR129</f>
        <v>144287499.97999999</v>
      </c>
      <c r="G82" s="108">
        <f t="shared" si="3"/>
        <v>1</v>
      </c>
    </row>
    <row r="83" spans="1:7" ht="20.100000000000001" customHeight="1" thickBot="1" x14ac:dyDescent="0.25">
      <c r="A83" s="653" t="s">
        <v>651</v>
      </c>
      <c r="B83" s="654"/>
      <c r="C83" s="522">
        <f>SUM(C84:C92)</f>
        <v>193197400269.77997</v>
      </c>
      <c r="D83" s="522">
        <f>SUM(D84:D92)</f>
        <v>188842332007.94998</v>
      </c>
      <c r="E83" s="524">
        <f t="shared" si="2"/>
        <v>0.97745793548076432</v>
      </c>
      <c r="F83" s="522">
        <f>SUM(F84:F92)</f>
        <v>188842332007.94998</v>
      </c>
      <c r="G83" s="523">
        <f t="shared" si="3"/>
        <v>1</v>
      </c>
    </row>
    <row r="84" spans="1:7" ht="90" customHeight="1" thickBot="1" x14ac:dyDescent="0.25">
      <c r="A84" s="80" t="s">
        <v>655</v>
      </c>
      <c r="B84" s="87" t="s">
        <v>656</v>
      </c>
      <c r="C84" s="379">
        <f>'SGTO POAI VIGENCIA 2021'!BP130+'SGTO POAI VIGENCIA 2021'!BP131+'SGTO POAI VIGENCIA 2021'!BP132+'SGTO POAI VIGENCIA 2021'!BP133+'SGTO POAI VIGENCIA 2021'!BP134+'SGTO POAI VIGENCIA 2021'!BP135+'SGTO POAI VIGENCIA 2021'!BP136+'SGTO POAI VIGENCIA 2021'!BP137+'SGTO POAI VIGENCIA 2021'!BP138+'SGTO POAI VIGENCIA 2021'!BP139</f>
        <v>16569672696.32</v>
      </c>
      <c r="D84" s="379">
        <f>'SGTO POAI VIGENCIA 2021'!BQ130+'SGTO POAI VIGENCIA 2021'!BQ131+'SGTO POAI VIGENCIA 2021'!BQ132+'SGTO POAI VIGENCIA 2021'!BQ133+'SGTO POAI VIGENCIA 2021'!BQ134+'SGTO POAI VIGENCIA 2021'!BQ135+'SGTO POAI VIGENCIA 2021'!BQ136+'SGTO POAI VIGENCIA 2021'!BQ137+'SGTO POAI VIGENCIA 2021'!BQ138+'SGTO POAI VIGENCIA 2021'!BQ139</f>
        <v>14426477321</v>
      </c>
      <c r="E84" s="108">
        <f t="shared" si="2"/>
        <v>0.87065553951491226</v>
      </c>
      <c r="F84" s="379">
        <f>'SGTO POAI VIGENCIA 2021'!BR130+'SGTO POAI VIGENCIA 2021'!BR131+'SGTO POAI VIGENCIA 2021'!BR132+'SGTO POAI VIGENCIA 2021'!BR133+'SGTO POAI VIGENCIA 2021'!BR134+'SGTO POAI VIGENCIA 2021'!BR135+'SGTO POAI VIGENCIA 2021'!BR136+'SGTO POAI VIGENCIA 2021'!BR137+'SGTO POAI VIGENCIA 2021'!BR138+'SGTO POAI VIGENCIA 2021'!BR139</f>
        <v>14426477321</v>
      </c>
      <c r="G84" s="108">
        <f t="shared" si="3"/>
        <v>1</v>
      </c>
    </row>
    <row r="85" spans="1:7" ht="90" customHeight="1" thickBot="1" x14ac:dyDescent="0.25">
      <c r="A85" s="80" t="s">
        <v>684</v>
      </c>
      <c r="B85" s="87" t="s">
        <v>685</v>
      </c>
      <c r="C85" s="379">
        <f>'SGTO POAI VIGENCIA 2021'!BP140+'SGTO POAI VIGENCIA 2021'!BP141</f>
        <v>10000000</v>
      </c>
      <c r="D85" s="379">
        <f>'SGTO POAI VIGENCIA 2021'!BQ140+'SGTO POAI VIGENCIA 2021'!BQ141</f>
        <v>9905167</v>
      </c>
      <c r="E85" s="108">
        <f t="shared" si="2"/>
        <v>0.99051670000000003</v>
      </c>
      <c r="F85" s="379">
        <f>'SGTO POAI VIGENCIA 2021'!BR140+'SGTO POAI VIGENCIA 2021'!BR141</f>
        <v>9905167</v>
      </c>
      <c r="G85" s="108">
        <f t="shared" si="3"/>
        <v>1</v>
      </c>
    </row>
    <row r="86" spans="1:7" ht="90" customHeight="1" thickBot="1" x14ac:dyDescent="0.25">
      <c r="A86" s="80" t="s">
        <v>693</v>
      </c>
      <c r="B86" s="87" t="s">
        <v>694</v>
      </c>
      <c r="C86" s="379">
        <f>'SGTO POAI VIGENCIA 2021'!BP142+'SGTO POAI VIGENCIA 2021'!BP143+'SGTO POAI VIGENCIA 2021'!BP144+'SGTO POAI VIGENCIA 2021'!BP145+'SGTO POAI VIGENCIA 2021'!BP146+'SGTO POAI VIGENCIA 2021'!BP147+'SGTO POAI VIGENCIA 2021'!BP148+'SGTO POAI VIGENCIA 2021'!BP149+'SGTO POAI VIGENCIA 2021'!BP150+'SGTO POAI VIGENCIA 2021'!BP151</f>
        <v>152973653.47999999</v>
      </c>
      <c r="D86" s="379">
        <f>'SGTO POAI VIGENCIA 2021'!BQ142+'SGTO POAI VIGENCIA 2021'!BQ143+'SGTO POAI VIGENCIA 2021'!BQ144+'SGTO POAI VIGENCIA 2021'!BQ145+'SGTO POAI VIGENCIA 2021'!BQ146+'SGTO POAI VIGENCIA 2021'!BQ147+'SGTO POAI VIGENCIA 2021'!BQ148+'SGTO POAI VIGENCIA 2021'!BQ149+'SGTO POAI VIGENCIA 2021'!BQ150+'SGTO POAI VIGENCIA 2021'!BQ151</f>
        <v>149855776</v>
      </c>
      <c r="E86" s="108">
        <f t="shared" si="2"/>
        <v>0.97961820608273809</v>
      </c>
      <c r="F86" s="379">
        <f>'SGTO POAI VIGENCIA 2021'!BR142+'SGTO POAI VIGENCIA 2021'!BR143+'SGTO POAI VIGENCIA 2021'!BR144+'SGTO POAI VIGENCIA 2021'!BR145+'SGTO POAI VIGENCIA 2021'!BR146+'SGTO POAI VIGENCIA 2021'!BR147+'SGTO POAI VIGENCIA 2021'!BR148+'SGTO POAI VIGENCIA 2021'!BR149+'SGTO POAI VIGENCIA 2021'!BR150+'SGTO POAI VIGENCIA 2021'!BR151</f>
        <v>149855776</v>
      </c>
      <c r="G86" s="108">
        <f t="shared" si="3"/>
        <v>1</v>
      </c>
    </row>
    <row r="87" spans="1:7" ht="90" customHeight="1" thickBot="1" x14ac:dyDescent="0.25">
      <c r="A87" s="78" t="s">
        <v>719</v>
      </c>
      <c r="B87" s="87" t="s">
        <v>720</v>
      </c>
      <c r="C87" s="379">
        <f>'SGTO POAI VIGENCIA 2021'!BP152+'SGTO POAI VIGENCIA 2021'!BP153+'SGTO POAI VIGENCIA 2021'!BP154+'SGTO POAI VIGENCIA 2021'!BP155</f>
        <v>175372150060.97</v>
      </c>
      <c r="D87" s="379">
        <f>'SGTO POAI VIGENCIA 2021'!BQ152+'SGTO POAI VIGENCIA 2021'!BQ153+'SGTO POAI VIGENCIA 2021'!BQ154+'SGTO POAI VIGENCIA 2021'!BQ155</f>
        <v>173173976411.94998</v>
      </c>
      <c r="E87" s="108">
        <f t="shared" si="2"/>
        <v>0.98746566288743221</v>
      </c>
      <c r="F87" s="379">
        <f>'SGTO POAI VIGENCIA 2021'!BR152+'SGTO POAI VIGENCIA 2021'!BR153+'SGTO POAI VIGENCIA 2021'!BR154+'SGTO POAI VIGENCIA 2021'!BR155</f>
        <v>173173976411.94998</v>
      </c>
      <c r="G87" s="108">
        <f t="shared" si="3"/>
        <v>1</v>
      </c>
    </row>
    <row r="88" spans="1:7" ht="90" customHeight="1" thickBot="1" x14ac:dyDescent="0.25">
      <c r="A88" s="80" t="s">
        <v>731</v>
      </c>
      <c r="B88" s="86" t="s">
        <v>1425</v>
      </c>
      <c r="C88" s="379">
        <f>'SGTO POAI VIGENCIA 2021'!BP156+'SGTO POAI VIGENCIA 2021'!BP157+'SGTO POAI VIGENCIA 2021'!BP158</f>
        <v>611945607.01999998</v>
      </c>
      <c r="D88" s="379">
        <f>'SGTO POAI VIGENCIA 2021'!BQ156+'SGTO POAI VIGENCIA 2021'!BQ157+'SGTO POAI VIGENCIA 2021'!BQ158</f>
        <v>609602211</v>
      </c>
      <c r="E88" s="108">
        <f t="shared" si="2"/>
        <v>0.99617058118709001</v>
      </c>
      <c r="F88" s="379">
        <f>'SGTO POAI VIGENCIA 2021'!BR156+'SGTO POAI VIGENCIA 2021'!BR157+'SGTO POAI VIGENCIA 2021'!BR158</f>
        <v>609602211</v>
      </c>
      <c r="G88" s="108">
        <f t="shared" si="3"/>
        <v>1</v>
      </c>
    </row>
    <row r="89" spans="1:7" ht="90" customHeight="1" thickBot="1" x14ac:dyDescent="0.25">
      <c r="A89" s="78" t="s">
        <v>741</v>
      </c>
      <c r="B89" s="87" t="s">
        <v>742</v>
      </c>
      <c r="C89" s="379">
        <f>'SGTO POAI VIGENCIA 2021'!BP159+'SGTO POAI VIGENCIA 2021'!BP160+'SGTO POAI VIGENCIA 2021'!BP161</f>
        <v>19999999.990000002</v>
      </c>
      <c r="D89" s="379">
        <f>'SGTO POAI VIGENCIA 2021'!BQ159+'SGTO POAI VIGENCIA 2021'!BQ160+'SGTO POAI VIGENCIA 2021'!BQ161</f>
        <v>19334359</v>
      </c>
      <c r="E89" s="108">
        <f t="shared" si="2"/>
        <v>0.96671795048335885</v>
      </c>
      <c r="F89" s="379">
        <f>'SGTO POAI VIGENCIA 2021'!BR159+'SGTO POAI VIGENCIA 2021'!BR160+'SGTO POAI VIGENCIA 2021'!BR161</f>
        <v>19334359</v>
      </c>
      <c r="G89" s="108">
        <f t="shared" si="3"/>
        <v>1</v>
      </c>
    </row>
    <row r="90" spans="1:7" ht="90" customHeight="1" thickBot="1" x14ac:dyDescent="0.25">
      <c r="A90" s="80" t="s">
        <v>748</v>
      </c>
      <c r="B90" s="87" t="s">
        <v>749</v>
      </c>
      <c r="C90" s="379">
        <f>'SGTO POAI VIGENCIA 2021'!BP162+'SGTO POAI VIGENCIA 2021'!BP163</f>
        <v>14100000</v>
      </c>
      <c r="D90" s="379">
        <f>'SGTO POAI VIGENCIA 2021'!BQ162+'SGTO POAI VIGENCIA 2021'!BQ163</f>
        <v>13100000</v>
      </c>
      <c r="E90" s="108">
        <f t="shared" si="2"/>
        <v>0.92907801418439717</v>
      </c>
      <c r="F90" s="379">
        <f>'SGTO POAI VIGENCIA 2021'!BR162+'SGTO POAI VIGENCIA 2021'!BR163</f>
        <v>13100000</v>
      </c>
      <c r="G90" s="108">
        <f t="shared" si="3"/>
        <v>1</v>
      </c>
    </row>
    <row r="91" spans="1:7" ht="90" customHeight="1" thickBot="1" x14ac:dyDescent="0.25">
      <c r="A91" s="80" t="s">
        <v>756</v>
      </c>
      <c r="B91" s="87" t="s">
        <v>1426</v>
      </c>
      <c r="C91" s="379">
        <f>'SGTO POAI VIGENCIA 2021'!BP164</f>
        <v>439058252</v>
      </c>
      <c r="D91" s="379">
        <f>'SGTO POAI VIGENCIA 2021'!BQ164</f>
        <v>432580762</v>
      </c>
      <c r="E91" s="108">
        <f t="shared" si="2"/>
        <v>0.9852468551257294</v>
      </c>
      <c r="F91" s="379">
        <f>'SGTO POAI VIGENCIA 2021'!BR164</f>
        <v>432580762</v>
      </c>
      <c r="G91" s="108">
        <f t="shared" si="3"/>
        <v>1</v>
      </c>
    </row>
    <row r="92" spans="1:7" ht="90" customHeight="1" thickBot="1" x14ac:dyDescent="0.25">
      <c r="A92" s="80" t="s">
        <v>764</v>
      </c>
      <c r="B92" s="87" t="s">
        <v>1427</v>
      </c>
      <c r="C92" s="379">
        <f>'SGTO POAI VIGENCIA 2021'!BP165</f>
        <v>7500000</v>
      </c>
      <c r="D92" s="379">
        <f>'SGTO POAI VIGENCIA 2021'!BQ165</f>
        <v>7500000</v>
      </c>
      <c r="E92" s="108">
        <f t="shared" si="2"/>
        <v>1</v>
      </c>
      <c r="F92" s="379">
        <f>'SGTO POAI VIGENCIA 2021'!BR165</f>
        <v>7500000</v>
      </c>
      <c r="G92" s="108">
        <f t="shared" si="3"/>
        <v>1</v>
      </c>
    </row>
    <row r="93" spans="1:7" ht="20.100000000000001" customHeight="1" thickBot="1" x14ac:dyDescent="0.25">
      <c r="A93" s="653" t="s">
        <v>767</v>
      </c>
      <c r="B93" s="654"/>
      <c r="C93" s="522">
        <f>SUM(C94:C121)</f>
        <v>6915266350.0100002</v>
      </c>
      <c r="D93" s="522">
        <f>SUM(D94:D121)</f>
        <v>5456827952.6400003</v>
      </c>
      <c r="E93" s="524">
        <f t="shared" si="2"/>
        <v>0.78909873842127698</v>
      </c>
      <c r="F93" s="522">
        <f>SUM(F94:F121)</f>
        <v>5456827952.6400003</v>
      </c>
      <c r="G93" s="523">
        <f t="shared" si="3"/>
        <v>1</v>
      </c>
    </row>
    <row r="94" spans="1:7" ht="90" customHeight="1" thickBot="1" x14ac:dyDescent="0.25">
      <c r="A94" s="79" t="s">
        <v>772</v>
      </c>
      <c r="B94" s="87" t="s">
        <v>1428</v>
      </c>
      <c r="C94" s="379">
        <f>'SGTO POAI VIGENCIA 2021'!BP166+'SGTO POAI VIGENCIA 2021'!BP167</f>
        <v>170000000</v>
      </c>
      <c r="D94" s="379">
        <f>'SGTO POAI VIGENCIA 2021'!BQ166+'SGTO POAI VIGENCIA 2021'!BQ167</f>
        <v>165845884</v>
      </c>
      <c r="E94" s="108">
        <f t="shared" si="2"/>
        <v>0.97556402352941174</v>
      </c>
      <c r="F94" s="379">
        <f>'SGTO POAI VIGENCIA 2021'!BR166+'SGTO POAI VIGENCIA 2021'!BR167</f>
        <v>165845884</v>
      </c>
      <c r="G94" s="108">
        <f t="shared" si="3"/>
        <v>1</v>
      </c>
    </row>
    <row r="95" spans="1:7" ht="90" customHeight="1" thickBot="1" x14ac:dyDescent="0.25">
      <c r="A95" s="80" t="s">
        <v>781</v>
      </c>
      <c r="B95" s="86" t="s">
        <v>1429</v>
      </c>
      <c r="C95" s="379">
        <f>'SGTO POAI VIGENCIA 2021'!BP168</f>
        <v>14250000</v>
      </c>
      <c r="D95" s="379">
        <f>'SGTO POAI VIGENCIA 2021'!BQ168</f>
        <v>14250000</v>
      </c>
      <c r="E95" s="108">
        <f t="shared" si="2"/>
        <v>1</v>
      </c>
      <c r="F95" s="379">
        <f>'SGTO POAI VIGENCIA 2021'!BR168</f>
        <v>14250000</v>
      </c>
      <c r="G95" s="108">
        <f t="shared" si="3"/>
        <v>1</v>
      </c>
    </row>
    <row r="96" spans="1:7" ht="90" customHeight="1" thickBot="1" x14ac:dyDescent="0.25">
      <c r="A96" s="80" t="s">
        <v>789</v>
      </c>
      <c r="B96" s="86" t="s">
        <v>1430</v>
      </c>
      <c r="C96" s="379">
        <f>'SGTO POAI VIGENCIA 2021'!BP169+'SGTO POAI VIGENCIA 2021'!BP170</f>
        <v>101930000</v>
      </c>
      <c r="D96" s="379">
        <f>'SGTO POAI VIGENCIA 2021'!BQ169+'SGTO POAI VIGENCIA 2021'!BQ170</f>
        <v>94725334</v>
      </c>
      <c r="E96" s="108">
        <f t="shared" si="2"/>
        <v>0.92931751201805157</v>
      </c>
      <c r="F96" s="379">
        <f>'SGTO POAI VIGENCIA 2021'!BR169+'SGTO POAI VIGENCIA 2021'!BR170</f>
        <v>94725334</v>
      </c>
      <c r="G96" s="108">
        <f t="shared" si="3"/>
        <v>1</v>
      </c>
    </row>
    <row r="97" spans="1:7" ht="90" customHeight="1" thickBot="1" x14ac:dyDescent="0.25">
      <c r="A97" s="80" t="s">
        <v>803</v>
      </c>
      <c r="B97" s="86" t="s">
        <v>1431</v>
      </c>
      <c r="C97" s="379">
        <f>'SGTO POAI VIGENCIA 2021'!BP171</f>
        <v>132000000</v>
      </c>
      <c r="D97" s="379">
        <f>'SGTO POAI VIGENCIA 2021'!BQ171</f>
        <v>105491560</v>
      </c>
      <c r="E97" s="108">
        <f t="shared" si="2"/>
        <v>0.79917848484848486</v>
      </c>
      <c r="F97" s="379">
        <f>'SGTO POAI VIGENCIA 2021'!BR171</f>
        <v>105491560</v>
      </c>
      <c r="G97" s="108">
        <f t="shared" si="3"/>
        <v>1</v>
      </c>
    </row>
    <row r="98" spans="1:7" ht="90" customHeight="1" thickBot="1" x14ac:dyDescent="0.25">
      <c r="A98" s="80" t="s">
        <v>812</v>
      </c>
      <c r="B98" s="86" t="s">
        <v>1432</v>
      </c>
      <c r="C98" s="379">
        <f>'SGTO POAI VIGENCIA 2021'!BP172+'SGTO POAI VIGENCIA 2021'!BP173</f>
        <v>624647889</v>
      </c>
      <c r="D98" s="379">
        <f>'SGTO POAI VIGENCIA 2021'!BQ172+'SGTO POAI VIGENCIA 2021'!BQ173</f>
        <v>604076511</v>
      </c>
      <c r="E98" s="108">
        <f t="shared" si="2"/>
        <v>0.96706724162162339</v>
      </c>
      <c r="F98" s="379">
        <f>'SGTO POAI VIGENCIA 2021'!BR172+'SGTO POAI VIGENCIA 2021'!BR173</f>
        <v>604076511</v>
      </c>
      <c r="G98" s="108">
        <f t="shared" si="3"/>
        <v>1</v>
      </c>
    </row>
    <row r="99" spans="1:7" ht="90" customHeight="1" thickBot="1" x14ac:dyDescent="0.25">
      <c r="A99" s="80" t="s">
        <v>823</v>
      </c>
      <c r="B99" s="86" t="s">
        <v>1433</v>
      </c>
      <c r="C99" s="379">
        <f>'SGTO POAI VIGENCIA 2021'!BP174</f>
        <v>200000000</v>
      </c>
      <c r="D99" s="379">
        <f>'SGTO POAI VIGENCIA 2021'!BQ174</f>
        <v>151606702</v>
      </c>
      <c r="E99" s="108">
        <f t="shared" si="2"/>
        <v>0.75803350999999997</v>
      </c>
      <c r="F99" s="379">
        <f>'SGTO POAI VIGENCIA 2021'!BR174</f>
        <v>151606702</v>
      </c>
      <c r="G99" s="108">
        <f t="shared" si="3"/>
        <v>1</v>
      </c>
    </row>
    <row r="100" spans="1:7" ht="90" customHeight="1" thickBot="1" x14ac:dyDescent="0.25">
      <c r="A100" s="80" t="s">
        <v>831</v>
      </c>
      <c r="B100" s="86" t="s">
        <v>1434</v>
      </c>
      <c r="C100" s="379">
        <f>'SGTO POAI VIGENCIA 2021'!BP175</f>
        <v>28000000</v>
      </c>
      <c r="D100" s="379">
        <f>'SGTO POAI VIGENCIA 2021'!BQ175</f>
        <v>23850296</v>
      </c>
      <c r="E100" s="108">
        <f t="shared" si="2"/>
        <v>0.85179628571428567</v>
      </c>
      <c r="F100" s="379">
        <f>'SGTO POAI VIGENCIA 2021'!BR175</f>
        <v>23850296</v>
      </c>
      <c r="G100" s="108">
        <f t="shared" si="3"/>
        <v>1</v>
      </c>
    </row>
    <row r="101" spans="1:7" ht="90" customHeight="1" thickBot="1" x14ac:dyDescent="0.25">
      <c r="A101" s="80" t="s">
        <v>839</v>
      </c>
      <c r="B101" s="86" t="s">
        <v>840</v>
      </c>
      <c r="C101" s="379">
        <f>'SGTO POAI VIGENCIA 2021'!BP176+'SGTO POAI VIGENCIA 2021'!BP177</f>
        <v>50985000</v>
      </c>
      <c r="D101" s="379">
        <f>'SGTO POAI VIGENCIA 2021'!BQ176+'SGTO POAI VIGENCIA 2021'!BQ177</f>
        <v>50943833</v>
      </c>
      <c r="E101" s="108">
        <f t="shared" si="2"/>
        <v>0.9991925664411101</v>
      </c>
      <c r="F101" s="379">
        <f>'SGTO POAI VIGENCIA 2021'!BR176+'SGTO POAI VIGENCIA 2021'!BR177</f>
        <v>50943833</v>
      </c>
      <c r="G101" s="108">
        <f t="shared" si="3"/>
        <v>1</v>
      </c>
    </row>
    <row r="102" spans="1:7" ht="90" customHeight="1" thickBot="1" x14ac:dyDescent="0.25">
      <c r="A102" s="80" t="s">
        <v>851</v>
      </c>
      <c r="B102" s="86" t="s">
        <v>1435</v>
      </c>
      <c r="C102" s="379">
        <f>'SGTO POAI VIGENCIA 2021'!BP178</f>
        <v>37000000</v>
      </c>
      <c r="D102" s="379">
        <f>'SGTO POAI VIGENCIA 2021'!BQ178</f>
        <v>36718334</v>
      </c>
      <c r="E102" s="108">
        <f t="shared" si="2"/>
        <v>0.99238740540540538</v>
      </c>
      <c r="F102" s="379">
        <f>'SGTO POAI VIGENCIA 2021'!BR178</f>
        <v>36718334</v>
      </c>
      <c r="G102" s="108">
        <f t="shared" si="3"/>
        <v>1</v>
      </c>
    </row>
    <row r="103" spans="1:7" ht="90" customHeight="1" thickBot="1" x14ac:dyDescent="0.25">
      <c r="A103" s="80" t="s">
        <v>857</v>
      </c>
      <c r="B103" s="85" t="s">
        <v>1436</v>
      </c>
      <c r="C103" s="379">
        <f>'SGTO POAI VIGENCIA 2021'!BP179</f>
        <v>15000000</v>
      </c>
      <c r="D103" s="379">
        <f>'SGTO POAI VIGENCIA 2021'!BQ179</f>
        <v>15000000</v>
      </c>
      <c r="E103" s="108">
        <f t="shared" si="2"/>
        <v>1</v>
      </c>
      <c r="F103" s="379">
        <f>'SGTO POAI VIGENCIA 2021'!BR179</f>
        <v>15000000</v>
      </c>
      <c r="G103" s="108">
        <f t="shared" si="3"/>
        <v>1</v>
      </c>
    </row>
    <row r="104" spans="1:7" ht="90" customHeight="1" thickBot="1" x14ac:dyDescent="0.25">
      <c r="A104" s="80" t="s">
        <v>862</v>
      </c>
      <c r="B104" s="85" t="s">
        <v>1437</v>
      </c>
      <c r="C104" s="379">
        <f>'SGTO POAI VIGENCIA 2021'!BP180</f>
        <v>20000000</v>
      </c>
      <c r="D104" s="379">
        <f>'SGTO POAI VIGENCIA 2021'!BQ180</f>
        <v>20000000</v>
      </c>
      <c r="E104" s="108">
        <f t="shared" si="2"/>
        <v>1</v>
      </c>
      <c r="F104" s="379">
        <f>'SGTO POAI VIGENCIA 2021'!BR180</f>
        <v>20000000</v>
      </c>
      <c r="G104" s="108">
        <f t="shared" si="3"/>
        <v>1</v>
      </c>
    </row>
    <row r="105" spans="1:7" ht="90" customHeight="1" thickBot="1" x14ac:dyDescent="0.25">
      <c r="A105" s="80" t="s">
        <v>867</v>
      </c>
      <c r="B105" s="85" t="s">
        <v>1438</v>
      </c>
      <c r="C105" s="379">
        <f>'SGTO POAI VIGENCIA 2021'!BP181</f>
        <v>25000000</v>
      </c>
      <c r="D105" s="379">
        <f>'SGTO POAI VIGENCIA 2021'!BQ181</f>
        <v>24000000</v>
      </c>
      <c r="E105" s="108">
        <f t="shared" si="2"/>
        <v>0.96</v>
      </c>
      <c r="F105" s="379">
        <f>'SGTO POAI VIGENCIA 2021'!BR181</f>
        <v>24000000</v>
      </c>
      <c r="G105" s="108">
        <f t="shared" si="3"/>
        <v>1</v>
      </c>
    </row>
    <row r="106" spans="1:7" ht="90" customHeight="1" thickBot="1" x14ac:dyDescent="0.25">
      <c r="A106" s="80" t="s">
        <v>873</v>
      </c>
      <c r="B106" s="85" t="s">
        <v>1439</v>
      </c>
      <c r="C106" s="379">
        <f>'SGTO POAI VIGENCIA 2021'!BP182</f>
        <v>75112368</v>
      </c>
      <c r="D106" s="379">
        <f>'SGTO POAI VIGENCIA 2021'!BQ182</f>
        <v>71374050.390000001</v>
      </c>
      <c r="E106" s="108">
        <f t="shared" si="2"/>
        <v>0.95023033210722363</v>
      </c>
      <c r="F106" s="379">
        <f>'SGTO POAI VIGENCIA 2021'!BR182</f>
        <v>71374050.390000001</v>
      </c>
      <c r="G106" s="108">
        <f t="shared" si="3"/>
        <v>1</v>
      </c>
    </row>
    <row r="107" spans="1:7" ht="90" customHeight="1" thickBot="1" x14ac:dyDescent="0.25">
      <c r="A107" s="80" t="s">
        <v>881</v>
      </c>
      <c r="B107" s="85" t="s">
        <v>1440</v>
      </c>
      <c r="C107" s="379">
        <f>'SGTO POAI VIGENCIA 2021'!BP183+'SGTO POAI VIGENCIA 2021'!BP184</f>
        <v>47000000</v>
      </c>
      <c r="D107" s="379">
        <f>'SGTO POAI VIGENCIA 2021'!BQ183+'SGTO POAI VIGENCIA 2021'!BQ184</f>
        <v>45333347</v>
      </c>
      <c r="E107" s="108">
        <f t="shared" si="2"/>
        <v>0.96453929787234038</v>
      </c>
      <c r="F107" s="379">
        <f>'SGTO POAI VIGENCIA 2021'!BR183+'SGTO POAI VIGENCIA 2021'!BR184</f>
        <v>45333347</v>
      </c>
      <c r="G107" s="108">
        <f t="shared" si="3"/>
        <v>1</v>
      </c>
    </row>
    <row r="108" spans="1:7" ht="90" customHeight="1" thickBot="1" x14ac:dyDescent="0.25">
      <c r="A108" s="80" t="s">
        <v>890</v>
      </c>
      <c r="B108" s="85" t="s">
        <v>891</v>
      </c>
      <c r="C108" s="379">
        <f>'SGTO POAI VIGENCIA 2021'!BP185</f>
        <v>51681346</v>
      </c>
      <c r="D108" s="379">
        <f>'SGTO POAI VIGENCIA 2021'!BQ185</f>
        <v>51001400</v>
      </c>
      <c r="E108" s="108">
        <f t="shared" si="2"/>
        <v>0.98684349281460282</v>
      </c>
      <c r="F108" s="379">
        <f>'SGTO POAI VIGENCIA 2021'!BR185</f>
        <v>51001400</v>
      </c>
      <c r="G108" s="108">
        <f t="shared" si="3"/>
        <v>1</v>
      </c>
    </row>
    <row r="109" spans="1:7" ht="90" customHeight="1" thickBot="1" x14ac:dyDescent="0.25">
      <c r="A109" s="80" t="s">
        <v>899</v>
      </c>
      <c r="B109" s="86" t="s">
        <v>900</v>
      </c>
      <c r="C109" s="379">
        <f>'SGTO POAI VIGENCIA 2021'!BP186+'SGTO POAI VIGENCIA 2021'!BP187</f>
        <v>102080000</v>
      </c>
      <c r="D109" s="379">
        <f>'SGTO POAI VIGENCIA 2021'!BQ186+'SGTO POAI VIGENCIA 2021'!BQ187</f>
        <v>93951500</v>
      </c>
      <c r="E109" s="108">
        <f t="shared" si="2"/>
        <v>0.92037127742946712</v>
      </c>
      <c r="F109" s="379">
        <f>'SGTO POAI VIGENCIA 2021'!BR186+'SGTO POAI VIGENCIA 2021'!BR187</f>
        <v>93951500</v>
      </c>
      <c r="G109" s="108">
        <f t="shared" si="3"/>
        <v>1</v>
      </c>
    </row>
    <row r="110" spans="1:7" ht="90" customHeight="1" thickBot="1" x14ac:dyDescent="0.25">
      <c r="A110" s="79" t="s">
        <v>909</v>
      </c>
      <c r="B110" s="85" t="s">
        <v>1441</v>
      </c>
      <c r="C110" s="379">
        <f>'SGTO POAI VIGENCIA 2021'!BP188</f>
        <v>35000000</v>
      </c>
      <c r="D110" s="379">
        <f>'SGTO POAI VIGENCIA 2021'!BQ188</f>
        <v>34994000</v>
      </c>
      <c r="E110" s="108">
        <f t="shared" si="2"/>
        <v>0.9998285714285714</v>
      </c>
      <c r="F110" s="379">
        <f>'SGTO POAI VIGENCIA 2021'!BR188</f>
        <v>34994000</v>
      </c>
      <c r="G110" s="108">
        <f t="shared" si="3"/>
        <v>1</v>
      </c>
    </row>
    <row r="111" spans="1:7" ht="90" customHeight="1" thickBot="1" x14ac:dyDescent="0.25">
      <c r="A111" s="80" t="s">
        <v>956</v>
      </c>
      <c r="B111" s="85" t="s">
        <v>1442</v>
      </c>
      <c r="C111" s="379">
        <f>'SGTO POAI VIGENCIA 2021'!BP195</f>
        <v>90000000</v>
      </c>
      <c r="D111" s="379">
        <f>'SGTO POAI VIGENCIA 2021'!BQ195</f>
        <v>87541000</v>
      </c>
      <c r="E111" s="108">
        <f t="shared" si="2"/>
        <v>0.97267777777777775</v>
      </c>
      <c r="F111" s="379">
        <f>'SGTO POAI VIGENCIA 2021'!BR195</f>
        <v>87541000</v>
      </c>
      <c r="G111" s="108">
        <f t="shared" si="3"/>
        <v>1</v>
      </c>
    </row>
    <row r="112" spans="1:7" ht="90" customHeight="1" thickBot="1" x14ac:dyDescent="0.25">
      <c r="A112" s="80" t="s">
        <v>950</v>
      </c>
      <c r="B112" s="85" t="s">
        <v>951</v>
      </c>
      <c r="C112" s="379">
        <f>'SGTO POAI VIGENCIA 2021'!BP194</f>
        <v>77000000</v>
      </c>
      <c r="D112" s="379">
        <f>'SGTO POAI VIGENCIA 2021'!BQ194</f>
        <v>73301546</v>
      </c>
      <c r="E112" s="108">
        <f t="shared" si="2"/>
        <v>0.95196812987012991</v>
      </c>
      <c r="F112" s="379">
        <f>'SGTO POAI VIGENCIA 2021'!BR194</f>
        <v>73301546</v>
      </c>
      <c r="G112" s="108">
        <f t="shared" si="3"/>
        <v>1</v>
      </c>
    </row>
    <row r="113" spans="1:7" ht="90" customHeight="1" thickBot="1" x14ac:dyDescent="0.25">
      <c r="A113" s="80" t="s">
        <v>917</v>
      </c>
      <c r="B113" s="86" t="s">
        <v>1443</v>
      </c>
      <c r="C113" s="379">
        <f>'SGTO POAI VIGENCIA 2021'!BP189+'SGTO POAI VIGENCIA 2021'!BP190</f>
        <v>4652290244.0100002</v>
      </c>
      <c r="D113" s="379">
        <f>'SGTO POAI VIGENCIA 2021'!BQ189+'SGTO POAI VIGENCIA 2021'!BQ190</f>
        <v>3388046793.25</v>
      </c>
      <c r="E113" s="108">
        <f t="shared" si="2"/>
        <v>0.72825353009998428</v>
      </c>
      <c r="F113" s="379">
        <f>'SGTO POAI VIGENCIA 2021'!BR189+'SGTO POAI VIGENCIA 2021'!BR190</f>
        <v>3388046793.25</v>
      </c>
      <c r="G113" s="108">
        <f t="shared" si="3"/>
        <v>1</v>
      </c>
    </row>
    <row r="114" spans="1:7" ht="90" customHeight="1" thickBot="1" x14ac:dyDescent="0.25">
      <c r="A114" s="80" t="s">
        <v>983</v>
      </c>
      <c r="B114" s="85" t="s">
        <v>1444</v>
      </c>
      <c r="C114" s="379">
        <f>'SGTO POAI VIGENCIA 2021'!BP200</f>
        <v>143094503</v>
      </c>
      <c r="D114" s="379">
        <f>'SGTO POAI VIGENCIA 2021'!BQ200</f>
        <v>121765134</v>
      </c>
      <c r="E114" s="108">
        <f t="shared" si="2"/>
        <v>0.85094207986452142</v>
      </c>
      <c r="F114" s="379">
        <f>'SGTO POAI VIGENCIA 2021'!BR200</f>
        <v>121765134</v>
      </c>
      <c r="G114" s="108">
        <f t="shared" si="3"/>
        <v>1</v>
      </c>
    </row>
    <row r="115" spans="1:7" ht="90" customHeight="1" thickBot="1" x14ac:dyDescent="0.25">
      <c r="A115" s="80" t="s">
        <v>962</v>
      </c>
      <c r="B115" s="85" t="s">
        <v>1445</v>
      </c>
      <c r="C115" s="379">
        <f>'SGTO POAI VIGENCIA 2021'!BP196</f>
        <v>33000000</v>
      </c>
      <c r="D115" s="379">
        <f>'SGTO POAI VIGENCIA 2021'!BQ196</f>
        <v>26280000</v>
      </c>
      <c r="E115" s="108">
        <f t="shared" si="2"/>
        <v>0.79636363636363638</v>
      </c>
      <c r="F115" s="379">
        <f>'SGTO POAI VIGENCIA 2021'!BR196</f>
        <v>26280000</v>
      </c>
      <c r="G115" s="108">
        <f t="shared" si="3"/>
        <v>1</v>
      </c>
    </row>
    <row r="116" spans="1:7" ht="90" customHeight="1" thickBot="1" x14ac:dyDescent="0.25">
      <c r="A116" s="80" t="s">
        <v>966</v>
      </c>
      <c r="B116" s="86" t="s">
        <v>967</v>
      </c>
      <c r="C116" s="379">
        <f>'SGTO POAI VIGENCIA 2021'!BP197</f>
        <v>48000000</v>
      </c>
      <c r="D116" s="379">
        <f>'SGTO POAI VIGENCIA 2021'!BQ197</f>
        <v>34148219</v>
      </c>
      <c r="E116" s="108">
        <f t="shared" si="2"/>
        <v>0.71142122916666661</v>
      </c>
      <c r="F116" s="379">
        <f>'SGTO POAI VIGENCIA 2021'!BR197</f>
        <v>34148219</v>
      </c>
      <c r="G116" s="108">
        <f t="shared" si="3"/>
        <v>1</v>
      </c>
    </row>
    <row r="117" spans="1:7" ht="90" customHeight="1" thickBot="1" x14ac:dyDescent="0.25">
      <c r="A117" s="80" t="s">
        <v>929</v>
      </c>
      <c r="B117" s="86" t="s">
        <v>1446</v>
      </c>
      <c r="C117" s="379">
        <f>'SGTO POAI VIGENCIA 2021'!BP191</f>
        <v>18000000</v>
      </c>
      <c r="D117" s="379">
        <f>'SGTO POAI VIGENCIA 2021'!BQ191</f>
        <v>17310000</v>
      </c>
      <c r="E117" s="108">
        <f t="shared" si="2"/>
        <v>0.96166666666666667</v>
      </c>
      <c r="F117" s="379">
        <f>'SGTO POAI VIGENCIA 2021'!BR191</f>
        <v>17310000</v>
      </c>
      <c r="G117" s="108">
        <f t="shared" si="3"/>
        <v>1</v>
      </c>
    </row>
    <row r="118" spans="1:7" ht="90" customHeight="1" thickBot="1" x14ac:dyDescent="0.25">
      <c r="A118" s="80" t="s">
        <v>935</v>
      </c>
      <c r="B118" s="86" t="s">
        <v>1447</v>
      </c>
      <c r="C118" s="379">
        <f>'SGTO POAI VIGENCIA 2021'!BP192</f>
        <v>38195000</v>
      </c>
      <c r="D118" s="379">
        <f>'SGTO POAI VIGENCIA 2021'!BQ192</f>
        <v>37695000</v>
      </c>
      <c r="E118" s="108">
        <f t="shared" si="2"/>
        <v>0.98690928131954447</v>
      </c>
      <c r="F118" s="379">
        <f>'SGTO POAI VIGENCIA 2021'!BR192</f>
        <v>37695000</v>
      </c>
      <c r="G118" s="108">
        <f t="shared" si="3"/>
        <v>1</v>
      </c>
    </row>
    <row r="119" spans="1:7" ht="90" customHeight="1" thickBot="1" x14ac:dyDescent="0.25">
      <c r="A119" s="80" t="s">
        <v>942</v>
      </c>
      <c r="B119" s="86" t="s">
        <v>1448</v>
      </c>
      <c r="C119" s="379">
        <f>'SGTO POAI VIGENCIA 2021'!BP193</f>
        <v>18000000</v>
      </c>
      <c r="D119" s="379">
        <f>'SGTO POAI VIGENCIA 2021'!BQ193</f>
        <v>16863999</v>
      </c>
      <c r="E119" s="108">
        <f t="shared" si="2"/>
        <v>0.93688883333333328</v>
      </c>
      <c r="F119" s="379">
        <f>'SGTO POAI VIGENCIA 2021'!BR193</f>
        <v>16863999</v>
      </c>
      <c r="G119" s="108">
        <f t="shared" si="3"/>
        <v>1</v>
      </c>
    </row>
    <row r="120" spans="1:7" ht="90" customHeight="1" thickBot="1" x14ac:dyDescent="0.25">
      <c r="A120" s="106" t="str">
        <f>'SGTO POAI VIGENCIA 2021'!W198</f>
        <v>202000363-0150</v>
      </c>
      <c r="B120" s="87" t="s">
        <v>1449</v>
      </c>
      <c r="C120" s="379">
        <f>'SGTO POAI VIGENCIA 2021'!BP198</f>
        <v>50000000</v>
      </c>
      <c r="D120" s="379">
        <f>'SGTO POAI VIGENCIA 2021'!BQ198</f>
        <v>32713510</v>
      </c>
      <c r="E120" s="108">
        <f t="shared" si="2"/>
        <v>0.65427020000000002</v>
      </c>
      <c r="F120" s="379">
        <f>'SGTO POAI VIGENCIA 2021'!BR198</f>
        <v>32713510</v>
      </c>
      <c r="G120" s="108">
        <f t="shared" si="3"/>
        <v>1</v>
      </c>
    </row>
    <row r="121" spans="1:7" ht="90" customHeight="1" thickBot="1" x14ac:dyDescent="0.25">
      <c r="A121" s="107" t="str">
        <f>'SGTO POAI VIGENCIA 2021'!W199</f>
        <v>202000363-0151</v>
      </c>
      <c r="B121" s="85" t="s">
        <v>979</v>
      </c>
      <c r="C121" s="379">
        <f>'SGTO POAI VIGENCIA 2021'!BP199</f>
        <v>18000000</v>
      </c>
      <c r="D121" s="379">
        <f>'SGTO POAI VIGENCIA 2021'!BQ199</f>
        <v>18000000</v>
      </c>
      <c r="E121" s="108">
        <f t="shared" si="2"/>
        <v>1</v>
      </c>
      <c r="F121" s="379">
        <f>'SGTO POAI VIGENCIA 2021'!BR199</f>
        <v>18000000</v>
      </c>
      <c r="G121" s="108">
        <f t="shared" si="3"/>
        <v>1</v>
      </c>
    </row>
    <row r="122" spans="1:7" ht="20.100000000000001" customHeight="1" thickBot="1" x14ac:dyDescent="0.25">
      <c r="A122" s="653" t="s">
        <v>986</v>
      </c>
      <c r="B122" s="654"/>
      <c r="C122" s="522">
        <f>SUM(C123:C145)</f>
        <v>75161612366.110001</v>
      </c>
      <c r="D122" s="522">
        <f>SUM(D123:D145)</f>
        <v>69848426417.649994</v>
      </c>
      <c r="E122" s="524">
        <f t="shared" si="2"/>
        <v>0.92930984606104994</v>
      </c>
      <c r="F122" s="522">
        <f>SUM(F123:F145)</f>
        <v>69848426417.649994</v>
      </c>
      <c r="G122" s="523">
        <f t="shared" si="3"/>
        <v>1</v>
      </c>
    </row>
    <row r="123" spans="1:7" ht="90" customHeight="1" thickBot="1" x14ac:dyDescent="0.25">
      <c r="A123" s="80" t="s">
        <v>992</v>
      </c>
      <c r="B123" s="87" t="s">
        <v>993</v>
      </c>
      <c r="C123" s="379">
        <f>'SGTO POAI VIGENCIA 2021'!BP201+'SGTO POAI VIGENCIA 2021'!BP202+'SGTO POAI VIGENCIA 2021'!BP203+'SGTO POAI VIGENCIA 2021'!BP204+'SGTO POAI VIGENCIA 2021'!BP205+'SGTO POAI VIGENCIA 2021'!BP206+'SGTO POAI VIGENCIA 2021'!BP207+'SGTO POAI VIGENCIA 2021'!BP208</f>
        <v>1689281421.21</v>
      </c>
      <c r="D123" s="379">
        <f>'SGTO POAI VIGENCIA 2021'!BQ201+'SGTO POAI VIGENCIA 2021'!BQ202+'SGTO POAI VIGENCIA 2021'!BQ203+'SGTO POAI VIGENCIA 2021'!BQ204+'SGTO POAI VIGENCIA 2021'!BQ205+'SGTO POAI VIGENCIA 2021'!BQ206+'SGTO POAI VIGENCIA 2021'!BQ207+'SGTO POAI VIGENCIA 2021'!BQ208</f>
        <v>841973306.65999997</v>
      </c>
      <c r="E123" s="108">
        <f t="shared" si="2"/>
        <v>0.49842098308102539</v>
      </c>
      <c r="F123" s="379">
        <f>'SGTO POAI VIGENCIA 2021'!BR201+'SGTO POAI VIGENCIA 2021'!BR202+'SGTO POAI VIGENCIA 2021'!BR203+'SGTO POAI VIGENCIA 2021'!BR204+'SGTO POAI VIGENCIA 2021'!BR205+'SGTO POAI VIGENCIA 2021'!BR206+'SGTO POAI VIGENCIA 2021'!BR207+'SGTO POAI VIGENCIA 2021'!BR208</f>
        <v>841973306.65999997</v>
      </c>
      <c r="G123" s="108">
        <f t="shared" si="3"/>
        <v>1</v>
      </c>
    </row>
    <row r="124" spans="1:7" ht="90" customHeight="1" thickBot="1" x14ac:dyDescent="0.25">
      <c r="A124" s="80" t="s">
        <v>1018</v>
      </c>
      <c r="B124" s="86" t="s">
        <v>1450</v>
      </c>
      <c r="C124" s="379">
        <f>'SGTO POAI VIGENCIA 2021'!BP209+'SGTO POAI VIGENCIA 2021'!BP210</f>
        <v>293000000</v>
      </c>
      <c r="D124" s="379">
        <f>'SGTO POAI VIGENCIA 2021'!BQ209+'SGTO POAI VIGENCIA 2021'!BQ210</f>
        <v>263146999</v>
      </c>
      <c r="E124" s="108">
        <f t="shared" si="2"/>
        <v>0.89811262457337881</v>
      </c>
      <c r="F124" s="379">
        <f>'SGTO POAI VIGENCIA 2021'!BR209+'SGTO POAI VIGENCIA 2021'!BR210</f>
        <v>263146999</v>
      </c>
      <c r="G124" s="108">
        <f t="shared" si="3"/>
        <v>1</v>
      </c>
    </row>
    <row r="125" spans="1:7" ht="90" customHeight="1" thickBot="1" x14ac:dyDescent="0.25">
      <c r="A125" s="80" t="s">
        <v>1027</v>
      </c>
      <c r="B125" s="86" t="s">
        <v>1451</v>
      </c>
      <c r="C125" s="379">
        <f>'SGTO POAI VIGENCIA 2021'!BP211+'SGTO POAI VIGENCIA 2021'!BP212+'SGTO POAI VIGENCIA 2021'!BP213</f>
        <v>947714309</v>
      </c>
      <c r="D125" s="379">
        <f>'SGTO POAI VIGENCIA 2021'!BQ211+'SGTO POAI VIGENCIA 2021'!BQ212+'SGTO POAI VIGENCIA 2021'!BQ213</f>
        <v>885720656</v>
      </c>
      <c r="E125" s="108">
        <f t="shared" si="2"/>
        <v>0.93458613802569479</v>
      </c>
      <c r="F125" s="379">
        <f>'SGTO POAI VIGENCIA 2021'!BR211+'SGTO POAI VIGENCIA 2021'!BR212+'SGTO POAI VIGENCIA 2021'!BR213</f>
        <v>885720656</v>
      </c>
      <c r="G125" s="108">
        <f t="shared" si="3"/>
        <v>1</v>
      </c>
    </row>
    <row r="126" spans="1:7" ht="90" customHeight="1" thickBot="1" x14ac:dyDescent="0.25">
      <c r="A126" s="80" t="s">
        <v>1035</v>
      </c>
      <c r="B126" s="86" t="s">
        <v>1036</v>
      </c>
      <c r="C126" s="379">
        <f>'SGTO POAI VIGENCIA 2021'!BP214</f>
        <v>96954000</v>
      </c>
      <c r="D126" s="379">
        <f>'SGTO POAI VIGENCIA 2021'!BQ214</f>
        <v>54110832</v>
      </c>
      <c r="E126" s="108">
        <f t="shared" si="2"/>
        <v>0.5581082987808651</v>
      </c>
      <c r="F126" s="379">
        <f>'SGTO POAI VIGENCIA 2021'!BR214</f>
        <v>54110832</v>
      </c>
      <c r="G126" s="108">
        <f t="shared" si="3"/>
        <v>1</v>
      </c>
    </row>
    <row r="127" spans="1:7" ht="90" customHeight="1" thickBot="1" x14ac:dyDescent="0.25">
      <c r="A127" s="80" t="s">
        <v>1041</v>
      </c>
      <c r="B127" s="86" t="s">
        <v>1042</v>
      </c>
      <c r="C127" s="379">
        <f>'SGTO POAI VIGENCIA 2021'!BP215+'SGTO POAI VIGENCIA 2021'!BP216+'SGTO POAI VIGENCIA 2021'!BP217+'SGTO POAI VIGENCIA 2021'!BP218</f>
        <v>64636000</v>
      </c>
      <c r="D127" s="379">
        <f>'SGTO POAI VIGENCIA 2021'!BQ215+'SGTO POAI VIGENCIA 2021'!BQ216+'SGTO POAI VIGENCIA 2021'!BQ217+'SGTO POAI VIGENCIA 2021'!BQ218</f>
        <v>64636000</v>
      </c>
      <c r="E127" s="108">
        <f t="shared" si="2"/>
        <v>1</v>
      </c>
      <c r="F127" s="379">
        <f>'SGTO POAI VIGENCIA 2021'!BR215+'SGTO POAI VIGENCIA 2021'!BR216+'SGTO POAI VIGENCIA 2021'!BR217+'SGTO POAI VIGENCIA 2021'!BR218</f>
        <v>64636000</v>
      </c>
      <c r="G127" s="108">
        <f t="shared" si="3"/>
        <v>1</v>
      </c>
    </row>
    <row r="128" spans="1:7" ht="90" customHeight="1" thickBot="1" x14ac:dyDescent="0.25">
      <c r="A128" s="80" t="s">
        <v>1051</v>
      </c>
      <c r="B128" s="86" t="s">
        <v>1052</v>
      </c>
      <c r="C128" s="379">
        <f>'SGTO POAI VIGENCIA 2021'!BP219+'SGTO POAI VIGENCIA 2021'!BP220+'SGTO POAI VIGENCIA 2021'!BP221+'SGTO POAI VIGENCIA 2021'!BP222</f>
        <v>91081005</v>
      </c>
      <c r="D128" s="379">
        <f>'SGTO POAI VIGENCIA 2021'!BQ219+'SGTO POAI VIGENCIA 2021'!BQ220+'SGTO POAI VIGENCIA 2021'!BQ221+'SGTO POAI VIGENCIA 2021'!BQ222</f>
        <v>60093833</v>
      </c>
      <c r="E128" s="108">
        <f t="shared" si="2"/>
        <v>0.65978447427100739</v>
      </c>
      <c r="F128" s="379">
        <f>'SGTO POAI VIGENCIA 2021'!BR219+'SGTO POAI VIGENCIA 2021'!BR220+'SGTO POAI VIGENCIA 2021'!BR221+'SGTO POAI VIGENCIA 2021'!BR222</f>
        <v>60093833</v>
      </c>
      <c r="G128" s="108">
        <f t="shared" si="3"/>
        <v>1</v>
      </c>
    </row>
    <row r="129" spans="1:7" ht="90" customHeight="1" thickBot="1" x14ac:dyDescent="0.25">
      <c r="A129" s="80" t="s">
        <v>1064</v>
      </c>
      <c r="B129" s="86" t="s">
        <v>1452</v>
      </c>
      <c r="C129" s="379">
        <f>'SGTO POAI VIGENCIA 2021'!BP223+'SGTO POAI VIGENCIA 2021'!BP224</f>
        <v>76000000</v>
      </c>
      <c r="D129" s="379">
        <f>'SGTO POAI VIGENCIA 2021'!BQ223+'SGTO POAI VIGENCIA 2021'!BQ224</f>
        <v>76000000</v>
      </c>
      <c r="E129" s="108">
        <f t="shared" si="2"/>
        <v>1</v>
      </c>
      <c r="F129" s="379">
        <f>'SGTO POAI VIGENCIA 2021'!BR223+'SGTO POAI VIGENCIA 2021'!BR224</f>
        <v>76000000</v>
      </c>
      <c r="G129" s="108">
        <f t="shared" si="3"/>
        <v>1</v>
      </c>
    </row>
    <row r="130" spans="1:7" ht="90" customHeight="1" thickBot="1" x14ac:dyDescent="0.25">
      <c r="A130" s="80" t="s">
        <v>1071</v>
      </c>
      <c r="B130" s="86" t="s">
        <v>1453</v>
      </c>
      <c r="C130" s="379">
        <f>'SGTO POAI VIGENCIA 2021'!BP225+'SGTO POAI VIGENCIA 2021'!BP226+'SGTO POAI VIGENCIA 2021'!BP227+'SGTO POAI VIGENCIA 2021'!BP228+'SGTO POAI VIGENCIA 2021'!BP229+'SGTO POAI VIGENCIA 2021'!BP230+'SGTO POAI VIGENCIA 2021'!BP231</f>
        <v>200000000</v>
      </c>
      <c r="D130" s="379">
        <f>'SGTO POAI VIGENCIA 2021'!BQ225+'SGTO POAI VIGENCIA 2021'!BQ226+'SGTO POAI VIGENCIA 2021'!BQ227+'SGTO POAI VIGENCIA 2021'!BQ228+'SGTO POAI VIGENCIA 2021'!BQ229+'SGTO POAI VIGENCIA 2021'!BQ230+'SGTO POAI VIGENCIA 2021'!BQ231</f>
        <v>177905832</v>
      </c>
      <c r="E130" s="108">
        <f t="shared" si="2"/>
        <v>0.88952916000000004</v>
      </c>
      <c r="F130" s="379">
        <f>'SGTO POAI VIGENCIA 2021'!BR225+'SGTO POAI VIGENCIA 2021'!BR226+'SGTO POAI VIGENCIA 2021'!BR227+'SGTO POAI VIGENCIA 2021'!BR228+'SGTO POAI VIGENCIA 2021'!BR229+'SGTO POAI VIGENCIA 2021'!BR230+'SGTO POAI VIGENCIA 2021'!BR231</f>
        <v>177905832</v>
      </c>
      <c r="G130" s="108">
        <f t="shared" si="3"/>
        <v>1</v>
      </c>
    </row>
    <row r="131" spans="1:7" ht="90" customHeight="1" thickBot="1" x14ac:dyDescent="0.25">
      <c r="A131" s="80" t="s">
        <v>1093</v>
      </c>
      <c r="B131" s="86" t="s">
        <v>1094</v>
      </c>
      <c r="C131" s="379">
        <f>'SGTO POAI VIGENCIA 2021'!BP232+'SGTO POAI VIGENCIA 2021'!BP233</f>
        <v>161000000</v>
      </c>
      <c r="D131" s="379">
        <f>'SGTO POAI VIGENCIA 2021'!BQ232+'SGTO POAI VIGENCIA 2021'!BQ233</f>
        <v>141544833</v>
      </c>
      <c r="E131" s="108">
        <f t="shared" si="2"/>
        <v>0.87916045341614912</v>
      </c>
      <c r="F131" s="379">
        <f>'SGTO POAI VIGENCIA 2021'!BR232+'SGTO POAI VIGENCIA 2021'!BR233</f>
        <v>141544833</v>
      </c>
      <c r="G131" s="108">
        <f t="shared" si="3"/>
        <v>1</v>
      </c>
    </row>
    <row r="132" spans="1:7" ht="90" customHeight="1" thickBot="1" x14ac:dyDescent="0.25">
      <c r="A132" s="79" t="s">
        <v>1101</v>
      </c>
      <c r="B132" s="85" t="s">
        <v>1102</v>
      </c>
      <c r="C132" s="379">
        <f>'SGTO POAI VIGENCIA 2021'!BP234+'SGTO POAI VIGENCIA 2021'!BP235+'SGTO POAI VIGENCIA 2021'!BP236</f>
        <v>701597644</v>
      </c>
      <c r="D132" s="379">
        <f>'SGTO POAI VIGENCIA 2021'!BQ234+'SGTO POAI VIGENCIA 2021'!BQ235+'SGTO POAI VIGENCIA 2021'!BQ236</f>
        <v>120302495</v>
      </c>
      <c r="E132" s="108">
        <f t="shared" si="2"/>
        <v>0.17146935430701077</v>
      </c>
      <c r="F132" s="379">
        <f>'SGTO POAI VIGENCIA 2021'!BR234+'SGTO POAI VIGENCIA 2021'!BR235+'SGTO POAI VIGENCIA 2021'!BR236</f>
        <v>120302495</v>
      </c>
      <c r="G132" s="108">
        <f t="shared" si="3"/>
        <v>1</v>
      </c>
    </row>
    <row r="133" spans="1:7" ht="90" customHeight="1" thickBot="1" x14ac:dyDescent="0.25">
      <c r="A133" s="79" t="s">
        <v>1111</v>
      </c>
      <c r="B133" s="85" t="s">
        <v>1112</v>
      </c>
      <c r="C133" s="379">
        <f>'SGTO POAI VIGENCIA 2021'!BP237+'SGTO POAI VIGENCIA 2021'!BP238</f>
        <v>181000000</v>
      </c>
      <c r="D133" s="379">
        <f>'SGTO POAI VIGENCIA 2021'!BQ237+'SGTO POAI VIGENCIA 2021'!BQ238</f>
        <v>179846000</v>
      </c>
      <c r="E133" s="108">
        <f t="shared" ref="E133:E166" si="4">D133/C133</f>
        <v>0.9936243093922652</v>
      </c>
      <c r="F133" s="379">
        <f>'SGTO POAI VIGENCIA 2021'!BR237+'SGTO POAI VIGENCIA 2021'!BR238</f>
        <v>179846000</v>
      </c>
      <c r="G133" s="108">
        <f t="shared" ref="G133:G166" si="5">F133/D133</f>
        <v>1</v>
      </c>
    </row>
    <row r="134" spans="1:7" ht="90" customHeight="1" thickBot="1" x14ac:dyDescent="0.25">
      <c r="A134" s="79" t="s">
        <v>1116</v>
      </c>
      <c r="B134" s="85" t="s">
        <v>1117</v>
      </c>
      <c r="C134" s="379">
        <f>'SGTO POAI VIGENCIA 2021'!BP239+'SGTO POAI VIGENCIA 2021'!BP240+'SGTO POAI VIGENCIA 2021'!BP241</f>
        <v>1299584216.27</v>
      </c>
      <c r="D134" s="379">
        <f>'SGTO POAI VIGENCIA 2021'!BQ239+'SGTO POAI VIGENCIA 2021'!BQ240+'SGTO POAI VIGENCIA 2021'!BQ241</f>
        <v>138487565.75999999</v>
      </c>
      <c r="E134" s="108">
        <f t="shared" si="4"/>
        <v>0.1065629791638128</v>
      </c>
      <c r="F134" s="379">
        <f>'SGTO POAI VIGENCIA 2021'!BR239+'SGTO POAI VIGENCIA 2021'!BR240+'SGTO POAI VIGENCIA 2021'!BR241</f>
        <v>138487565.75999999</v>
      </c>
      <c r="G134" s="108">
        <f t="shared" si="5"/>
        <v>1</v>
      </c>
    </row>
    <row r="135" spans="1:7" ht="90" customHeight="1" thickBot="1" x14ac:dyDescent="0.25">
      <c r="A135" s="80" t="s">
        <v>1126</v>
      </c>
      <c r="B135" s="85" t="s">
        <v>1127</v>
      </c>
      <c r="C135" s="379">
        <f>'SGTO POAI VIGENCIA 2021'!BP242+'SGTO POAI VIGENCIA 2021'!BP243</f>
        <v>543927149</v>
      </c>
      <c r="D135" s="379">
        <f>'SGTO POAI VIGENCIA 2021'!BQ242+'SGTO POAI VIGENCIA 2021'!BQ243</f>
        <v>509922588</v>
      </c>
      <c r="E135" s="108">
        <f t="shared" si="4"/>
        <v>0.93748324373490688</v>
      </c>
      <c r="F135" s="379">
        <f>'SGTO POAI VIGENCIA 2021'!BR242+'SGTO POAI VIGENCIA 2021'!BR243</f>
        <v>509922588</v>
      </c>
      <c r="G135" s="108">
        <f t="shared" si="5"/>
        <v>1</v>
      </c>
    </row>
    <row r="136" spans="1:7" ht="90" customHeight="1" thickBot="1" x14ac:dyDescent="0.25">
      <c r="A136" s="79" t="s">
        <v>1129</v>
      </c>
      <c r="B136" s="85" t="s">
        <v>1130</v>
      </c>
      <c r="C136" s="379">
        <f>'SGTO POAI VIGENCIA 2021'!BP244+'SGTO POAI VIGENCIA 2021'!BP245</f>
        <v>222424239</v>
      </c>
      <c r="D136" s="379">
        <f>'SGTO POAI VIGENCIA 2021'!BQ244+'SGTO POAI VIGENCIA 2021'!BQ245</f>
        <v>177129469</v>
      </c>
      <c r="E136" s="108">
        <f t="shared" si="4"/>
        <v>0.79635866035266056</v>
      </c>
      <c r="F136" s="379">
        <f>'SGTO POAI VIGENCIA 2021'!BR244+'SGTO POAI VIGENCIA 2021'!BR245</f>
        <v>177129469</v>
      </c>
      <c r="G136" s="108">
        <f t="shared" si="5"/>
        <v>1</v>
      </c>
    </row>
    <row r="137" spans="1:7" ht="90" customHeight="1" thickBot="1" x14ac:dyDescent="0.25">
      <c r="A137" s="80" t="s">
        <v>1133</v>
      </c>
      <c r="B137" s="85" t="s">
        <v>1134</v>
      </c>
      <c r="C137" s="379">
        <f>'SGTO POAI VIGENCIA 2021'!BP246</f>
        <v>1100000000</v>
      </c>
      <c r="D137" s="379">
        <f>'SGTO POAI VIGENCIA 2021'!BQ246</f>
        <v>1059833419</v>
      </c>
      <c r="E137" s="108">
        <f t="shared" si="4"/>
        <v>0.96348492636363636</v>
      </c>
      <c r="F137" s="379">
        <f>'SGTO POAI VIGENCIA 2021'!BR246</f>
        <v>1059833419</v>
      </c>
      <c r="G137" s="108">
        <f t="shared" si="5"/>
        <v>1</v>
      </c>
    </row>
    <row r="138" spans="1:7" ht="90" customHeight="1" thickBot="1" x14ac:dyDescent="0.25">
      <c r="A138" s="80" t="s">
        <v>1139</v>
      </c>
      <c r="B138" s="85" t="s">
        <v>1140</v>
      </c>
      <c r="C138" s="379">
        <f>'SGTO POAI VIGENCIA 2021'!BP247</f>
        <v>20000000</v>
      </c>
      <c r="D138" s="379">
        <f>'SGTO POAI VIGENCIA 2021'!BQ247</f>
        <v>19906500</v>
      </c>
      <c r="E138" s="108">
        <f t="shared" si="4"/>
        <v>0.99532500000000002</v>
      </c>
      <c r="F138" s="379">
        <f>'SGTO POAI VIGENCIA 2021'!BR247</f>
        <v>19906500</v>
      </c>
      <c r="G138" s="108">
        <f t="shared" si="5"/>
        <v>1</v>
      </c>
    </row>
    <row r="139" spans="1:7" ht="90" customHeight="1" thickBot="1" x14ac:dyDescent="0.25">
      <c r="A139" s="80" t="s">
        <v>1144</v>
      </c>
      <c r="B139" s="85" t="s">
        <v>1145</v>
      </c>
      <c r="C139" s="379">
        <f>'SGTO POAI VIGENCIA 2021'!BP248</f>
        <v>84414100</v>
      </c>
      <c r="D139" s="379">
        <f>'SGTO POAI VIGENCIA 2021'!BQ248</f>
        <v>82799499</v>
      </c>
      <c r="E139" s="108">
        <f t="shared" si="4"/>
        <v>0.98087285181030182</v>
      </c>
      <c r="F139" s="379">
        <f>'SGTO POAI VIGENCIA 2021'!BR248</f>
        <v>82799499</v>
      </c>
      <c r="G139" s="108">
        <f t="shared" si="5"/>
        <v>1</v>
      </c>
    </row>
    <row r="140" spans="1:7" ht="90" customHeight="1" thickBot="1" x14ac:dyDescent="0.25">
      <c r="A140" s="80" t="s">
        <v>1148</v>
      </c>
      <c r="B140" s="85" t="s">
        <v>1149</v>
      </c>
      <c r="C140" s="379">
        <f>'SGTO POAI VIGENCIA 2021'!BP249</f>
        <v>320000000</v>
      </c>
      <c r="D140" s="379">
        <f>'SGTO POAI VIGENCIA 2021'!BQ249</f>
        <v>308460000</v>
      </c>
      <c r="E140" s="108">
        <f t="shared" si="4"/>
        <v>0.9639375</v>
      </c>
      <c r="F140" s="379">
        <f>'SGTO POAI VIGENCIA 2021'!BR249</f>
        <v>308460000</v>
      </c>
      <c r="G140" s="108">
        <f t="shared" si="5"/>
        <v>1</v>
      </c>
    </row>
    <row r="141" spans="1:7" ht="90" customHeight="1" thickBot="1" x14ac:dyDescent="0.25">
      <c r="A141" s="80" t="s">
        <v>1158</v>
      </c>
      <c r="B141" s="86" t="s">
        <v>1159</v>
      </c>
      <c r="C141" s="379">
        <f>'SGTO POAI VIGENCIA 2021'!BP250</f>
        <v>321904376</v>
      </c>
      <c r="D141" s="379">
        <f>'SGTO POAI VIGENCIA 2021'!BQ250</f>
        <v>302979740</v>
      </c>
      <c r="E141" s="108">
        <f t="shared" si="4"/>
        <v>0.94121037981788724</v>
      </c>
      <c r="F141" s="379">
        <f>'SGTO POAI VIGENCIA 2021'!BR250</f>
        <v>302979740</v>
      </c>
      <c r="G141" s="108">
        <f t="shared" si="5"/>
        <v>1</v>
      </c>
    </row>
    <row r="142" spans="1:7" ht="90" customHeight="1" thickBot="1" x14ac:dyDescent="0.25">
      <c r="A142" s="80" t="s">
        <v>1161</v>
      </c>
      <c r="B142" s="86" t="s">
        <v>1162</v>
      </c>
      <c r="C142" s="379">
        <f>'SGTO POAI VIGENCIA 2021'!BP251</f>
        <v>1760866325.49</v>
      </c>
      <c r="D142" s="379">
        <f>'SGTO POAI VIGENCIA 2021'!BQ251</f>
        <v>1199652532</v>
      </c>
      <c r="E142" s="108">
        <f t="shared" si="4"/>
        <v>0.68128540743498522</v>
      </c>
      <c r="F142" s="379">
        <f>'SGTO POAI VIGENCIA 2021'!BR251</f>
        <v>1199652532</v>
      </c>
      <c r="G142" s="108">
        <f t="shared" si="5"/>
        <v>1</v>
      </c>
    </row>
    <row r="143" spans="1:7" ht="90" customHeight="1" thickBot="1" x14ac:dyDescent="0.25">
      <c r="A143" s="79" t="s">
        <v>1166</v>
      </c>
      <c r="B143" s="85" t="s">
        <v>1167</v>
      </c>
      <c r="C143" s="379">
        <f>'SGTO POAI VIGENCIA 2021'!BP252+'SGTO POAI VIGENCIA 2021'!BP253</f>
        <v>35074003100.099998</v>
      </c>
      <c r="D143" s="379">
        <f>'SGTO POAI VIGENCIA 2021'!BQ252+'SGTO POAI VIGENCIA 2021'!BQ253</f>
        <v>35074003100.099998</v>
      </c>
      <c r="E143" s="108">
        <f t="shared" si="4"/>
        <v>1</v>
      </c>
      <c r="F143" s="379">
        <f>'SGTO POAI VIGENCIA 2021'!BR252+'SGTO POAI VIGENCIA 2021'!BR253</f>
        <v>35074003100.099998</v>
      </c>
      <c r="G143" s="108">
        <f t="shared" si="5"/>
        <v>1</v>
      </c>
    </row>
    <row r="144" spans="1:7" ht="90" customHeight="1" thickBot="1" x14ac:dyDescent="0.25">
      <c r="A144" s="79" t="s">
        <v>1177</v>
      </c>
      <c r="B144" s="85" t="s">
        <v>1454</v>
      </c>
      <c r="C144" s="379">
        <f>'SGTO POAI VIGENCIA 2021'!BP254+'SGTO POAI VIGENCIA 2021'!BP255+'SGTO POAI VIGENCIA 2021'!BP256</f>
        <v>27242543268.709999</v>
      </c>
      <c r="D144" s="379">
        <f>'SGTO POAI VIGENCIA 2021'!BQ254+'SGTO POAI VIGENCIA 2021'!BQ255+'SGTO POAI VIGENCIA 2021'!BQ256</f>
        <v>26126352073.919998</v>
      </c>
      <c r="E144" s="108">
        <f t="shared" si="4"/>
        <v>0.95902764349934888</v>
      </c>
      <c r="F144" s="379">
        <f>'SGTO POAI VIGENCIA 2021'!BR254+'SGTO POAI VIGENCIA 2021'!BR255+'SGTO POAI VIGENCIA 2021'!BR256</f>
        <v>26126352073.919998</v>
      </c>
      <c r="G144" s="108">
        <f t="shared" si="5"/>
        <v>1</v>
      </c>
    </row>
    <row r="145" spans="1:7" ht="90" customHeight="1" thickBot="1" x14ac:dyDescent="0.25">
      <c r="A145" s="80" t="s">
        <v>1188</v>
      </c>
      <c r="B145" s="86" t="s">
        <v>1189</v>
      </c>
      <c r="C145" s="379">
        <f>'SGTO POAI VIGENCIA 2021'!BP257+'SGTO POAI VIGENCIA 2021'!BP258+'SGTO POAI VIGENCIA 2021'!BP259+'SGTO POAI VIGENCIA 2021'!BP260+'SGTO POAI VIGENCIA 2021'!BP261</f>
        <v>2669681212.3299999</v>
      </c>
      <c r="D145" s="379">
        <f>'SGTO POAI VIGENCIA 2021'!BQ257+'SGTO POAI VIGENCIA 2021'!BQ258+'SGTO POAI VIGENCIA 2021'!BQ259+'SGTO POAI VIGENCIA 2021'!BQ260+'SGTO POAI VIGENCIA 2021'!BQ261</f>
        <v>1983619144.21</v>
      </c>
      <c r="E145" s="108">
        <f t="shared" si="4"/>
        <v>0.74301723181352053</v>
      </c>
      <c r="F145" s="379">
        <f>'SGTO POAI VIGENCIA 2021'!BR257+'SGTO POAI VIGENCIA 2021'!BR258+'SGTO POAI VIGENCIA 2021'!BR259+'SGTO POAI VIGENCIA 2021'!BR260+'SGTO POAI VIGENCIA 2021'!BR261</f>
        <v>1983619144.21</v>
      </c>
      <c r="G145" s="108">
        <f t="shared" si="5"/>
        <v>1</v>
      </c>
    </row>
    <row r="146" spans="1:7" ht="20.100000000000001" customHeight="1" thickBot="1" x14ac:dyDescent="0.25">
      <c r="A146" s="653" t="s">
        <v>1455</v>
      </c>
      <c r="B146" s="654"/>
      <c r="C146" s="522">
        <f>SUM(C147:C152)</f>
        <v>1196000000</v>
      </c>
      <c r="D146" s="522">
        <f>SUM(D147:D152)</f>
        <v>1057106946.9200001</v>
      </c>
      <c r="E146" s="524">
        <f t="shared" si="4"/>
        <v>0.88386868471571911</v>
      </c>
      <c r="F146" s="522">
        <f>SUM(F147:F152)</f>
        <v>1057106946.9200001</v>
      </c>
      <c r="G146" s="523">
        <f t="shared" si="5"/>
        <v>1</v>
      </c>
    </row>
    <row r="147" spans="1:7" ht="90" customHeight="1" thickBot="1" x14ac:dyDescent="0.25">
      <c r="A147" s="79" t="s">
        <v>1203</v>
      </c>
      <c r="B147" s="87" t="s">
        <v>1456</v>
      </c>
      <c r="C147" s="379">
        <f>'SGTO POAI VIGENCIA 2021'!BP262+'SGTO POAI VIGENCIA 2021'!BP263+'SGTO POAI VIGENCIA 2021'!BP264+'SGTO POAI VIGENCIA 2021'!BP265</f>
        <v>325460000</v>
      </c>
      <c r="D147" s="379">
        <f>'SGTO POAI VIGENCIA 2021'!BQ262+'SGTO POAI VIGENCIA 2021'!BQ263+'SGTO POAI VIGENCIA 2021'!BQ264+'SGTO POAI VIGENCIA 2021'!BQ265</f>
        <v>274223114.42000002</v>
      </c>
      <c r="E147" s="108">
        <f t="shared" si="4"/>
        <v>0.84257086714189156</v>
      </c>
      <c r="F147" s="379">
        <f>'SGTO POAI VIGENCIA 2021'!BR262+'SGTO POAI VIGENCIA 2021'!BR263+'SGTO POAI VIGENCIA 2021'!BR264+'SGTO POAI VIGENCIA 2021'!BR265</f>
        <v>274223114.42000002</v>
      </c>
      <c r="G147" s="108">
        <f t="shared" si="5"/>
        <v>1</v>
      </c>
    </row>
    <row r="148" spans="1:7" ht="90" customHeight="1" thickBot="1" x14ac:dyDescent="0.25">
      <c r="A148" s="82" t="s">
        <v>1216</v>
      </c>
      <c r="B148" s="85" t="s">
        <v>1217</v>
      </c>
      <c r="C148" s="379">
        <f>'SGTO POAI VIGENCIA 2021'!BP266+'SGTO POAI VIGENCIA 2021'!BP267+'SGTO POAI VIGENCIA 2021'!BP268+'SGTO POAI VIGENCIA 2021'!BP269+'SGTO POAI VIGENCIA 2021'!BP270</f>
        <v>348540000</v>
      </c>
      <c r="D148" s="379">
        <f>'SGTO POAI VIGENCIA 2021'!BQ266+'SGTO POAI VIGENCIA 2021'!BQ267+'SGTO POAI VIGENCIA 2021'!BQ268+'SGTO POAI VIGENCIA 2021'!BQ269+'SGTO POAI VIGENCIA 2021'!BQ270</f>
        <v>309915001</v>
      </c>
      <c r="E148" s="108">
        <f t="shared" si="4"/>
        <v>0.88918058472485229</v>
      </c>
      <c r="F148" s="379">
        <f>'SGTO POAI VIGENCIA 2021'!BR266+'SGTO POAI VIGENCIA 2021'!BR267+'SGTO POAI VIGENCIA 2021'!BR268+'SGTO POAI VIGENCIA 2021'!BR269+'SGTO POAI VIGENCIA 2021'!BR270</f>
        <v>309915001</v>
      </c>
      <c r="G148" s="108">
        <f t="shared" si="5"/>
        <v>1</v>
      </c>
    </row>
    <row r="149" spans="1:7" ht="90" customHeight="1" thickBot="1" x14ac:dyDescent="0.25">
      <c r="A149" s="81" t="s">
        <v>1227</v>
      </c>
      <c r="B149" s="86" t="s">
        <v>1228</v>
      </c>
      <c r="C149" s="379">
        <f>'SGTO POAI VIGENCIA 2021'!BP271+'SGTO POAI VIGENCIA 2021'!BP272+'SGTO POAI VIGENCIA 2021'!BP273+'SGTO POAI VIGENCIA 2021'!BP274+'SGTO POAI VIGENCIA 2021'!BP275</f>
        <v>146000000</v>
      </c>
      <c r="D149" s="379">
        <f>'SGTO POAI VIGENCIA 2021'!BQ271+'SGTO POAI VIGENCIA 2021'!BQ272+'SGTO POAI VIGENCIA 2021'!BQ273+'SGTO POAI VIGENCIA 2021'!BQ274+'SGTO POAI VIGENCIA 2021'!BQ275</f>
        <v>130610834</v>
      </c>
      <c r="E149" s="108">
        <f t="shared" si="4"/>
        <v>0.89459475342465755</v>
      </c>
      <c r="F149" s="379">
        <f>'SGTO POAI VIGENCIA 2021'!BR271+'SGTO POAI VIGENCIA 2021'!BR272+'SGTO POAI VIGENCIA 2021'!BR273+'SGTO POAI VIGENCIA 2021'!BR274+'SGTO POAI VIGENCIA 2021'!BR275</f>
        <v>130610834</v>
      </c>
      <c r="G149" s="108">
        <f t="shared" si="5"/>
        <v>1</v>
      </c>
    </row>
    <row r="150" spans="1:7" ht="90" customHeight="1" thickBot="1" x14ac:dyDescent="0.25">
      <c r="A150" s="81" t="s">
        <v>1245</v>
      </c>
      <c r="B150" s="85" t="s">
        <v>1246</v>
      </c>
      <c r="C150" s="379">
        <f>'SGTO POAI VIGENCIA 2021'!BP276+'SGTO POAI VIGENCIA 2021'!BP277+'SGTO POAI VIGENCIA 2021'!BP278</f>
        <v>60000000</v>
      </c>
      <c r="D150" s="379">
        <f>'SGTO POAI VIGENCIA 2021'!BQ276+'SGTO POAI VIGENCIA 2021'!BQ277+'SGTO POAI VIGENCIA 2021'!BQ278</f>
        <v>58180832</v>
      </c>
      <c r="E150" s="108">
        <f t="shared" si="4"/>
        <v>0.96968053333333337</v>
      </c>
      <c r="F150" s="379">
        <f>'SGTO POAI VIGENCIA 2021'!BR276+'SGTO POAI VIGENCIA 2021'!BR277+'SGTO POAI VIGENCIA 2021'!BR278</f>
        <v>58180832</v>
      </c>
      <c r="G150" s="108">
        <f t="shared" si="5"/>
        <v>1</v>
      </c>
    </row>
    <row r="151" spans="1:7" ht="90" customHeight="1" thickBot="1" x14ac:dyDescent="0.25">
      <c r="A151" s="81" t="s">
        <v>1255</v>
      </c>
      <c r="B151" s="85" t="s">
        <v>1457</v>
      </c>
      <c r="C151" s="379">
        <f>'SGTO POAI VIGENCIA 2021'!BP279</f>
        <v>18000000</v>
      </c>
      <c r="D151" s="379">
        <f>'SGTO POAI VIGENCIA 2021'!BQ279</f>
        <v>6600000</v>
      </c>
      <c r="E151" s="108">
        <f t="shared" si="4"/>
        <v>0.36666666666666664</v>
      </c>
      <c r="F151" s="379">
        <f>'SGTO POAI VIGENCIA 2021'!BR279</f>
        <v>6600000</v>
      </c>
      <c r="G151" s="108">
        <f t="shared" si="5"/>
        <v>1</v>
      </c>
    </row>
    <row r="152" spans="1:7" ht="90" customHeight="1" thickBot="1" x14ac:dyDescent="0.25">
      <c r="A152" s="81" t="s">
        <v>1261</v>
      </c>
      <c r="B152" s="86" t="s">
        <v>1458</v>
      </c>
      <c r="C152" s="379">
        <f>'SGTO POAI VIGENCIA 2021'!BP280+'SGTO POAI VIGENCIA 2021'!BP281+'SGTO POAI VIGENCIA 2021'!BP282+'SGTO POAI VIGENCIA 2021'!BP283+'SGTO POAI VIGENCIA 2021'!BP284+'SGTO POAI VIGENCIA 2021'!BP285</f>
        <v>298000000</v>
      </c>
      <c r="D152" s="379">
        <f>'SGTO POAI VIGENCIA 2021'!BQ280+'SGTO POAI VIGENCIA 2021'!BQ281+'SGTO POAI VIGENCIA 2021'!BQ282+'SGTO POAI VIGENCIA 2021'!BQ283+'SGTO POAI VIGENCIA 2021'!BQ284+'SGTO POAI VIGENCIA 2021'!BQ285</f>
        <v>277577165.5</v>
      </c>
      <c r="E152" s="108">
        <f t="shared" si="4"/>
        <v>0.93146699832214763</v>
      </c>
      <c r="F152" s="379">
        <f>'SGTO POAI VIGENCIA 2021'!BR280+'SGTO POAI VIGENCIA 2021'!BR281+'SGTO POAI VIGENCIA 2021'!BR282+'SGTO POAI VIGENCIA 2021'!BR283+'SGTO POAI VIGENCIA 2021'!BR284+'SGTO POAI VIGENCIA 2021'!BR285</f>
        <v>277577165.5</v>
      </c>
      <c r="G152" s="108">
        <f t="shared" si="5"/>
        <v>1</v>
      </c>
    </row>
    <row r="153" spans="1:7" s="91" customFormat="1" ht="20.100000000000001" customHeight="1" thickBot="1" x14ac:dyDescent="0.3">
      <c r="A153" s="651" t="s">
        <v>1459</v>
      </c>
      <c r="B153" s="652"/>
      <c r="C153" s="513">
        <f>C146+C122+C93+C83+C79+C59+C53+C48+C35+C20+C17+C9+C4</f>
        <v>319490464131.90997</v>
      </c>
      <c r="D153" s="513">
        <f>D146+D122+D93+D83+D79+D59+D53+D48+D35+D20+D17+D9+D4</f>
        <v>286065239361.57996</v>
      </c>
      <c r="E153" s="514">
        <f t="shared" si="4"/>
        <v>0.89537958554991637</v>
      </c>
      <c r="F153" s="513">
        <f>F146+F122+F93+F83+F79+F59+F53+F48+F35+F20+F17+F9+F4</f>
        <v>286065239361.57996</v>
      </c>
      <c r="G153" s="514">
        <f t="shared" si="5"/>
        <v>1</v>
      </c>
    </row>
    <row r="154" spans="1:7" ht="20.100000000000001" customHeight="1" thickBot="1" x14ac:dyDescent="0.25">
      <c r="A154" s="653" t="s">
        <v>1273</v>
      </c>
      <c r="B154" s="654"/>
      <c r="C154" s="522">
        <f>SUM(C155:C157)</f>
        <v>7160417690.0299997</v>
      </c>
      <c r="D154" s="522">
        <f>SUM(D155:D157)</f>
        <v>4672994056.9699993</v>
      </c>
      <c r="E154" s="524">
        <f t="shared" si="4"/>
        <v>0.65261472993070901</v>
      </c>
      <c r="F154" s="522">
        <f>SUM(F155:F157)</f>
        <v>4652079056.9699993</v>
      </c>
      <c r="G154" s="523">
        <f t="shared" si="5"/>
        <v>0.99552428277352412</v>
      </c>
    </row>
    <row r="155" spans="1:7" ht="90" customHeight="1" thickBot="1" x14ac:dyDescent="0.25">
      <c r="A155" s="83" t="s">
        <v>1460</v>
      </c>
      <c r="B155" s="86" t="s">
        <v>1277</v>
      </c>
      <c r="C155" s="379">
        <f>'SGTO POAI VIGENCIA 2021'!BP286+'SGTO POAI VIGENCIA 2021'!BP287+'SGTO POAI VIGENCIA 2021'!BP288+'SGTO POAI VIGENCIA 2021'!BP289</f>
        <v>2847287098.98</v>
      </c>
      <c r="D155" s="379">
        <f>'SGTO POAI VIGENCIA 2021'!BQ286+'SGTO POAI VIGENCIA 2021'!BQ287+'SGTO POAI VIGENCIA 2021'!BQ288+'SGTO POAI VIGENCIA 2021'!BQ289</f>
        <v>2191949700.79</v>
      </c>
      <c r="E155" s="108">
        <f t="shared" si="4"/>
        <v>0.76983796315279718</v>
      </c>
      <c r="F155" s="379">
        <f>'SGTO POAI VIGENCIA 2021'!BR286+'SGTO POAI VIGENCIA 2021'!BR287+'SGTO POAI VIGENCIA 2021'!BR288+'SGTO POAI VIGENCIA 2021'!BR289</f>
        <v>2191949700.79</v>
      </c>
      <c r="G155" s="108">
        <f t="shared" si="5"/>
        <v>1</v>
      </c>
    </row>
    <row r="156" spans="1:7" ht="90" customHeight="1" thickBot="1" x14ac:dyDescent="0.25">
      <c r="A156" s="83" t="s">
        <v>1461</v>
      </c>
      <c r="B156" s="85" t="s">
        <v>1291</v>
      </c>
      <c r="C156" s="379">
        <f>'SGTO POAI VIGENCIA 2021'!BP290</f>
        <v>4186248516.4099998</v>
      </c>
      <c r="D156" s="379">
        <f>'SGTO POAI VIGENCIA 2021'!BQ290</f>
        <v>2404633024.1799998</v>
      </c>
      <c r="E156" s="108">
        <f t="shared" si="4"/>
        <v>0.57441239208658845</v>
      </c>
      <c r="F156" s="379">
        <f>'SGTO POAI VIGENCIA 2021'!BR290</f>
        <v>2383718024.1799998</v>
      </c>
      <c r="G156" s="108">
        <f t="shared" si="5"/>
        <v>0.99130220711863837</v>
      </c>
    </row>
    <row r="157" spans="1:7" ht="90" customHeight="1" thickBot="1" x14ac:dyDescent="0.25">
      <c r="A157" s="84" t="s">
        <v>1462</v>
      </c>
      <c r="B157" s="85" t="s">
        <v>1463</v>
      </c>
      <c r="C157" s="379">
        <f>'SGTO POAI VIGENCIA 2021'!BP291</f>
        <v>126882074.64</v>
      </c>
      <c r="D157" s="379">
        <f>'SGTO POAI VIGENCIA 2021'!BQ291</f>
        <v>76411332</v>
      </c>
      <c r="E157" s="108">
        <f t="shared" si="4"/>
        <v>0.60222322354674895</v>
      </c>
      <c r="F157" s="379">
        <f>'SGTO POAI VIGENCIA 2021'!BR291</f>
        <v>76411332</v>
      </c>
      <c r="G157" s="108">
        <f t="shared" si="5"/>
        <v>1</v>
      </c>
    </row>
    <row r="158" spans="1:7" ht="20.100000000000001" customHeight="1" thickBot="1" x14ac:dyDescent="0.25">
      <c r="A158" s="653" t="s">
        <v>1299</v>
      </c>
      <c r="B158" s="654"/>
      <c r="C158" s="522">
        <f>SUM(C159:C162)</f>
        <v>2637286334.9400001</v>
      </c>
      <c r="D158" s="522">
        <f>SUM(D159:D162)</f>
        <v>2383790557.2240133</v>
      </c>
      <c r="E158" s="524">
        <f t="shared" si="4"/>
        <v>0.90388007007143811</v>
      </c>
      <c r="F158" s="522">
        <f>SUM(F159:F162)</f>
        <v>2216880294.2925234</v>
      </c>
      <c r="G158" s="523">
        <f t="shared" si="5"/>
        <v>0.92998115441573803</v>
      </c>
    </row>
    <row r="159" spans="1:7" ht="90" customHeight="1" thickBot="1" x14ac:dyDescent="0.25">
      <c r="A159" s="81" t="s">
        <v>1302</v>
      </c>
      <c r="B159" s="86" t="s">
        <v>1464</v>
      </c>
      <c r="C159" s="379">
        <f>'SGTO POAI VIGENCIA 2021'!BP292</f>
        <v>690464077.75999999</v>
      </c>
      <c r="D159" s="379">
        <f>'SGTO POAI VIGENCIA 2021'!BQ292</f>
        <v>683590194.49999976</v>
      </c>
      <c r="E159" s="108">
        <f t="shared" si="4"/>
        <v>0.99004454615177018</v>
      </c>
      <c r="F159" s="379">
        <f>'SGTO POAI VIGENCIA 2021'!BR292</f>
        <v>683590194.49999976</v>
      </c>
      <c r="G159" s="108">
        <f t="shared" si="5"/>
        <v>1</v>
      </c>
    </row>
    <row r="160" spans="1:7" ht="90" customHeight="1" thickBot="1" x14ac:dyDescent="0.25">
      <c r="A160" s="81" t="s">
        <v>1305</v>
      </c>
      <c r="B160" s="86" t="s">
        <v>1306</v>
      </c>
      <c r="C160" s="379">
        <f>'SGTO POAI VIGENCIA 2021'!BP293</f>
        <v>329008863.94999999</v>
      </c>
      <c r="D160" s="379">
        <f>'SGTO POAI VIGENCIA 2021'!BQ293</f>
        <v>290761030.31</v>
      </c>
      <c r="E160" s="108">
        <f t="shared" si="4"/>
        <v>0.88374831856866753</v>
      </c>
      <c r="F160" s="379">
        <f>'SGTO POAI VIGENCIA 2021'!BR293</f>
        <v>290761030.31</v>
      </c>
      <c r="G160" s="108">
        <f t="shared" si="5"/>
        <v>1</v>
      </c>
    </row>
    <row r="161" spans="1:7" ht="90" customHeight="1" thickBot="1" x14ac:dyDescent="0.25">
      <c r="A161" s="81" t="s">
        <v>1309</v>
      </c>
      <c r="B161" s="86" t="s">
        <v>1465</v>
      </c>
      <c r="C161" s="379">
        <f>'SGTO POAI VIGENCIA 2021'!BP294</f>
        <v>348896731.19999999</v>
      </c>
      <c r="D161" s="379">
        <f>'SGTO POAI VIGENCIA 2021'!BQ294</f>
        <v>347384923.11000001</v>
      </c>
      <c r="E161" s="108">
        <f t="shared" si="4"/>
        <v>0.99566688949821847</v>
      </c>
      <c r="F161" s="379">
        <f>'SGTO POAI VIGENCIA 2021'!BR294</f>
        <v>240924657.09</v>
      </c>
      <c r="G161" s="108">
        <f t="shared" si="5"/>
        <v>0.69353803536750158</v>
      </c>
    </row>
    <row r="162" spans="1:7" ht="90" customHeight="1" thickBot="1" x14ac:dyDescent="0.25">
      <c r="A162" s="81" t="s">
        <v>1315</v>
      </c>
      <c r="B162" s="86" t="s">
        <v>1466</v>
      </c>
      <c r="C162" s="379">
        <f>'SGTO POAI VIGENCIA 2021'!BP295+'SGTO POAI VIGENCIA 2021'!BP296+'SGTO POAI VIGENCIA 2021'!BP297+'SGTO POAI VIGENCIA 2021'!BP298+'SGTO POAI VIGENCIA 2021'!BP299+'SGTO POAI VIGENCIA 2021'!BP300+'SGTO POAI VIGENCIA 2021'!BP301</f>
        <v>1268916662.03</v>
      </c>
      <c r="D162" s="379">
        <f>'SGTO POAI VIGENCIA 2021'!BQ295+'SGTO POAI VIGENCIA 2021'!BQ296+'SGTO POAI VIGENCIA 2021'!BQ297+'SGTO POAI VIGENCIA 2021'!BQ298+'SGTO POAI VIGENCIA 2021'!BQ299+'SGTO POAI VIGENCIA 2021'!BQ300+'SGTO POAI VIGENCIA 2021'!BQ301</f>
        <v>1062054409.304014</v>
      </c>
      <c r="E162" s="108">
        <f t="shared" si="4"/>
        <v>0.83697727446099579</v>
      </c>
      <c r="F162" s="379">
        <f>'SGTO POAI VIGENCIA 2021'!BR295+'SGTO POAI VIGENCIA 2021'!BR296+'SGTO POAI VIGENCIA 2021'!BR297+'SGTO POAI VIGENCIA 2021'!BR298+'SGTO POAI VIGENCIA 2021'!BR299+'SGTO POAI VIGENCIA 2021'!BR300+'SGTO POAI VIGENCIA 2021'!BR301</f>
        <v>1001604412.3925239</v>
      </c>
      <c r="G162" s="108">
        <f t="shared" si="5"/>
        <v>0.94308201502491362</v>
      </c>
    </row>
    <row r="163" spans="1:7" ht="20.100000000000001" customHeight="1" thickBot="1" x14ac:dyDescent="0.25">
      <c r="A163" s="655" t="s">
        <v>1333</v>
      </c>
      <c r="B163" s="656"/>
      <c r="C163" s="522">
        <f>SUM(C164)</f>
        <v>110210000</v>
      </c>
      <c r="D163" s="522">
        <f>SUM(D164)</f>
        <v>107716000</v>
      </c>
      <c r="E163" s="524">
        <f t="shared" si="4"/>
        <v>0.97737047454858905</v>
      </c>
      <c r="F163" s="522">
        <f>SUM(F164)</f>
        <v>107716000</v>
      </c>
      <c r="G163" s="523">
        <f t="shared" si="5"/>
        <v>1</v>
      </c>
    </row>
    <row r="164" spans="1:7" ht="90" customHeight="1" thickBot="1" x14ac:dyDescent="0.25">
      <c r="A164" s="89" t="s">
        <v>1340</v>
      </c>
      <c r="B164" s="90" t="s">
        <v>1467</v>
      </c>
      <c r="C164" s="380">
        <f>'SGTO POAI VIGENCIA 2021'!BP302+'SGTO POAI VIGENCIA 2021'!BP303+'SGTO POAI VIGENCIA 2021'!BP304+'SGTO POAI VIGENCIA 2021'!BP305</f>
        <v>110210000</v>
      </c>
      <c r="D164" s="380">
        <f>'SGTO POAI VIGENCIA 2021'!BQ302+'SGTO POAI VIGENCIA 2021'!BQ303+'SGTO POAI VIGENCIA 2021'!BQ304+'SGTO POAI VIGENCIA 2021'!BQ305</f>
        <v>107716000</v>
      </c>
      <c r="E164" s="108">
        <f t="shared" si="4"/>
        <v>0.97737047454858905</v>
      </c>
      <c r="F164" s="380">
        <f>'SGTO POAI VIGENCIA 2021'!BR302+'SGTO POAI VIGENCIA 2021'!BR303+'SGTO POAI VIGENCIA 2021'!BR304+'SGTO POAI VIGENCIA 2021'!BR305</f>
        <v>107716000</v>
      </c>
      <c r="G164" s="108">
        <f t="shared" si="5"/>
        <v>1</v>
      </c>
    </row>
    <row r="165" spans="1:7" s="91" customFormat="1" ht="20.100000000000001" customHeight="1" thickBot="1" x14ac:dyDescent="0.3">
      <c r="A165" s="651" t="s">
        <v>1468</v>
      </c>
      <c r="B165" s="652"/>
      <c r="C165" s="512">
        <f>C163+C158+C154</f>
        <v>9907914024.9699993</v>
      </c>
      <c r="D165" s="513">
        <f>D163+D158+D154</f>
        <v>7164500614.1940126</v>
      </c>
      <c r="E165" s="514">
        <f t="shared" si="4"/>
        <v>0.72310888004659557</v>
      </c>
      <c r="F165" s="513">
        <f>F163+F158+F154</f>
        <v>6976675351.2625227</v>
      </c>
      <c r="G165" s="514">
        <f t="shared" si="5"/>
        <v>0.97378390022615413</v>
      </c>
    </row>
    <row r="166" spans="1:7" s="91" customFormat="1" ht="20.100000000000001" customHeight="1" thickBot="1" x14ac:dyDescent="0.3">
      <c r="A166" s="649" t="s">
        <v>1469</v>
      </c>
      <c r="B166" s="650"/>
      <c r="C166" s="515">
        <f>C165+C153</f>
        <v>329398378156.87994</v>
      </c>
      <c r="D166" s="516">
        <f>D165+D153</f>
        <v>293229739975.77399</v>
      </c>
      <c r="E166" s="517">
        <f t="shared" si="4"/>
        <v>0.89019788626925112</v>
      </c>
      <c r="F166" s="516">
        <f>F165+F153</f>
        <v>293041914712.84247</v>
      </c>
      <c r="G166" s="517">
        <f t="shared" si="5"/>
        <v>0.99935946039120371</v>
      </c>
    </row>
    <row r="169" spans="1:7" x14ac:dyDescent="0.2">
      <c r="D169" s="91"/>
      <c r="E169" s="91"/>
      <c r="F169" s="91"/>
    </row>
    <row r="172" spans="1:7" x14ac:dyDescent="0.2">
      <c r="C172" s="91">
        <v>329398378156.88007</v>
      </c>
      <c r="D172" s="7">
        <v>293229739975.74408</v>
      </c>
      <c r="E172" s="7">
        <v>293041914712.81256</v>
      </c>
    </row>
  </sheetData>
  <mergeCells count="23">
    <mergeCell ref="A79:B79"/>
    <mergeCell ref="A83:B83"/>
    <mergeCell ref="A20:B20"/>
    <mergeCell ref="A35:B35"/>
    <mergeCell ref="A48:B48"/>
    <mergeCell ref="A53:B53"/>
    <mergeCell ref="A59:B59"/>
    <mergeCell ref="A2:A3"/>
    <mergeCell ref="B2:B3"/>
    <mergeCell ref="C2:G2"/>
    <mergeCell ref="A1:G1"/>
    <mergeCell ref="A166:B166"/>
    <mergeCell ref="A153:B153"/>
    <mergeCell ref="A165:B165"/>
    <mergeCell ref="A146:B146"/>
    <mergeCell ref="A154:B154"/>
    <mergeCell ref="A158:B158"/>
    <mergeCell ref="A163:B163"/>
    <mergeCell ref="A93:B93"/>
    <mergeCell ref="A122:B122"/>
    <mergeCell ref="A4:B4"/>
    <mergeCell ref="A9:B9"/>
    <mergeCell ref="A17:B17"/>
  </mergeCells>
  <phoneticPr fontId="9"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dimension ref="A1:Q77"/>
  <sheetViews>
    <sheetView showGridLines="0" topLeftCell="G1" zoomScale="80" zoomScaleNormal="80" workbookViewId="0">
      <selection activeCell="A32" sqref="A32"/>
    </sheetView>
  </sheetViews>
  <sheetFormatPr baseColWidth="10" defaultRowHeight="12.75" x14ac:dyDescent="0.2"/>
  <cols>
    <col min="1" max="1" width="13.28515625" style="127" customWidth="1"/>
    <col min="2" max="2" width="32.140625" style="147" customWidth="1"/>
    <col min="3" max="3" width="24.28515625" style="146" customWidth="1"/>
    <col min="4" max="4" width="10.140625" style="146" customWidth="1"/>
    <col min="5" max="5" width="25.5703125" style="146" customWidth="1"/>
    <col min="6" max="6" width="14" style="146" customWidth="1"/>
    <col min="7" max="7" width="25.7109375" style="146" customWidth="1"/>
    <col min="8" max="8" width="12.5703125" style="146" customWidth="1"/>
    <col min="9" max="9" width="24.7109375" style="146" customWidth="1"/>
    <col min="10" max="10" width="10.28515625" style="146" customWidth="1"/>
    <col min="11" max="11" width="22.85546875" style="146" customWidth="1"/>
    <col min="12" max="12" width="11.7109375" style="146" customWidth="1"/>
    <col min="13" max="13" width="23.140625" style="146" customWidth="1"/>
    <col min="14" max="14" width="13.5703125" style="127" customWidth="1"/>
    <col min="15" max="256" width="11.42578125" style="127"/>
    <col min="257" max="257" width="13.28515625" style="127" customWidth="1"/>
    <col min="258" max="258" width="32.140625" style="127" customWidth="1"/>
    <col min="259" max="259" width="20.7109375" style="127" customWidth="1"/>
    <col min="260" max="260" width="10.42578125" style="127" customWidth="1"/>
    <col min="261" max="261" width="18.5703125" style="127" customWidth="1"/>
    <col min="262" max="262" width="11.7109375" style="127" customWidth="1"/>
    <col min="263" max="263" width="19.28515625" style="127" customWidth="1"/>
    <col min="264" max="264" width="10.28515625" style="127" customWidth="1"/>
    <col min="265" max="265" width="19.42578125" style="127" customWidth="1"/>
    <col min="266" max="266" width="10.28515625" style="127" customWidth="1"/>
    <col min="267" max="267" width="19.5703125" style="127" customWidth="1"/>
    <col min="268" max="268" width="10.42578125" style="127" customWidth="1"/>
    <col min="269" max="269" width="21.140625" style="127" customWidth="1"/>
    <col min="270" max="270" width="11.7109375" style="127" customWidth="1"/>
    <col min="271" max="512" width="11.42578125" style="127"/>
    <col min="513" max="513" width="13.28515625" style="127" customWidth="1"/>
    <col min="514" max="514" width="32.140625" style="127" customWidth="1"/>
    <col min="515" max="515" width="20.7109375" style="127" customWidth="1"/>
    <col min="516" max="516" width="10.42578125" style="127" customWidth="1"/>
    <col min="517" max="517" width="18.5703125" style="127" customWidth="1"/>
    <col min="518" max="518" width="11.7109375" style="127" customWidth="1"/>
    <col min="519" max="519" width="19.28515625" style="127" customWidth="1"/>
    <col min="520" max="520" width="10.28515625" style="127" customWidth="1"/>
    <col min="521" max="521" width="19.42578125" style="127" customWidth="1"/>
    <col min="522" max="522" width="10.28515625" style="127" customWidth="1"/>
    <col min="523" max="523" width="19.5703125" style="127" customWidth="1"/>
    <col min="524" max="524" width="10.42578125" style="127" customWidth="1"/>
    <col min="525" max="525" width="21.140625" style="127" customWidth="1"/>
    <col min="526" max="526" width="11.7109375" style="127" customWidth="1"/>
    <col min="527" max="768" width="11.42578125" style="127"/>
    <col min="769" max="769" width="13.28515625" style="127" customWidth="1"/>
    <col min="770" max="770" width="32.140625" style="127" customWidth="1"/>
    <col min="771" max="771" width="20.7109375" style="127" customWidth="1"/>
    <col min="772" max="772" width="10.42578125" style="127" customWidth="1"/>
    <col min="773" max="773" width="18.5703125" style="127" customWidth="1"/>
    <col min="774" max="774" width="11.7109375" style="127" customWidth="1"/>
    <col min="775" max="775" width="19.28515625" style="127" customWidth="1"/>
    <col min="776" max="776" width="10.28515625" style="127" customWidth="1"/>
    <col min="777" max="777" width="19.42578125" style="127" customWidth="1"/>
    <col min="778" max="778" width="10.28515625" style="127" customWidth="1"/>
    <col min="779" max="779" width="19.5703125" style="127" customWidth="1"/>
    <col min="780" max="780" width="10.42578125" style="127" customWidth="1"/>
    <col min="781" max="781" width="21.140625" style="127" customWidth="1"/>
    <col min="782" max="782" width="11.7109375" style="127" customWidth="1"/>
    <col min="783" max="1024" width="11.42578125" style="127"/>
    <col min="1025" max="1025" width="13.28515625" style="127" customWidth="1"/>
    <col min="1026" max="1026" width="32.140625" style="127" customWidth="1"/>
    <col min="1027" max="1027" width="20.7109375" style="127" customWidth="1"/>
    <col min="1028" max="1028" width="10.42578125" style="127" customWidth="1"/>
    <col min="1029" max="1029" width="18.5703125" style="127" customWidth="1"/>
    <col min="1030" max="1030" width="11.7109375" style="127" customWidth="1"/>
    <col min="1031" max="1031" width="19.28515625" style="127" customWidth="1"/>
    <col min="1032" max="1032" width="10.28515625" style="127" customWidth="1"/>
    <col min="1033" max="1033" width="19.42578125" style="127" customWidth="1"/>
    <col min="1034" max="1034" width="10.28515625" style="127" customWidth="1"/>
    <col min="1035" max="1035" width="19.5703125" style="127" customWidth="1"/>
    <col min="1036" max="1036" width="10.42578125" style="127" customWidth="1"/>
    <col min="1037" max="1037" width="21.140625" style="127" customWidth="1"/>
    <col min="1038" max="1038" width="11.7109375" style="127" customWidth="1"/>
    <col min="1039" max="1280" width="11.42578125" style="127"/>
    <col min="1281" max="1281" width="13.28515625" style="127" customWidth="1"/>
    <col min="1282" max="1282" width="32.140625" style="127" customWidth="1"/>
    <col min="1283" max="1283" width="20.7109375" style="127" customWidth="1"/>
    <col min="1284" max="1284" width="10.42578125" style="127" customWidth="1"/>
    <col min="1285" max="1285" width="18.5703125" style="127" customWidth="1"/>
    <col min="1286" max="1286" width="11.7109375" style="127" customWidth="1"/>
    <col min="1287" max="1287" width="19.28515625" style="127" customWidth="1"/>
    <col min="1288" max="1288" width="10.28515625" style="127" customWidth="1"/>
    <col min="1289" max="1289" width="19.42578125" style="127" customWidth="1"/>
    <col min="1290" max="1290" width="10.28515625" style="127" customWidth="1"/>
    <col min="1291" max="1291" width="19.5703125" style="127" customWidth="1"/>
    <col min="1292" max="1292" width="10.42578125" style="127" customWidth="1"/>
    <col min="1293" max="1293" width="21.140625" style="127" customWidth="1"/>
    <col min="1294" max="1294" width="11.7109375" style="127" customWidth="1"/>
    <col min="1295" max="1536" width="11.42578125" style="127"/>
    <col min="1537" max="1537" width="13.28515625" style="127" customWidth="1"/>
    <col min="1538" max="1538" width="32.140625" style="127" customWidth="1"/>
    <col min="1539" max="1539" width="20.7109375" style="127" customWidth="1"/>
    <col min="1540" max="1540" width="10.42578125" style="127" customWidth="1"/>
    <col min="1541" max="1541" width="18.5703125" style="127" customWidth="1"/>
    <col min="1542" max="1542" width="11.7109375" style="127" customWidth="1"/>
    <col min="1543" max="1543" width="19.28515625" style="127" customWidth="1"/>
    <col min="1544" max="1544" width="10.28515625" style="127" customWidth="1"/>
    <col min="1545" max="1545" width="19.42578125" style="127" customWidth="1"/>
    <col min="1546" max="1546" width="10.28515625" style="127" customWidth="1"/>
    <col min="1547" max="1547" width="19.5703125" style="127" customWidth="1"/>
    <col min="1548" max="1548" width="10.42578125" style="127" customWidth="1"/>
    <col min="1549" max="1549" width="21.140625" style="127" customWidth="1"/>
    <col min="1550" max="1550" width="11.7109375" style="127" customWidth="1"/>
    <col min="1551" max="1792" width="11.42578125" style="127"/>
    <col min="1793" max="1793" width="13.28515625" style="127" customWidth="1"/>
    <col min="1794" max="1794" width="32.140625" style="127" customWidth="1"/>
    <col min="1795" max="1795" width="20.7109375" style="127" customWidth="1"/>
    <col min="1796" max="1796" width="10.42578125" style="127" customWidth="1"/>
    <col min="1797" max="1797" width="18.5703125" style="127" customWidth="1"/>
    <col min="1798" max="1798" width="11.7109375" style="127" customWidth="1"/>
    <col min="1799" max="1799" width="19.28515625" style="127" customWidth="1"/>
    <col min="1800" max="1800" width="10.28515625" style="127" customWidth="1"/>
    <col min="1801" max="1801" width="19.42578125" style="127" customWidth="1"/>
    <col min="1802" max="1802" width="10.28515625" style="127" customWidth="1"/>
    <col min="1803" max="1803" width="19.5703125" style="127" customWidth="1"/>
    <col min="1804" max="1804" width="10.42578125" style="127" customWidth="1"/>
    <col min="1805" max="1805" width="21.140625" style="127" customWidth="1"/>
    <col min="1806" max="1806" width="11.7109375" style="127" customWidth="1"/>
    <col min="1807" max="2048" width="11.42578125" style="127"/>
    <col min="2049" max="2049" width="13.28515625" style="127" customWidth="1"/>
    <col min="2050" max="2050" width="32.140625" style="127" customWidth="1"/>
    <col min="2051" max="2051" width="20.7109375" style="127" customWidth="1"/>
    <col min="2052" max="2052" width="10.42578125" style="127" customWidth="1"/>
    <col min="2053" max="2053" width="18.5703125" style="127" customWidth="1"/>
    <col min="2054" max="2054" width="11.7109375" style="127" customWidth="1"/>
    <col min="2055" max="2055" width="19.28515625" style="127" customWidth="1"/>
    <col min="2056" max="2056" width="10.28515625" style="127" customWidth="1"/>
    <col min="2057" max="2057" width="19.42578125" style="127" customWidth="1"/>
    <col min="2058" max="2058" width="10.28515625" style="127" customWidth="1"/>
    <col min="2059" max="2059" width="19.5703125" style="127" customWidth="1"/>
    <col min="2060" max="2060" width="10.42578125" style="127" customWidth="1"/>
    <col min="2061" max="2061" width="21.140625" style="127" customWidth="1"/>
    <col min="2062" max="2062" width="11.7109375" style="127" customWidth="1"/>
    <col min="2063" max="2304" width="11.42578125" style="127"/>
    <col min="2305" max="2305" width="13.28515625" style="127" customWidth="1"/>
    <col min="2306" max="2306" width="32.140625" style="127" customWidth="1"/>
    <col min="2307" max="2307" width="20.7109375" style="127" customWidth="1"/>
    <col min="2308" max="2308" width="10.42578125" style="127" customWidth="1"/>
    <col min="2309" max="2309" width="18.5703125" style="127" customWidth="1"/>
    <col min="2310" max="2310" width="11.7109375" style="127" customWidth="1"/>
    <col min="2311" max="2311" width="19.28515625" style="127" customWidth="1"/>
    <col min="2312" max="2312" width="10.28515625" style="127" customWidth="1"/>
    <col min="2313" max="2313" width="19.42578125" style="127" customWidth="1"/>
    <col min="2314" max="2314" width="10.28515625" style="127" customWidth="1"/>
    <col min="2315" max="2315" width="19.5703125" style="127" customWidth="1"/>
    <col min="2316" max="2316" width="10.42578125" style="127" customWidth="1"/>
    <col min="2317" max="2317" width="21.140625" style="127" customWidth="1"/>
    <col min="2318" max="2318" width="11.7109375" style="127" customWidth="1"/>
    <col min="2319" max="2560" width="11.42578125" style="127"/>
    <col min="2561" max="2561" width="13.28515625" style="127" customWidth="1"/>
    <col min="2562" max="2562" width="32.140625" style="127" customWidth="1"/>
    <col min="2563" max="2563" width="20.7109375" style="127" customWidth="1"/>
    <col min="2564" max="2564" width="10.42578125" style="127" customWidth="1"/>
    <col min="2565" max="2565" width="18.5703125" style="127" customWidth="1"/>
    <col min="2566" max="2566" width="11.7109375" style="127" customWidth="1"/>
    <col min="2567" max="2567" width="19.28515625" style="127" customWidth="1"/>
    <col min="2568" max="2568" width="10.28515625" style="127" customWidth="1"/>
    <col min="2569" max="2569" width="19.42578125" style="127" customWidth="1"/>
    <col min="2570" max="2570" width="10.28515625" style="127" customWidth="1"/>
    <col min="2571" max="2571" width="19.5703125" style="127" customWidth="1"/>
    <col min="2572" max="2572" width="10.42578125" style="127" customWidth="1"/>
    <col min="2573" max="2573" width="21.140625" style="127" customWidth="1"/>
    <col min="2574" max="2574" width="11.7109375" style="127" customWidth="1"/>
    <col min="2575" max="2816" width="11.42578125" style="127"/>
    <col min="2817" max="2817" width="13.28515625" style="127" customWidth="1"/>
    <col min="2818" max="2818" width="32.140625" style="127" customWidth="1"/>
    <col min="2819" max="2819" width="20.7109375" style="127" customWidth="1"/>
    <col min="2820" max="2820" width="10.42578125" style="127" customWidth="1"/>
    <col min="2821" max="2821" width="18.5703125" style="127" customWidth="1"/>
    <col min="2822" max="2822" width="11.7109375" style="127" customWidth="1"/>
    <col min="2823" max="2823" width="19.28515625" style="127" customWidth="1"/>
    <col min="2824" max="2824" width="10.28515625" style="127" customWidth="1"/>
    <col min="2825" max="2825" width="19.42578125" style="127" customWidth="1"/>
    <col min="2826" max="2826" width="10.28515625" style="127" customWidth="1"/>
    <col min="2827" max="2827" width="19.5703125" style="127" customWidth="1"/>
    <col min="2828" max="2828" width="10.42578125" style="127" customWidth="1"/>
    <col min="2829" max="2829" width="21.140625" style="127" customWidth="1"/>
    <col min="2830" max="2830" width="11.7109375" style="127" customWidth="1"/>
    <col min="2831" max="3072" width="11.42578125" style="127"/>
    <col min="3073" max="3073" width="13.28515625" style="127" customWidth="1"/>
    <col min="3074" max="3074" width="32.140625" style="127" customWidth="1"/>
    <col min="3075" max="3075" width="20.7109375" style="127" customWidth="1"/>
    <col min="3076" max="3076" width="10.42578125" style="127" customWidth="1"/>
    <col min="3077" max="3077" width="18.5703125" style="127" customWidth="1"/>
    <col min="3078" max="3078" width="11.7109375" style="127" customWidth="1"/>
    <col min="3079" max="3079" width="19.28515625" style="127" customWidth="1"/>
    <col min="3080" max="3080" width="10.28515625" style="127" customWidth="1"/>
    <col min="3081" max="3081" width="19.42578125" style="127" customWidth="1"/>
    <col min="3082" max="3082" width="10.28515625" style="127" customWidth="1"/>
    <col min="3083" max="3083" width="19.5703125" style="127" customWidth="1"/>
    <col min="3084" max="3084" width="10.42578125" style="127" customWidth="1"/>
    <col min="3085" max="3085" width="21.140625" style="127" customWidth="1"/>
    <col min="3086" max="3086" width="11.7109375" style="127" customWidth="1"/>
    <col min="3087" max="3328" width="11.42578125" style="127"/>
    <col min="3329" max="3329" width="13.28515625" style="127" customWidth="1"/>
    <col min="3330" max="3330" width="32.140625" style="127" customWidth="1"/>
    <col min="3331" max="3331" width="20.7109375" style="127" customWidth="1"/>
    <col min="3332" max="3332" width="10.42578125" style="127" customWidth="1"/>
    <col min="3333" max="3333" width="18.5703125" style="127" customWidth="1"/>
    <col min="3334" max="3334" width="11.7109375" style="127" customWidth="1"/>
    <col min="3335" max="3335" width="19.28515625" style="127" customWidth="1"/>
    <col min="3336" max="3336" width="10.28515625" style="127" customWidth="1"/>
    <col min="3337" max="3337" width="19.42578125" style="127" customWidth="1"/>
    <col min="3338" max="3338" width="10.28515625" style="127" customWidth="1"/>
    <col min="3339" max="3339" width="19.5703125" style="127" customWidth="1"/>
    <col min="3340" max="3340" width="10.42578125" style="127" customWidth="1"/>
    <col min="3341" max="3341" width="21.140625" style="127" customWidth="1"/>
    <col min="3342" max="3342" width="11.7109375" style="127" customWidth="1"/>
    <col min="3343" max="3584" width="11.42578125" style="127"/>
    <col min="3585" max="3585" width="13.28515625" style="127" customWidth="1"/>
    <col min="3586" max="3586" width="32.140625" style="127" customWidth="1"/>
    <col min="3587" max="3587" width="20.7109375" style="127" customWidth="1"/>
    <col min="3588" max="3588" width="10.42578125" style="127" customWidth="1"/>
    <col min="3589" max="3589" width="18.5703125" style="127" customWidth="1"/>
    <col min="3590" max="3590" width="11.7109375" style="127" customWidth="1"/>
    <col min="3591" max="3591" width="19.28515625" style="127" customWidth="1"/>
    <col min="3592" max="3592" width="10.28515625" style="127" customWidth="1"/>
    <col min="3593" max="3593" width="19.42578125" style="127" customWidth="1"/>
    <col min="3594" max="3594" width="10.28515625" style="127" customWidth="1"/>
    <col min="3595" max="3595" width="19.5703125" style="127" customWidth="1"/>
    <col min="3596" max="3596" width="10.42578125" style="127" customWidth="1"/>
    <col min="3597" max="3597" width="21.140625" style="127" customWidth="1"/>
    <col min="3598" max="3598" width="11.7109375" style="127" customWidth="1"/>
    <col min="3599" max="3840" width="11.42578125" style="127"/>
    <col min="3841" max="3841" width="13.28515625" style="127" customWidth="1"/>
    <col min="3842" max="3842" width="32.140625" style="127" customWidth="1"/>
    <col min="3843" max="3843" width="20.7109375" style="127" customWidth="1"/>
    <col min="3844" max="3844" width="10.42578125" style="127" customWidth="1"/>
    <col min="3845" max="3845" width="18.5703125" style="127" customWidth="1"/>
    <col min="3846" max="3846" width="11.7109375" style="127" customWidth="1"/>
    <col min="3847" max="3847" width="19.28515625" style="127" customWidth="1"/>
    <col min="3848" max="3848" width="10.28515625" style="127" customWidth="1"/>
    <col min="3849" max="3849" width="19.42578125" style="127" customWidth="1"/>
    <col min="3850" max="3850" width="10.28515625" style="127" customWidth="1"/>
    <col min="3851" max="3851" width="19.5703125" style="127" customWidth="1"/>
    <col min="3852" max="3852" width="10.42578125" style="127" customWidth="1"/>
    <col min="3853" max="3853" width="21.140625" style="127" customWidth="1"/>
    <col min="3854" max="3854" width="11.7109375" style="127" customWidth="1"/>
    <col min="3855" max="4096" width="11.42578125" style="127"/>
    <col min="4097" max="4097" width="13.28515625" style="127" customWidth="1"/>
    <col min="4098" max="4098" width="32.140625" style="127" customWidth="1"/>
    <col min="4099" max="4099" width="20.7109375" style="127" customWidth="1"/>
    <col min="4100" max="4100" width="10.42578125" style="127" customWidth="1"/>
    <col min="4101" max="4101" width="18.5703125" style="127" customWidth="1"/>
    <col min="4102" max="4102" width="11.7109375" style="127" customWidth="1"/>
    <col min="4103" max="4103" width="19.28515625" style="127" customWidth="1"/>
    <col min="4104" max="4104" width="10.28515625" style="127" customWidth="1"/>
    <col min="4105" max="4105" width="19.42578125" style="127" customWidth="1"/>
    <col min="4106" max="4106" width="10.28515625" style="127" customWidth="1"/>
    <col min="4107" max="4107" width="19.5703125" style="127" customWidth="1"/>
    <col min="4108" max="4108" width="10.42578125" style="127" customWidth="1"/>
    <col min="4109" max="4109" width="21.140625" style="127" customWidth="1"/>
    <col min="4110" max="4110" width="11.7109375" style="127" customWidth="1"/>
    <col min="4111" max="4352" width="11.42578125" style="127"/>
    <col min="4353" max="4353" width="13.28515625" style="127" customWidth="1"/>
    <col min="4354" max="4354" width="32.140625" style="127" customWidth="1"/>
    <col min="4355" max="4355" width="20.7109375" style="127" customWidth="1"/>
    <col min="4356" max="4356" width="10.42578125" style="127" customWidth="1"/>
    <col min="4357" max="4357" width="18.5703125" style="127" customWidth="1"/>
    <col min="4358" max="4358" width="11.7109375" style="127" customWidth="1"/>
    <col min="4359" max="4359" width="19.28515625" style="127" customWidth="1"/>
    <col min="4360" max="4360" width="10.28515625" style="127" customWidth="1"/>
    <col min="4361" max="4361" width="19.42578125" style="127" customWidth="1"/>
    <col min="4362" max="4362" width="10.28515625" style="127" customWidth="1"/>
    <col min="4363" max="4363" width="19.5703125" style="127" customWidth="1"/>
    <col min="4364" max="4364" width="10.42578125" style="127" customWidth="1"/>
    <col min="4365" max="4365" width="21.140625" style="127" customWidth="1"/>
    <col min="4366" max="4366" width="11.7109375" style="127" customWidth="1"/>
    <col min="4367" max="4608" width="11.42578125" style="127"/>
    <col min="4609" max="4609" width="13.28515625" style="127" customWidth="1"/>
    <col min="4610" max="4610" width="32.140625" style="127" customWidth="1"/>
    <col min="4611" max="4611" width="20.7109375" style="127" customWidth="1"/>
    <col min="4612" max="4612" width="10.42578125" style="127" customWidth="1"/>
    <col min="4613" max="4613" width="18.5703125" style="127" customWidth="1"/>
    <col min="4614" max="4614" width="11.7109375" style="127" customWidth="1"/>
    <col min="4615" max="4615" width="19.28515625" style="127" customWidth="1"/>
    <col min="4616" max="4616" width="10.28515625" style="127" customWidth="1"/>
    <col min="4617" max="4617" width="19.42578125" style="127" customWidth="1"/>
    <col min="4618" max="4618" width="10.28515625" style="127" customWidth="1"/>
    <col min="4619" max="4619" width="19.5703125" style="127" customWidth="1"/>
    <col min="4620" max="4620" width="10.42578125" style="127" customWidth="1"/>
    <col min="4621" max="4621" width="21.140625" style="127" customWidth="1"/>
    <col min="4622" max="4622" width="11.7109375" style="127" customWidth="1"/>
    <col min="4623" max="4864" width="11.42578125" style="127"/>
    <col min="4865" max="4865" width="13.28515625" style="127" customWidth="1"/>
    <col min="4866" max="4866" width="32.140625" style="127" customWidth="1"/>
    <col min="4867" max="4867" width="20.7109375" style="127" customWidth="1"/>
    <col min="4868" max="4868" width="10.42578125" style="127" customWidth="1"/>
    <col min="4869" max="4869" width="18.5703125" style="127" customWidth="1"/>
    <col min="4870" max="4870" width="11.7109375" style="127" customWidth="1"/>
    <col min="4871" max="4871" width="19.28515625" style="127" customWidth="1"/>
    <col min="4872" max="4872" width="10.28515625" style="127" customWidth="1"/>
    <col min="4873" max="4873" width="19.42578125" style="127" customWidth="1"/>
    <col min="4874" max="4874" width="10.28515625" style="127" customWidth="1"/>
    <col min="4875" max="4875" width="19.5703125" style="127" customWidth="1"/>
    <col min="4876" max="4876" width="10.42578125" style="127" customWidth="1"/>
    <col min="4877" max="4877" width="21.140625" style="127" customWidth="1"/>
    <col min="4878" max="4878" width="11.7109375" style="127" customWidth="1"/>
    <col min="4879" max="5120" width="11.42578125" style="127"/>
    <col min="5121" max="5121" width="13.28515625" style="127" customWidth="1"/>
    <col min="5122" max="5122" width="32.140625" style="127" customWidth="1"/>
    <col min="5123" max="5123" width="20.7109375" style="127" customWidth="1"/>
    <col min="5124" max="5124" width="10.42578125" style="127" customWidth="1"/>
    <col min="5125" max="5125" width="18.5703125" style="127" customWidth="1"/>
    <col min="5126" max="5126" width="11.7109375" style="127" customWidth="1"/>
    <col min="5127" max="5127" width="19.28515625" style="127" customWidth="1"/>
    <col min="5128" max="5128" width="10.28515625" style="127" customWidth="1"/>
    <col min="5129" max="5129" width="19.42578125" style="127" customWidth="1"/>
    <col min="5130" max="5130" width="10.28515625" style="127" customWidth="1"/>
    <col min="5131" max="5131" width="19.5703125" style="127" customWidth="1"/>
    <col min="5132" max="5132" width="10.42578125" style="127" customWidth="1"/>
    <col min="5133" max="5133" width="21.140625" style="127" customWidth="1"/>
    <col min="5134" max="5134" width="11.7109375" style="127" customWidth="1"/>
    <col min="5135" max="5376" width="11.42578125" style="127"/>
    <col min="5377" max="5377" width="13.28515625" style="127" customWidth="1"/>
    <col min="5378" max="5378" width="32.140625" style="127" customWidth="1"/>
    <col min="5379" max="5379" width="20.7109375" style="127" customWidth="1"/>
    <col min="5380" max="5380" width="10.42578125" style="127" customWidth="1"/>
    <col min="5381" max="5381" width="18.5703125" style="127" customWidth="1"/>
    <col min="5382" max="5382" width="11.7109375" style="127" customWidth="1"/>
    <col min="5383" max="5383" width="19.28515625" style="127" customWidth="1"/>
    <col min="5384" max="5384" width="10.28515625" style="127" customWidth="1"/>
    <col min="5385" max="5385" width="19.42578125" style="127" customWidth="1"/>
    <col min="5386" max="5386" width="10.28515625" style="127" customWidth="1"/>
    <col min="5387" max="5387" width="19.5703125" style="127" customWidth="1"/>
    <col min="5388" max="5388" width="10.42578125" style="127" customWidth="1"/>
    <col min="5389" max="5389" width="21.140625" style="127" customWidth="1"/>
    <col min="5390" max="5390" width="11.7109375" style="127" customWidth="1"/>
    <col min="5391" max="5632" width="11.42578125" style="127"/>
    <col min="5633" max="5633" width="13.28515625" style="127" customWidth="1"/>
    <col min="5634" max="5634" width="32.140625" style="127" customWidth="1"/>
    <col min="5635" max="5635" width="20.7109375" style="127" customWidth="1"/>
    <col min="5636" max="5636" width="10.42578125" style="127" customWidth="1"/>
    <col min="5637" max="5637" width="18.5703125" style="127" customWidth="1"/>
    <col min="5638" max="5638" width="11.7109375" style="127" customWidth="1"/>
    <col min="5639" max="5639" width="19.28515625" style="127" customWidth="1"/>
    <col min="5640" max="5640" width="10.28515625" style="127" customWidth="1"/>
    <col min="5641" max="5641" width="19.42578125" style="127" customWidth="1"/>
    <col min="5642" max="5642" width="10.28515625" style="127" customWidth="1"/>
    <col min="5643" max="5643" width="19.5703125" style="127" customWidth="1"/>
    <col min="5644" max="5644" width="10.42578125" style="127" customWidth="1"/>
    <col min="5645" max="5645" width="21.140625" style="127" customWidth="1"/>
    <col min="5646" max="5646" width="11.7109375" style="127" customWidth="1"/>
    <col min="5647" max="5888" width="11.42578125" style="127"/>
    <col min="5889" max="5889" width="13.28515625" style="127" customWidth="1"/>
    <col min="5890" max="5890" width="32.140625" style="127" customWidth="1"/>
    <col min="5891" max="5891" width="20.7109375" style="127" customWidth="1"/>
    <col min="5892" max="5892" width="10.42578125" style="127" customWidth="1"/>
    <col min="5893" max="5893" width="18.5703125" style="127" customWidth="1"/>
    <col min="5894" max="5894" width="11.7109375" style="127" customWidth="1"/>
    <col min="5895" max="5895" width="19.28515625" style="127" customWidth="1"/>
    <col min="5896" max="5896" width="10.28515625" style="127" customWidth="1"/>
    <col min="5897" max="5897" width="19.42578125" style="127" customWidth="1"/>
    <col min="5898" max="5898" width="10.28515625" style="127" customWidth="1"/>
    <col min="5899" max="5899" width="19.5703125" style="127" customWidth="1"/>
    <col min="5900" max="5900" width="10.42578125" style="127" customWidth="1"/>
    <col min="5901" max="5901" width="21.140625" style="127" customWidth="1"/>
    <col min="5902" max="5902" width="11.7109375" style="127" customWidth="1"/>
    <col min="5903" max="6144" width="11.42578125" style="127"/>
    <col min="6145" max="6145" width="13.28515625" style="127" customWidth="1"/>
    <col min="6146" max="6146" width="32.140625" style="127" customWidth="1"/>
    <col min="6147" max="6147" width="20.7109375" style="127" customWidth="1"/>
    <col min="6148" max="6148" width="10.42578125" style="127" customWidth="1"/>
    <col min="6149" max="6149" width="18.5703125" style="127" customWidth="1"/>
    <col min="6150" max="6150" width="11.7109375" style="127" customWidth="1"/>
    <col min="6151" max="6151" width="19.28515625" style="127" customWidth="1"/>
    <col min="6152" max="6152" width="10.28515625" style="127" customWidth="1"/>
    <col min="6153" max="6153" width="19.42578125" style="127" customWidth="1"/>
    <col min="6154" max="6154" width="10.28515625" style="127" customWidth="1"/>
    <col min="6155" max="6155" width="19.5703125" style="127" customWidth="1"/>
    <col min="6156" max="6156" width="10.42578125" style="127" customWidth="1"/>
    <col min="6157" max="6157" width="21.140625" style="127" customWidth="1"/>
    <col min="6158" max="6158" width="11.7109375" style="127" customWidth="1"/>
    <col min="6159" max="6400" width="11.42578125" style="127"/>
    <col min="6401" max="6401" width="13.28515625" style="127" customWidth="1"/>
    <col min="6402" max="6402" width="32.140625" style="127" customWidth="1"/>
    <col min="6403" max="6403" width="20.7109375" style="127" customWidth="1"/>
    <col min="6404" max="6404" width="10.42578125" style="127" customWidth="1"/>
    <col min="6405" max="6405" width="18.5703125" style="127" customWidth="1"/>
    <col min="6406" max="6406" width="11.7109375" style="127" customWidth="1"/>
    <col min="6407" max="6407" width="19.28515625" style="127" customWidth="1"/>
    <col min="6408" max="6408" width="10.28515625" style="127" customWidth="1"/>
    <col min="6409" max="6409" width="19.42578125" style="127" customWidth="1"/>
    <col min="6410" max="6410" width="10.28515625" style="127" customWidth="1"/>
    <col min="6411" max="6411" width="19.5703125" style="127" customWidth="1"/>
    <col min="6412" max="6412" width="10.42578125" style="127" customWidth="1"/>
    <col min="6413" max="6413" width="21.140625" style="127" customWidth="1"/>
    <col min="6414" max="6414" width="11.7109375" style="127" customWidth="1"/>
    <col min="6415" max="6656" width="11.42578125" style="127"/>
    <col min="6657" max="6657" width="13.28515625" style="127" customWidth="1"/>
    <col min="6658" max="6658" width="32.140625" style="127" customWidth="1"/>
    <col min="6659" max="6659" width="20.7109375" style="127" customWidth="1"/>
    <col min="6660" max="6660" width="10.42578125" style="127" customWidth="1"/>
    <col min="6661" max="6661" width="18.5703125" style="127" customWidth="1"/>
    <col min="6662" max="6662" width="11.7109375" style="127" customWidth="1"/>
    <col min="6663" max="6663" width="19.28515625" style="127" customWidth="1"/>
    <col min="6664" max="6664" width="10.28515625" style="127" customWidth="1"/>
    <col min="6665" max="6665" width="19.42578125" style="127" customWidth="1"/>
    <col min="6666" max="6666" width="10.28515625" style="127" customWidth="1"/>
    <col min="6667" max="6667" width="19.5703125" style="127" customWidth="1"/>
    <col min="6668" max="6668" width="10.42578125" style="127" customWidth="1"/>
    <col min="6669" max="6669" width="21.140625" style="127" customWidth="1"/>
    <col min="6670" max="6670" width="11.7109375" style="127" customWidth="1"/>
    <col min="6671" max="6912" width="11.42578125" style="127"/>
    <col min="6913" max="6913" width="13.28515625" style="127" customWidth="1"/>
    <col min="6914" max="6914" width="32.140625" style="127" customWidth="1"/>
    <col min="6915" max="6915" width="20.7109375" style="127" customWidth="1"/>
    <col min="6916" max="6916" width="10.42578125" style="127" customWidth="1"/>
    <col min="6917" max="6917" width="18.5703125" style="127" customWidth="1"/>
    <col min="6918" max="6918" width="11.7109375" style="127" customWidth="1"/>
    <col min="6919" max="6919" width="19.28515625" style="127" customWidth="1"/>
    <col min="6920" max="6920" width="10.28515625" style="127" customWidth="1"/>
    <col min="6921" max="6921" width="19.42578125" style="127" customWidth="1"/>
    <col min="6922" max="6922" width="10.28515625" style="127" customWidth="1"/>
    <col min="6923" max="6923" width="19.5703125" style="127" customWidth="1"/>
    <col min="6924" max="6924" width="10.42578125" style="127" customWidth="1"/>
    <col min="6925" max="6925" width="21.140625" style="127" customWidth="1"/>
    <col min="6926" max="6926" width="11.7109375" style="127" customWidth="1"/>
    <col min="6927" max="7168" width="11.42578125" style="127"/>
    <col min="7169" max="7169" width="13.28515625" style="127" customWidth="1"/>
    <col min="7170" max="7170" width="32.140625" style="127" customWidth="1"/>
    <col min="7171" max="7171" width="20.7109375" style="127" customWidth="1"/>
    <col min="7172" max="7172" width="10.42578125" style="127" customWidth="1"/>
    <col min="7173" max="7173" width="18.5703125" style="127" customWidth="1"/>
    <col min="7174" max="7174" width="11.7109375" style="127" customWidth="1"/>
    <col min="7175" max="7175" width="19.28515625" style="127" customWidth="1"/>
    <col min="7176" max="7176" width="10.28515625" style="127" customWidth="1"/>
    <col min="7177" max="7177" width="19.42578125" style="127" customWidth="1"/>
    <col min="7178" max="7178" width="10.28515625" style="127" customWidth="1"/>
    <col min="7179" max="7179" width="19.5703125" style="127" customWidth="1"/>
    <col min="7180" max="7180" width="10.42578125" style="127" customWidth="1"/>
    <col min="7181" max="7181" width="21.140625" style="127" customWidth="1"/>
    <col min="7182" max="7182" width="11.7109375" style="127" customWidth="1"/>
    <col min="7183" max="7424" width="11.42578125" style="127"/>
    <col min="7425" max="7425" width="13.28515625" style="127" customWidth="1"/>
    <col min="7426" max="7426" width="32.140625" style="127" customWidth="1"/>
    <col min="7427" max="7427" width="20.7109375" style="127" customWidth="1"/>
    <col min="7428" max="7428" width="10.42578125" style="127" customWidth="1"/>
    <col min="7429" max="7429" width="18.5703125" style="127" customWidth="1"/>
    <col min="7430" max="7430" width="11.7109375" style="127" customWidth="1"/>
    <col min="7431" max="7431" width="19.28515625" style="127" customWidth="1"/>
    <col min="7432" max="7432" width="10.28515625" style="127" customWidth="1"/>
    <col min="7433" max="7433" width="19.42578125" style="127" customWidth="1"/>
    <col min="7434" max="7434" width="10.28515625" style="127" customWidth="1"/>
    <col min="7435" max="7435" width="19.5703125" style="127" customWidth="1"/>
    <col min="7436" max="7436" width="10.42578125" style="127" customWidth="1"/>
    <col min="7437" max="7437" width="21.140625" style="127" customWidth="1"/>
    <col min="7438" max="7438" width="11.7109375" style="127" customWidth="1"/>
    <col min="7439" max="7680" width="11.42578125" style="127"/>
    <col min="7681" max="7681" width="13.28515625" style="127" customWidth="1"/>
    <col min="7682" max="7682" width="32.140625" style="127" customWidth="1"/>
    <col min="7683" max="7683" width="20.7109375" style="127" customWidth="1"/>
    <col min="7684" max="7684" width="10.42578125" style="127" customWidth="1"/>
    <col min="7685" max="7685" width="18.5703125" style="127" customWidth="1"/>
    <col min="7686" max="7686" width="11.7109375" style="127" customWidth="1"/>
    <col min="7687" max="7687" width="19.28515625" style="127" customWidth="1"/>
    <col min="7688" max="7688" width="10.28515625" style="127" customWidth="1"/>
    <col min="7689" max="7689" width="19.42578125" style="127" customWidth="1"/>
    <col min="7690" max="7690" width="10.28515625" style="127" customWidth="1"/>
    <col min="7691" max="7691" width="19.5703125" style="127" customWidth="1"/>
    <col min="7692" max="7692" width="10.42578125" style="127" customWidth="1"/>
    <col min="7693" max="7693" width="21.140625" style="127" customWidth="1"/>
    <col min="7694" max="7694" width="11.7109375" style="127" customWidth="1"/>
    <col min="7695" max="7936" width="11.42578125" style="127"/>
    <col min="7937" max="7937" width="13.28515625" style="127" customWidth="1"/>
    <col min="7938" max="7938" width="32.140625" style="127" customWidth="1"/>
    <col min="7939" max="7939" width="20.7109375" style="127" customWidth="1"/>
    <col min="7940" max="7940" width="10.42578125" style="127" customWidth="1"/>
    <col min="7941" max="7941" width="18.5703125" style="127" customWidth="1"/>
    <col min="7942" max="7942" width="11.7109375" style="127" customWidth="1"/>
    <col min="7943" max="7943" width="19.28515625" style="127" customWidth="1"/>
    <col min="7944" max="7944" width="10.28515625" style="127" customWidth="1"/>
    <col min="7945" max="7945" width="19.42578125" style="127" customWidth="1"/>
    <col min="7946" max="7946" width="10.28515625" style="127" customWidth="1"/>
    <col min="7947" max="7947" width="19.5703125" style="127" customWidth="1"/>
    <col min="7948" max="7948" width="10.42578125" style="127" customWidth="1"/>
    <col min="7949" max="7949" width="21.140625" style="127" customWidth="1"/>
    <col min="7950" max="7950" width="11.7109375" style="127" customWidth="1"/>
    <col min="7951" max="8192" width="11.42578125" style="127"/>
    <col min="8193" max="8193" width="13.28515625" style="127" customWidth="1"/>
    <col min="8194" max="8194" width="32.140625" style="127" customWidth="1"/>
    <col min="8195" max="8195" width="20.7109375" style="127" customWidth="1"/>
    <col min="8196" max="8196" width="10.42578125" style="127" customWidth="1"/>
    <col min="8197" max="8197" width="18.5703125" style="127" customWidth="1"/>
    <col min="8198" max="8198" width="11.7109375" style="127" customWidth="1"/>
    <col min="8199" max="8199" width="19.28515625" style="127" customWidth="1"/>
    <col min="8200" max="8200" width="10.28515625" style="127" customWidth="1"/>
    <col min="8201" max="8201" width="19.42578125" style="127" customWidth="1"/>
    <col min="8202" max="8202" width="10.28515625" style="127" customWidth="1"/>
    <col min="8203" max="8203" width="19.5703125" style="127" customWidth="1"/>
    <col min="8204" max="8204" width="10.42578125" style="127" customWidth="1"/>
    <col min="8205" max="8205" width="21.140625" style="127" customWidth="1"/>
    <col min="8206" max="8206" width="11.7109375" style="127" customWidth="1"/>
    <col min="8207" max="8448" width="11.42578125" style="127"/>
    <col min="8449" max="8449" width="13.28515625" style="127" customWidth="1"/>
    <col min="8450" max="8450" width="32.140625" style="127" customWidth="1"/>
    <col min="8451" max="8451" width="20.7109375" style="127" customWidth="1"/>
    <col min="8452" max="8452" width="10.42578125" style="127" customWidth="1"/>
    <col min="8453" max="8453" width="18.5703125" style="127" customWidth="1"/>
    <col min="8454" max="8454" width="11.7109375" style="127" customWidth="1"/>
    <col min="8455" max="8455" width="19.28515625" style="127" customWidth="1"/>
    <col min="8456" max="8456" width="10.28515625" style="127" customWidth="1"/>
    <col min="8457" max="8457" width="19.42578125" style="127" customWidth="1"/>
    <col min="8458" max="8458" width="10.28515625" style="127" customWidth="1"/>
    <col min="8459" max="8459" width="19.5703125" style="127" customWidth="1"/>
    <col min="8460" max="8460" width="10.42578125" style="127" customWidth="1"/>
    <col min="8461" max="8461" width="21.140625" style="127" customWidth="1"/>
    <col min="8462" max="8462" width="11.7109375" style="127" customWidth="1"/>
    <col min="8463" max="8704" width="11.42578125" style="127"/>
    <col min="8705" max="8705" width="13.28515625" style="127" customWidth="1"/>
    <col min="8706" max="8706" width="32.140625" style="127" customWidth="1"/>
    <col min="8707" max="8707" width="20.7109375" style="127" customWidth="1"/>
    <col min="8708" max="8708" width="10.42578125" style="127" customWidth="1"/>
    <col min="8709" max="8709" width="18.5703125" style="127" customWidth="1"/>
    <col min="8710" max="8710" width="11.7109375" style="127" customWidth="1"/>
    <col min="8711" max="8711" width="19.28515625" style="127" customWidth="1"/>
    <col min="8712" max="8712" width="10.28515625" style="127" customWidth="1"/>
    <col min="8713" max="8713" width="19.42578125" style="127" customWidth="1"/>
    <col min="8714" max="8714" width="10.28515625" style="127" customWidth="1"/>
    <col min="8715" max="8715" width="19.5703125" style="127" customWidth="1"/>
    <col min="8716" max="8716" width="10.42578125" style="127" customWidth="1"/>
    <col min="8717" max="8717" width="21.140625" style="127" customWidth="1"/>
    <col min="8718" max="8718" width="11.7109375" style="127" customWidth="1"/>
    <col min="8719" max="8960" width="11.42578125" style="127"/>
    <col min="8961" max="8961" width="13.28515625" style="127" customWidth="1"/>
    <col min="8962" max="8962" width="32.140625" style="127" customWidth="1"/>
    <col min="8963" max="8963" width="20.7109375" style="127" customWidth="1"/>
    <col min="8964" max="8964" width="10.42578125" style="127" customWidth="1"/>
    <col min="8965" max="8965" width="18.5703125" style="127" customWidth="1"/>
    <col min="8966" max="8966" width="11.7109375" style="127" customWidth="1"/>
    <col min="8967" max="8967" width="19.28515625" style="127" customWidth="1"/>
    <col min="8968" max="8968" width="10.28515625" style="127" customWidth="1"/>
    <col min="8969" max="8969" width="19.42578125" style="127" customWidth="1"/>
    <col min="8970" max="8970" width="10.28515625" style="127" customWidth="1"/>
    <col min="8971" max="8971" width="19.5703125" style="127" customWidth="1"/>
    <col min="8972" max="8972" width="10.42578125" style="127" customWidth="1"/>
    <col min="8973" max="8973" width="21.140625" style="127" customWidth="1"/>
    <col min="8974" max="8974" width="11.7109375" style="127" customWidth="1"/>
    <col min="8975" max="9216" width="11.42578125" style="127"/>
    <col min="9217" max="9217" width="13.28515625" style="127" customWidth="1"/>
    <col min="9218" max="9218" width="32.140625" style="127" customWidth="1"/>
    <col min="9219" max="9219" width="20.7109375" style="127" customWidth="1"/>
    <col min="9220" max="9220" width="10.42578125" style="127" customWidth="1"/>
    <col min="9221" max="9221" width="18.5703125" style="127" customWidth="1"/>
    <col min="9222" max="9222" width="11.7109375" style="127" customWidth="1"/>
    <col min="9223" max="9223" width="19.28515625" style="127" customWidth="1"/>
    <col min="9224" max="9224" width="10.28515625" style="127" customWidth="1"/>
    <col min="9225" max="9225" width="19.42578125" style="127" customWidth="1"/>
    <col min="9226" max="9226" width="10.28515625" style="127" customWidth="1"/>
    <col min="9227" max="9227" width="19.5703125" style="127" customWidth="1"/>
    <col min="9228" max="9228" width="10.42578125" style="127" customWidth="1"/>
    <col min="9229" max="9229" width="21.140625" style="127" customWidth="1"/>
    <col min="9230" max="9230" width="11.7109375" style="127" customWidth="1"/>
    <col min="9231" max="9472" width="11.42578125" style="127"/>
    <col min="9473" max="9473" width="13.28515625" style="127" customWidth="1"/>
    <col min="9474" max="9474" width="32.140625" style="127" customWidth="1"/>
    <col min="9475" max="9475" width="20.7109375" style="127" customWidth="1"/>
    <col min="9476" max="9476" width="10.42578125" style="127" customWidth="1"/>
    <col min="9477" max="9477" width="18.5703125" style="127" customWidth="1"/>
    <col min="9478" max="9478" width="11.7109375" style="127" customWidth="1"/>
    <col min="9479" max="9479" width="19.28515625" style="127" customWidth="1"/>
    <col min="9480" max="9480" width="10.28515625" style="127" customWidth="1"/>
    <col min="9481" max="9481" width="19.42578125" style="127" customWidth="1"/>
    <col min="9482" max="9482" width="10.28515625" style="127" customWidth="1"/>
    <col min="9483" max="9483" width="19.5703125" style="127" customWidth="1"/>
    <col min="9484" max="9484" width="10.42578125" style="127" customWidth="1"/>
    <col min="9485" max="9485" width="21.140625" style="127" customWidth="1"/>
    <col min="9486" max="9486" width="11.7109375" style="127" customWidth="1"/>
    <col min="9487" max="9728" width="11.42578125" style="127"/>
    <col min="9729" max="9729" width="13.28515625" style="127" customWidth="1"/>
    <col min="9730" max="9730" width="32.140625" style="127" customWidth="1"/>
    <col min="9731" max="9731" width="20.7109375" style="127" customWidth="1"/>
    <col min="9732" max="9732" width="10.42578125" style="127" customWidth="1"/>
    <col min="9733" max="9733" width="18.5703125" style="127" customWidth="1"/>
    <col min="9734" max="9734" width="11.7109375" style="127" customWidth="1"/>
    <col min="9735" max="9735" width="19.28515625" style="127" customWidth="1"/>
    <col min="9736" max="9736" width="10.28515625" style="127" customWidth="1"/>
    <col min="9737" max="9737" width="19.42578125" style="127" customWidth="1"/>
    <col min="9738" max="9738" width="10.28515625" style="127" customWidth="1"/>
    <col min="9739" max="9739" width="19.5703125" style="127" customWidth="1"/>
    <col min="9740" max="9740" width="10.42578125" style="127" customWidth="1"/>
    <col min="9741" max="9741" width="21.140625" style="127" customWidth="1"/>
    <col min="9742" max="9742" width="11.7109375" style="127" customWidth="1"/>
    <col min="9743" max="9984" width="11.42578125" style="127"/>
    <col min="9985" max="9985" width="13.28515625" style="127" customWidth="1"/>
    <col min="9986" max="9986" width="32.140625" style="127" customWidth="1"/>
    <col min="9987" max="9987" width="20.7109375" style="127" customWidth="1"/>
    <col min="9988" max="9988" width="10.42578125" style="127" customWidth="1"/>
    <col min="9989" max="9989" width="18.5703125" style="127" customWidth="1"/>
    <col min="9990" max="9990" width="11.7109375" style="127" customWidth="1"/>
    <col min="9991" max="9991" width="19.28515625" style="127" customWidth="1"/>
    <col min="9992" max="9992" width="10.28515625" style="127" customWidth="1"/>
    <col min="9993" max="9993" width="19.42578125" style="127" customWidth="1"/>
    <col min="9994" max="9994" width="10.28515625" style="127" customWidth="1"/>
    <col min="9995" max="9995" width="19.5703125" style="127" customWidth="1"/>
    <col min="9996" max="9996" width="10.42578125" style="127" customWidth="1"/>
    <col min="9997" max="9997" width="21.140625" style="127" customWidth="1"/>
    <col min="9998" max="9998" width="11.7109375" style="127" customWidth="1"/>
    <col min="9999" max="10240" width="11.42578125" style="127"/>
    <col min="10241" max="10241" width="13.28515625" style="127" customWidth="1"/>
    <col min="10242" max="10242" width="32.140625" style="127" customWidth="1"/>
    <col min="10243" max="10243" width="20.7109375" style="127" customWidth="1"/>
    <col min="10244" max="10244" width="10.42578125" style="127" customWidth="1"/>
    <col min="10245" max="10245" width="18.5703125" style="127" customWidth="1"/>
    <col min="10246" max="10246" width="11.7109375" style="127" customWidth="1"/>
    <col min="10247" max="10247" width="19.28515625" style="127" customWidth="1"/>
    <col min="10248" max="10248" width="10.28515625" style="127" customWidth="1"/>
    <col min="10249" max="10249" width="19.42578125" style="127" customWidth="1"/>
    <col min="10250" max="10250" width="10.28515625" style="127" customWidth="1"/>
    <col min="10251" max="10251" width="19.5703125" style="127" customWidth="1"/>
    <col min="10252" max="10252" width="10.42578125" style="127" customWidth="1"/>
    <col min="10253" max="10253" width="21.140625" style="127" customWidth="1"/>
    <col min="10254" max="10254" width="11.7109375" style="127" customWidth="1"/>
    <col min="10255" max="10496" width="11.42578125" style="127"/>
    <col min="10497" max="10497" width="13.28515625" style="127" customWidth="1"/>
    <col min="10498" max="10498" width="32.140625" style="127" customWidth="1"/>
    <col min="10499" max="10499" width="20.7109375" style="127" customWidth="1"/>
    <col min="10500" max="10500" width="10.42578125" style="127" customWidth="1"/>
    <col min="10501" max="10501" width="18.5703125" style="127" customWidth="1"/>
    <col min="10502" max="10502" width="11.7109375" style="127" customWidth="1"/>
    <col min="10503" max="10503" width="19.28515625" style="127" customWidth="1"/>
    <col min="10504" max="10504" width="10.28515625" style="127" customWidth="1"/>
    <col min="10505" max="10505" width="19.42578125" style="127" customWidth="1"/>
    <col min="10506" max="10506" width="10.28515625" style="127" customWidth="1"/>
    <col min="10507" max="10507" width="19.5703125" style="127" customWidth="1"/>
    <col min="10508" max="10508" width="10.42578125" style="127" customWidth="1"/>
    <col min="10509" max="10509" width="21.140625" style="127" customWidth="1"/>
    <col min="10510" max="10510" width="11.7109375" style="127" customWidth="1"/>
    <col min="10511" max="10752" width="11.42578125" style="127"/>
    <col min="10753" max="10753" width="13.28515625" style="127" customWidth="1"/>
    <col min="10754" max="10754" width="32.140625" style="127" customWidth="1"/>
    <col min="10755" max="10755" width="20.7109375" style="127" customWidth="1"/>
    <col min="10756" max="10756" width="10.42578125" style="127" customWidth="1"/>
    <col min="10757" max="10757" width="18.5703125" style="127" customWidth="1"/>
    <col min="10758" max="10758" width="11.7109375" style="127" customWidth="1"/>
    <col min="10759" max="10759" width="19.28515625" style="127" customWidth="1"/>
    <col min="10760" max="10760" width="10.28515625" style="127" customWidth="1"/>
    <col min="10761" max="10761" width="19.42578125" style="127" customWidth="1"/>
    <col min="10762" max="10762" width="10.28515625" style="127" customWidth="1"/>
    <col min="10763" max="10763" width="19.5703125" style="127" customWidth="1"/>
    <col min="10764" max="10764" width="10.42578125" style="127" customWidth="1"/>
    <col min="10765" max="10765" width="21.140625" style="127" customWidth="1"/>
    <col min="10766" max="10766" width="11.7109375" style="127" customWidth="1"/>
    <col min="10767" max="11008" width="11.42578125" style="127"/>
    <col min="11009" max="11009" width="13.28515625" style="127" customWidth="1"/>
    <col min="11010" max="11010" width="32.140625" style="127" customWidth="1"/>
    <col min="11011" max="11011" width="20.7109375" style="127" customWidth="1"/>
    <col min="11012" max="11012" width="10.42578125" style="127" customWidth="1"/>
    <col min="11013" max="11013" width="18.5703125" style="127" customWidth="1"/>
    <col min="11014" max="11014" width="11.7109375" style="127" customWidth="1"/>
    <col min="11015" max="11015" width="19.28515625" style="127" customWidth="1"/>
    <col min="11016" max="11016" width="10.28515625" style="127" customWidth="1"/>
    <col min="11017" max="11017" width="19.42578125" style="127" customWidth="1"/>
    <col min="11018" max="11018" width="10.28515625" style="127" customWidth="1"/>
    <col min="11019" max="11019" width="19.5703125" style="127" customWidth="1"/>
    <col min="11020" max="11020" width="10.42578125" style="127" customWidth="1"/>
    <col min="11021" max="11021" width="21.140625" style="127" customWidth="1"/>
    <col min="11022" max="11022" width="11.7109375" style="127" customWidth="1"/>
    <col min="11023" max="11264" width="11.42578125" style="127"/>
    <col min="11265" max="11265" width="13.28515625" style="127" customWidth="1"/>
    <col min="11266" max="11266" width="32.140625" style="127" customWidth="1"/>
    <col min="11267" max="11267" width="20.7109375" style="127" customWidth="1"/>
    <col min="11268" max="11268" width="10.42578125" style="127" customWidth="1"/>
    <col min="11269" max="11269" width="18.5703125" style="127" customWidth="1"/>
    <col min="11270" max="11270" width="11.7109375" style="127" customWidth="1"/>
    <col min="11271" max="11271" width="19.28515625" style="127" customWidth="1"/>
    <col min="11272" max="11272" width="10.28515625" style="127" customWidth="1"/>
    <col min="11273" max="11273" width="19.42578125" style="127" customWidth="1"/>
    <col min="11274" max="11274" width="10.28515625" style="127" customWidth="1"/>
    <col min="11275" max="11275" width="19.5703125" style="127" customWidth="1"/>
    <col min="11276" max="11276" width="10.42578125" style="127" customWidth="1"/>
    <col min="11277" max="11277" width="21.140625" style="127" customWidth="1"/>
    <col min="11278" max="11278" width="11.7109375" style="127" customWidth="1"/>
    <col min="11279" max="11520" width="11.42578125" style="127"/>
    <col min="11521" max="11521" width="13.28515625" style="127" customWidth="1"/>
    <col min="11522" max="11522" width="32.140625" style="127" customWidth="1"/>
    <col min="11523" max="11523" width="20.7109375" style="127" customWidth="1"/>
    <col min="11524" max="11524" width="10.42578125" style="127" customWidth="1"/>
    <col min="11525" max="11525" width="18.5703125" style="127" customWidth="1"/>
    <col min="11526" max="11526" width="11.7109375" style="127" customWidth="1"/>
    <col min="11527" max="11527" width="19.28515625" style="127" customWidth="1"/>
    <col min="11528" max="11528" width="10.28515625" style="127" customWidth="1"/>
    <col min="11529" max="11529" width="19.42578125" style="127" customWidth="1"/>
    <col min="11530" max="11530" width="10.28515625" style="127" customWidth="1"/>
    <col min="11531" max="11531" width="19.5703125" style="127" customWidth="1"/>
    <col min="11532" max="11532" width="10.42578125" style="127" customWidth="1"/>
    <col min="11533" max="11533" width="21.140625" style="127" customWidth="1"/>
    <col min="11534" max="11534" width="11.7109375" style="127" customWidth="1"/>
    <col min="11535" max="11776" width="11.42578125" style="127"/>
    <col min="11777" max="11777" width="13.28515625" style="127" customWidth="1"/>
    <col min="11778" max="11778" width="32.140625" style="127" customWidth="1"/>
    <col min="11779" max="11779" width="20.7109375" style="127" customWidth="1"/>
    <col min="11780" max="11780" width="10.42578125" style="127" customWidth="1"/>
    <col min="11781" max="11781" width="18.5703125" style="127" customWidth="1"/>
    <col min="11782" max="11782" width="11.7109375" style="127" customWidth="1"/>
    <col min="11783" max="11783" width="19.28515625" style="127" customWidth="1"/>
    <col min="11784" max="11784" width="10.28515625" style="127" customWidth="1"/>
    <col min="11785" max="11785" width="19.42578125" style="127" customWidth="1"/>
    <col min="11786" max="11786" width="10.28515625" style="127" customWidth="1"/>
    <col min="11787" max="11787" width="19.5703125" style="127" customWidth="1"/>
    <col min="11788" max="11788" width="10.42578125" style="127" customWidth="1"/>
    <col min="11789" max="11789" width="21.140625" style="127" customWidth="1"/>
    <col min="11790" max="11790" width="11.7109375" style="127" customWidth="1"/>
    <col min="11791" max="12032" width="11.42578125" style="127"/>
    <col min="12033" max="12033" width="13.28515625" style="127" customWidth="1"/>
    <col min="12034" max="12034" width="32.140625" style="127" customWidth="1"/>
    <col min="12035" max="12035" width="20.7109375" style="127" customWidth="1"/>
    <col min="12036" max="12036" width="10.42578125" style="127" customWidth="1"/>
    <col min="12037" max="12037" width="18.5703125" style="127" customWidth="1"/>
    <col min="12038" max="12038" width="11.7109375" style="127" customWidth="1"/>
    <col min="12039" max="12039" width="19.28515625" style="127" customWidth="1"/>
    <col min="12040" max="12040" width="10.28515625" style="127" customWidth="1"/>
    <col min="12041" max="12041" width="19.42578125" style="127" customWidth="1"/>
    <col min="12042" max="12042" width="10.28515625" style="127" customWidth="1"/>
    <col min="12043" max="12043" width="19.5703125" style="127" customWidth="1"/>
    <col min="12044" max="12044" width="10.42578125" style="127" customWidth="1"/>
    <col min="12045" max="12045" width="21.140625" style="127" customWidth="1"/>
    <col min="12046" max="12046" width="11.7109375" style="127" customWidth="1"/>
    <col min="12047" max="12288" width="11.42578125" style="127"/>
    <col min="12289" max="12289" width="13.28515625" style="127" customWidth="1"/>
    <col min="12290" max="12290" width="32.140625" style="127" customWidth="1"/>
    <col min="12291" max="12291" width="20.7109375" style="127" customWidth="1"/>
    <col min="12292" max="12292" width="10.42578125" style="127" customWidth="1"/>
    <col min="12293" max="12293" width="18.5703125" style="127" customWidth="1"/>
    <col min="12294" max="12294" width="11.7109375" style="127" customWidth="1"/>
    <col min="12295" max="12295" width="19.28515625" style="127" customWidth="1"/>
    <col min="12296" max="12296" width="10.28515625" style="127" customWidth="1"/>
    <col min="12297" max="12297" width="19.42578125" style="127" customWidth="1"/>
    <col min="12298" max="12298" width="10.28515625" style="127" customWidth="1"/>
    <col min="12299" max="12299" width="19.5703125" style="127" customWidth="1"/>
    <col min="12300" max="12300" width="10.42578125" style="127" customWidth="1"/>
    <col min="12301" max="12301" width="21.140625" style="127" customWidth="1"/>
    <col min="12302" max="12302" width="11.7109375" style="127" customWidth="1"/>
    <col min="12303" max="12544" width="11.42578125" style="127"/>
    <col min="12545" max="12545" width="13.28515625" style="127" customWidth="1"/>
    <col min="12546" max="12546" width="32.140625" style="127" customWidth="1"/>
    <col min="12547" max="12547" width="20.7109375" style="127" customWidth="1"/>
    <col min="12548" max="12548" width="10.42578125" style="127" customWidth="1"/>
    <col min="12549" max="12549" width="18.5703125" style="127" customWidth="1"/>
    <col min="12550" max="12550" width="11.7109375" style="127" customWidth="1"/>
    <col min="12551" max="12551" width="19.28515625" style="127" customWidth="1"/>
    <col min="12552" max="12552" width="10.28515625" style="127" customWidth="1"/>
    <col min="12553" max="12553" width="19.42578125" style="127" customWidth="1"/>
    <col min="12554" max="12554" width="10.28515625" style="127" customWidth="1"/>
    <col min="12555" max="12555" width="19.5703125" style="127" customWidth="1"/>
    <col min="12556" max="12556" width="10.42578125" style="127" customWidth="1"/>
    <col min="12557" max="12557" width="21.140625" style="127" customWidth="1"/>
    <col min="12558" max="12558" width="11.7109375" style="127" customWidth="1"/>
    <col min="12559" max="12800" width="11.42578125" style="127"/>
    <col min="12801" max="12801" width="13.28515625" style="127" customWidth="1"/>
    <col min="12802" max="12802" width="32.140625" style="127" customWidth="1"/>
    <col min="12803" max="12803" width="20.7109375" style="127" customWidth="1"/>
    <col min="12804" max="12804" width="10.42578125" style="127" customWidth="1"/>
    <col min="12805" max="12805" width="18.5703125" style="127" customWidth="1"/>
    <col min="12806" max="12806" width="11.7109375" style="127" customWidth="1"/>
    <col min="12807" max="12807" width="19.28515625" style="127" customWidth="1"/>
    <col min="12808" max="12808" width="10.28515625" style="127" customWidth="1"/>
    <col min="12809" max="12809" width="19.42578125" style="127" customWidth="1"/>
    <col min="12810" max="12810" width="10.28515625" style="127" customWidth="1"/>
    <col min="12811" max="12811" width="19.5703125" style="127" customWidth="1"/>
    <col min="12812" max="12812" width="10.42578125" style="127" customWidth="1"/>
    <col min="12813" max="12813" width="21.140625" style="127" customWidth="1"/>
    <col min="12814" max="12814" width="11.7109375" style="127" customWidth="1"/>
    <col min="12815" max="13056" width="11.42578125" style="127"/>
    <col min="13057" max="13057" width="13.28515625" style="127" customWidth="1"/>
    <col min="13058" max="13058" width="32.140625" style="127" customWidth="1"/>
    <col min="13059" max="13059" width="20.7109375" style="127" customWidth="1"/>
    <col min="13060" max="13060" width="10.42578125" style="127" customWidth="1"/>
    <col min="13061" max="13061" width="18.5703125" style="127" customWidth="1"/>
    <col min="13062" max="13062" width="11.7109375" style="127" customWidth="1"/>
    <col min="13063" max="13063" width="19.28515625" style="127" customWidth="1"/>
    <col min="13064" max="13064" width="10.28515625" style="127" customWidth="1"/>
    <col min="13065" max="13065" width="19.42578125" style="127" customWidth="1"/>
    <col min="13066" max="13066" width="10.28515625" style="127" customWidth="1"/>
    <col min="13067" max="13067" width="19.5703125" style="127" customWidth="1"/>
    <col min="13068" max="13068" width="10.42578125" style="127" customWidth="1"/>
    <col min="13069" max="13069" width="21.140625" style="127" customWidth="1"/>
    <col min="13070" max="13070" width="11.7109375" style="127" customWidth="1"/>
    <col min="13071" max="13312" width="11.42578125" style="127"/>
    <col min="13313" max="13313" width="13.28515625" style="127" customWidth="1"/>
    <col min="13314" max="13314" width="32.140625" style="127" customWidth="1"/>
    <col min="13315" max="13315" width="20.7109375" style="127" customWidth="1"/>
    <col min="13316" max="13316" width="10.42578125" style="127" customWidth="1"/>
    <col min="13317" max="13317" width="18.5703125" style="127" customWidth="1"/>
    <col min="13318" max="13318" width="11.7109375" style="127" customWidth="1"/>
    <col min="13319" max="13319" width="19.28515625" style="127" customWidth="1"/>
    <col min="13320" max="13320" width="10.28515625" style="127" customWidth="1"/>
    <col min="13321" max="13321" width="19.42578125" style="127" customWidth="1"/>
    <col min="13322" max="13322" width="10.28515625" style="127" customWidth="1"/>
    <col min="13323" max="13323" width="19.5703125" style="127" customWidth="1"/>
    <col min="13324" max="13324" width="10.42578125" style="127" customWidth="1"/>
    <col min="13325" max="13325" width="21.140625" style="127" customWidth="1"/>
    <col min="13326" max="13326" width="11.7109375" style="127" customWidth="1"/>
    <col min="13327" max="13568" width="11.42578125" style="127"/>
    <col min="13569" max="13569" width="13.28515625" style="127" customWidth="1"/>
    <col min="13570" max="13570" width="32.140625" style="127" customWidth="1"/>
    <col min="13571" max="13571" width="20.7109375" style="127" customWidth="1"/>
    <col min="13572" max="13572" width="10.42578125" style="127" customWidth="1"/>
    <col min="13573" max="13573" width="18.5703125" style="127" customWidth="1"/>
    <col min="13574" max="13574" width="11.7109375" style="127" customWidth="1"/>
    <col min="13575" max="13575" width="19.28515625" style="127" customWidth="1"/>
    <col min="13576" max="13576" width="10.28515625" style="127" customWidth="1"/>
    <col min="13577" max="13577" width="19.42578125" style="127" customWidth="1"/>
    <col min="13578" max="13578" width="10.28515625" style="127" customWidth="1"/>
    <col min="13579" max="13579" width="19.5703125" style="127" customWidth="1"/>
    <col min="13580" max="13580" width="10.42578125" style="127" customWidth="1"/>
    <col min="13581" max="13581" width="21.140625" style="127" customWidth="1"/>
    <col min="13582" max="13582" width="11.7109375" style="127" customWidth="1"/>
    <col min="13583" max="13824" width="11.42578125" style="127"/>
    <col min="13825" max="13825" width="13.28515625" style="127" customWidth="1"/>
    <col min="13826" max="13826" width="32.140625" style="127" customWidth="1"/>
    <col min="13827" max="13827" width="20.7109375" style="127" customWidth="1"/>
    <col min="13828" max="13828" width="10.42578125" style="127" customWidth="1"/>
    <col min="13829" max="13829" width="18.5703125" style="127" customWidth="1"/>
    <col min="13830" max="13830" width="11.7109375" style="127" customWidth="1"/>
    <col min="13831" max="13831" width="19.28515625" style="127" customWidth="1"/>
    <col min="13832" max="13832" width="10.28515625" style="127" customWidth="1"/>
    <col min="13833" max="13833" width="19.42578125" style="127" customWidth="1"/>
    <col min="13834" max="13834" width="10.28515625" style="127" customWidth="1"/>
    <col min="13835" max="13835" width="19.5703125" style="127" customWidth="1"/>
    <col min="13836" max="13836" width="10.42578125" style="127" customWidth="1"/>
    <col min="13837" max="13837" width="21.140625" style="127" customWidth="1"/>
    <col min="13838" max="13838" width="11.7109375" style="127" customWidth="1"/>
    <col min="13839" max="14080" width="11.42578125" style="127"/>
    <col min="14081" max="14081" width="13.28515625" style="127" customWidth="1"/>
    <col min="14082" max="14082" width="32.140625" style="127" customWidth="1"/>
    <col min="14083" max="14083" width="20.7109375" style="127" customWidth="1"/>
    <col min="14084" max="14084" width="10.42578125" style="127" customWidth="1"/>
    <col min="14085" max="14085" width="18.5703125" style="127" customWidth="1"/>
    <col min="14086" max="14086" width="11.7109375" style="127" customWidth="1"/>
    <col min="14087" max="14087" width="19.28515625" style="127" customWidth="1"/>
    <col min="14088" max="14088" width="10.28515625" style="127" customWidth="1"/>
    <col min="14089" max="14089" width="19.42578125" style="127" customWidth="1"/>
    <col min="14090" max="14090" width="10.28515625" style="127" customWidth="1"/>
    <col min="14091" max="14091" width="19.5703125" style="127" customWidth="1"/>
    <col min="14092" max="14092" width="10.42578125" style="127" customWidth="1"/>
    <col min="14093" max="14093" width="21.140625" style="127" customWidth="1"/>
    <col min="14094" max="14094" width="11.7109375" style="127" customWidth="1"/>
    <col min="14095" max="14336" width="11.42578125" style="127"/>
    <col min="14337" max="14337" width="13.28515625" style="127" customWidth="1"/>
    <col min="14338" max="14338" width="32.140625" style="127" customWidth="1"/>
    <col min="14339" max="14339" width="20.7109375" style="127" customWidth="1"/>
    <col min="14340" max="14340" width="10.42578125" style="127" customWidth="1"/>
    <col min="14341" max="14341" width="18.5703125" style="127" customWidth="1"/>
    <col min="14342" max="14342" width="11.7109375" style="127" customWidth="1"/>
    <col min="14343" max="14343" width="19.28515625" style="127" customWidth="1"/>
    <col min="14344" max="14344" width="10.28515625" style="127" customWidth="1"/>
    <col min="14345" max="14345" width="19.42578125" style="127" customWidth="1"/>
    <col min="14346" max="14346" width="10.28515625" style="127" customWidth="1"/>
    <col min="14347" max="14347" width="19.5703125" style="127" customWidth="1"/>
    <col min="14348" max="14348" width="10.42578125" style="127" customWidth="1"/>
    <col min="14349" max="14349" width="21.140625" style="127" customWidth="1"/>
    <col min="14350" max="14350" width="11.7109375" style="127" customWidth="1"/>
    <col min="14351" max="14592" width="11.42578125" style="127"/>
    <col min="14593" max="14593" width="13.28515625" style="127" customWidth="1"/>
    <col min="14594" max="14594" width="32.140625" style="127" customWidth="1"/>
    <col min="14595" max="14595" width="20.7109375" style="127" customWidth="1"/>
    <col min="14596" max="14596" width="10.42578125" style="127" customWidth="1"/>
    <col min="14597" max="14597" width="18.5703125" style="127" customWidth="1"/>
    <col min="14598" max="14598" width="11.7109375" style="127" customWidth="1"/>
    <col min="14599" max="14599" width="19.28515625" style="127" customWidth="1"/>
    <col min="14600" max="14600" width="10.28515625" style="127" customWidth="1"/>
    <col min="14601" max="14601" width="19.42578125" style="127" customWidth="1"/>
    <col min="14602" max="14602" width="10.28515625" style="127" customWidth="1"/>
    <col min="14603" max="14603" width="19.5703125" style="127" customWidth="1"/>
    <col min="14604" max="14604" width="10.42578125" style="127" customWidth="1"/>
    <col min="14605" max="14605" width="21.140625" style="127" customWidth="1"/>
    <col min="14606" max="14606" width="11.7109375" style="127" customWidth="1"/>
    <col min="14607" max="14848" width="11.42578125" style="127"/>
    <col min="14849" max="14849" width="13.28515625" style="127" customWidth="1"/>
    <col min="14850" max="14850" width="32.140625" style="127" customWidth="1"/>
    <col min="14851" max="14851" width="20.7109375" style="127" customWidth="1"/>
    <col min="14852" max="14852" width="10.42578125" style="127" customWidth="1"/>
    <col min="14853" max="14853" width="18.5703125" style="127" customWidth="1"/>
    <col min="14854" max="14854" width="11.7109375" style="127" customWidth="1"/>
    <col min="14855" max="14855" width="19.28515625" style="127" customWidth="1"/>
    <col min="14856" max="14856" width="10.28515625" style="127" customWidth="1"/>
    <col min="14857" max="14857" width="19.42578125" style="127" customWidth="1"/>
    <col min="14858" max="14858" width="10.28515625" style="127" customWidth="1"/>
    <col min="14859" max="14859" width="19.5703125" style="127" customWidth="1"/>
    <col min="14860" max="14860" width="10.42578125" style="127" customWidth="1"/>
    <col min="14861" max="14861" width="21.140625" style="127" customWidth="1"/>
    <col min="14862" max="14862" width="11.7109375" style="127" customWidth="1"/>
    <col min="14863" max="15104" width="11.42578125" style="127"/>
    <col min="15105" max="15105" width="13.28515625" style="127" customWidth="1"/>
    <col min="15106" max="15106" width="32.140625" style="127" customWidth="1"/>
    <col min="15107" max="15107" width="20.7109375" style="127" customWidth="1"/>
    <col min="15108" max="15108" width="10.42578125" style="127" customWidth="1"/>
    <col min="15109" max="15109" width="18.5703125" style="127" customWidth="1"/>
    <col min="15110" max="15110" width="11.7109375" style="127" customWidth="1"/>
    <col min="15111" max="15111" width="19.28515625" style="127" customWidth="1"/>
    <col min="15112" max="15112" width="10.28515625" style="127" customWidth="1"/>
    <col min="15113" max="15113" width="19.42578125" style="127" customWidth="1"/>
    <col min="15114" max="15114" width="10.28515625" style="127" customWidth="1"/>
    <col min="15115" max="15115" width="19.5703125" style="127" customWidth="1"/>
    <col min="15116" max="15116" width="10.42578125" style="127" customWidth="1"/>
    <col min="15117" max="15117" width="21.140625" style="127" customWidth="1"/>
    <col min="15118" max="15118" width="11.7109375" style="127" customWidth="1"/>
    <col min="15119" max="15360" width="11.42578125" style="127"/>
    <col min="15361" max="15361" width="13.28515625" style="127" customWidth="1"/>
    <col min="15362" max="15362" width="32.140625" style="127" customWidth="1"/>
    <col min="15363" max="15363" width="20.7109375" style="127" customWidth="1"/>
    <col min="15364" max="15364" width="10.42578125" style="127" customWidth="1"/>
    <col min="15365" max="15365" width="18.5703125" style="127" customWidth="1"/>
    <col min="15366" max="15366" width="11.7109375" style="127" customWidth="1"/>
    <col min="15367" max="15367" width="19.28515625" style="127" customWidth="1"/>
    <col min="15368" max="15368" width="10.28515625" style="127" customWidth="1"/>
    <col min="15369" max="15369" width="19.42578125" style="127" customWidth="1"/>
    <col min="15370" max="15370" width="10.28515625" style="127" customWidth="1"/>
    <col min="15371" max="15371" width="19.5703125" style="127" customWidth="1"/>
    <col min="15372" max="15372" width="10.42578125" style="127" customWidth="1"/>
    <col min="15373" max="15373" width="21.140625" style="127" customWidth="1"/>
    <col min="15374" max="15374" width="11.7109375" style="127" customWidth="1"/>
    <col min="15375" max="15616" width="11.42578125" style="127"/>
    <col min="15617" max="15617" width="13.28515625" style="127" customWidth="1"/>
    <col min="15618" max="15618" width="32.140625" style="127" customWidth="1"/>
    <col min="15619" max="15619" width="20.7109375" style="127" customWidth="1"/>
    <col min="15620" max="15620" width="10.42578125" style="127" customWidth="1"/>
    <col min="15621" max="15621" width="18.5703125" style="127" customWidth="1"/>
    <col min="15622" max="15622" width="11.7109375" style="127" customWidth="1"/>
    <col min="15623" max="15623" width="19.28515625" style="127" customWidth="1"/>
    <col min="15624" max="15624" width="10.28515625" style="127" customWidth="1"/>
    <col min="15625" max="15625" width="19.42578125" style="127" customWidth="1"/>
    <col min="15626" max="15626" width="10.28515625" style="127" customWidth="1"/>
    <col min="15627" max="15627" width="19.5703125" style="127" customWidth="1"/>
    <col min="15628" max="15628" width="10.42578125" style="127" customWidth="1"/>
    <col min="15629" max="15629" width="21.140625" style="127" customWidth="1"/>
    <col min="15630" max="15630" width="11.7109375" style="127" customWidth="1"/>
    <col min="15631" max="15872" width="11.42578125" style="127"/>
    <col min="15873" max="15873" width="13.28515625" style="127" customWidth="1"/>
    <col min="15874" max="15874" width="32.140625" style="127" customWidth="1"/>
    <col min="15875" max="15875" width="20.7109375" style="127" customWidth="1"/>
    <col min="15876" max="15876" width="10.42578125" style="127" customWidth="1"/>
    <col min="15877" max="15877" width="18.5703125" style="127" customWidth="1"/>
    <col min="15878" max="15878" width="11.7109375" style="127" customWidth="1"/>
    <col min="15879" max="15879" width="19.28515625" style="127" customWidth="1"/>
    <col min="15880" max="15880" width="10.28515625" style="127" customWidth="1"/>
    <col min="15881" max="15881" width="19.42578125" style="127" customWidth="1"/>
    <col min="15882" max="15882" width="10.28515625" style="127" customWidth="1"/>
    <col min="15883" max="15883" width="19.5703125" style="127" customWidth="1"/>
    <col min="15884" max="15884" width="10.42578125" style="127" customWidth="1"/>
    <col min="15885" max="15885" width="21.140625" style="127" customWidth="1"/>
    <col min="15886" max="15886" width="11.7109375" style="127" customWidth="1"/>
    <col min="15887" max="16128" width="11.42578125" style="127"/>
    <col min="16129" max="16129" width="13.28515625" style="127" customWidth="1"/>
    <col min="16130" max="16130" width="32.140625" style="127" customWidth="1"/>
    <col min="16131" max="16131" width="20.7109375" style="127" customWidth="1"/>
    <col min="16132" max="16132" width="10.42578125" style="127" customWidth="1"/>
    <col min="16133" max="16133" width="18.5703125" style="127" customWidth="1"/>
    <col min="16134" max="16134" width="11.7109375" style="127" customWidth="1"/>
    <col min="16135" max="16135" width="19.28515625" style="127" customWidth="1"/>
    <col min="16136" max="16136" width="10.28515625" style="127" customWidth="1"/>
    <col min="16137" max="16137" width="19.42578125" style="127" customWidth="1"/>
    <col min="16138" max="16138" width="10.28515625" style="127" customWidth="1"/>
    <col min="16139" max="16139" width="19.5703125" style="127" customWidth="1"/>
    <col min="16140" max="16140" width="10.42578125" style="127" customWidth="1"/>
    <col min="16141" max="16141" width="21.140625" style="127" customWidth="1"/>
    <col min="16142" max="16142" width="11.7109375" style="127" customWidth="1"/>
    <col min="16143" max="16384" width="11.42578125" style="127"/>
  </cols>
  <sheetData>
    <row r="1" spans="1:14" ht="67.5" customHeight="1" x14ac:dyDescent="0.2">
      <c r="A1" s="661" t="s">
        <v>1704</v>
      </c>
      <c r="B1" s="662"/>
      <c r="C1" s="662"/>
      <c r="D1" s="662"/>
      <c r="E1" s="662"/>
      <c r="F1" s="662"/>
      <c r="G1" s="662"/>
      <c r="H1" s="662"/>
      <c r="I1" s="662"/>
      <c r="J1" s="662"/>
      <c r="K1" s="662"/>
      <c r="L1" s="662"/>
      <c r="M1" s="662"/>
      <c r="N1" s="662"/>
    </row>
    <row r="2" spans="1:14" s="128" customFormat="1" ht="44.25" customHeight="1" x14ac:dyDescent="0.2">
      <c r="A2" s="533"/>
      <c r="B2" s="534" t="s">
        <v>4</v>
      </c>
      <c r="C2" s="535" t="s">
        <v>1513</v>
      </c>
      <c r="D2" s="535" t="s">
        <v>1514</v>
      </c>
      <c r="E2" s="535" t="s">
        <v>1515</v>
      </c>
      <c r="F2" s="535" t="s">
        <v>1516</v>
      </c>
      <c r="G2" s="535" t="s">
        <v>1490</v>
      </c>
      <c r="H2" s="536" t="s">
        <v>1517</v>
      </c>
      <c r="I2" s="535" t="s">
        <v>1518</v>
      </c>
      <c r="J2" s="535" t="s">
        <v>1505</v>
      </c>
      <c r="K2" s="535" t="s">
        <v>1519</v>
      </c>
      <c r="L2" s="535" t="s">
        <v>1520</v>
      </c>
      <c r="M2" s="537" t="s">
        <v>1521</v>
      </c>
      <c r="N2" s="535" t="s">
        <v>1522</v>
      </c>
    </row>
    <row r="3" spans="1:14" s="138" customFormat="1" ht="15.75" x14ac:dyDescent="0.25">
      <c r="A3" s="129">
        <v>304</v>
      </c>
      <c r="B3" s="130" t="s">
        <v>1523</v>
      </c>
      <c r="C3" s="131">
        <f>'RESUMEN POR UNIDAD'!E7</f>
        <v>457524940</v>
      </c>
      <c r="D3" s="132">
        <v>1</v>
      </c>
      <c r="E3" s="133">
        <v>421596834.77999997</v>
      </c>
      <c r="F3" s="384">
        <f>E3/C3</f>
        <v>0.92147290326949161</v>
      </c>
      <c r="G3" s="134">
        <f>'RESUMEN POR UNIDAD'!F8</f>
        <v>421596834.77999997</v>
      </c>
      <c r="H3" s="382">
        <f>G3/C3</f>
        <v>0.92147290326949161</v>
      </c>
      <c r="I3" s="135">
        <f>'RESUMEN POR UNIDAD'!G8</f>
        <v>421596834.77999997</v>
      </c>
      <c r="J3" s="386">
        <f>I3/G3</f>
        <v>1</v>
      </c>
      <c r="K3" s="136">
        <v>421596834.77999997</v>
      </c>
      <c r="L3" s="386">
        <f>K3/G3</f>
        <v>1</v>
      </c>
      <c r="M3" s="137">
        <f t="shared" ref="M3:M15" si="0">C3-E3</f>
        <v>35928105.220000029</v>
      </c>
      <c r="N3" s="387">
        <f>M3/C3</f>
        <v>7.8527096730508353E-2</v>
      </c>
    </row>
    <row r="4" spans="1:14" s="138" customFormat="1" ht="15.75" x14ac:dyDescent="0.25">
      <c r="A4" s="129">
        <v>305</v>
      </c>
      <c r="B4" s="130" t="s">
        <v>1524</v>
      </c>
      <c r="C4" s="131">
        <f>'RESUMEN POR UNIDAD'!E13</f>
        <v>910965833</v>
      </c>
      <c r="D4" s="132">
        <v>1</v>
      </c>
      <c r="E4" s="133">
        <v>877866456</v>
      </c>
      <c r="F4" s="384">
        <f t="shared" ref="F4:F15" si="1">E4/C4</f>
        <v>0.96366562191361571</v>
      </c>
      <c r="G4" s="134">
        <f>'RESUMEN POR UNIDAD'!F13</f>
        <v>877866456</v>
      </c>
      <c r="H4" s="382">
        <f t="shared" ref="H4:H16" si="2">G4/C4</f>
        <v>0.96366562191361571</v>
      </c>
      <c r="I4" s="135">
        <f>'RESUMEN POR UNIDAD'!G13</f>
        <v>877866456</v>
      </c>
      <c r="J4" s="386">
        <f t="shared" ref="J4:J15" si="3">I4/G4</f>
        <v>1</v>
      </c>
      <c r="K4" s="136">
        <v>877866456</v>
      </c>
      <c r="L4" s="386">
        <f t="shared" ref="L4:L20" si="4">K4/G4</f>
        <v>1</v>
      </c>
      <c r="M4" s="137">
        <f t="shared" si="0"/>
        <v>33099377</v>
      </c>
      <c r="N4" s="387">
        <f t="shared" ref="N4:N15" si="5">M4/C4</f>
        <v>3.6334378086384275E-2</v>
      </c>
    </row>
    <row r="5" spans="1:14" s="138" customFormat="1" ht="15.75" x14ac:dyDescent="0.25">
      <c r="A5" s="129">
        <v>307</v>
      </c>
      <c r="B5" s="130" t="s">
        <v>1525</v>
      </c>
      <c r="C5" s="131">
        <f>'RESUMEN POR UNIDAD'!E19</f>
        <v>2801625342.8400002</v>
      </c>
      <c r="D5" s="132">
        <v>1</v>
      </c>
      <c r="E5" s="133">
        <v>2189284618.6799998</v>
      </c>
      <c r="F5" s="384">
        <f t="shared" si="1"/>
        <v>0.78143375747048593</v>
      </c>
      <c r="G5" s="134">
        <f>'RESUMEN POR UNIDAD'!F19</f>
        <v>2189284618.6800003</v>
      </c>
      <c r="H5" s="382">
        <f t="shared" si="2"/>
        <v>0.78143375747048616</v>
      </c>
      <c r="I5" s="135">
        <f>'RESUMEN POR UNIDAD'!G19</f>
        <v>2189284618.6800003</v>
      </c>
      <c r="J5" s="386">
        <f t="shared" si="3"/>
        <v>1</v>
      </c>
      <c r="K5" s="136">
        <v>2189284618.6799998</v>
      </c>
      <c r="L5" s="386">
        <f t="shared" si="4"/>
        <v>0.99999999999999978</v>
      </c>
      <c r="M5" s="137">
        <f t="shared" si="0"/>
        <v>612340724.16000032</v>
      </c>
      <c r="N5" s="387">
        <f t="shared" si="5"/>
        <v>0.21856624252951401</v>
      </c>
    </row>
    <row r="6" spans="1:14" s="138" customFormat="1" ht="15.75" x14ac:dyDescent="0.25">
      <c r="A6" s="129">
        <v>308</v>
      </c>
      <c r="B6" s="130" t="s">
        <v>1526</v>
      </c>
      <c r="C6" s="137">
        <f>'RESUMEN POR UNIDAD'!E24</f>
        <v>19845352105.279999</v>
      </c>
      <c r="D6" s="132">
        <v>1</v>
      </c>
      <c r="E6" s="133">
        <v>4976127086.9700003</v>
      </c>
      <c r="F6" s="384">
        <f t="shared" si="1"/>
        <v>0.25074521533160732</v>
      </c>
      <c r="G6" s="139">
        <f>'RESUMEN POR UNIDAD'!F24</f>
        <v>4976127086.9700003</v>
      </c>
      <c r="H6" s="382">
        <f t="shared" si="2"/>
        <v>0.25074521533160732</v>
      </c>
      <c r="I6" s="135">
        <f>'RESUMEN POR UNIDAD'!G24</f>
        <v>4976127086.9700003</v>
      </c>
      <c r="J6" s="386">
        <f t="shared" si="3"/>
        <v>1</v>
      </c>
      <c r="K6" s="136">
        <v>4976127086.9700003</v>
      </c>
      <c r="L6" s="386">
        <f t="shared" si="4"/>
        <v>1</v>
      </c>
      <c r="M6" s="137">
        <f t="shared" si="0"/>
        <v>14869225018.309998</v>
      </c>
      <c r="N6" s="387">
        <f t="shared" si="5"/>
        <v>0.74925478466839257</v>
      </c>
    </row>
    <row r="7" spans="1:14" s="138" customFormat="1" ht="15.75" x14ac:dyDescent="0.25">
      <c r="A7" s="129">
        <v>309</v>
      </c>
      <c r="B7" s="130" t="s">
        <v>1527</v>
      </c>
      <c r="C7" s="137">
        <f>'RESUMEN POR UNIDAD'!E52</f>
        <v>6443722008.3299999</v>
      </c>
      <c r="D7" s="132">
        <v>1</v>
      </c>
      <c r="E7" s="133">
        <v>2583294879.1700001</v>
      </c>
      <c r="F7" s="384">
        <f t="shared" si="1"/>
        <v>0.4009010438114019</v>
      </c>
      <c r="G7" s="139">
        <f>'RESUMEN POR UNIDAD'!F52</f>
        <v>2583294879.1700001</v>
      </c>
      <c r="H7" s="382">
        <f t="shared" si="2"/>
        <v>0.4009010438114019</v>
      </c>
      <c r="I7" s="135">
        <f>'RESUMEN POR UNIDAD'!G52</f>
        <v>2583294879.1700001</v>
      </c>
      <c r="J7" s="386">
        <f t="shared" si="3"/>
        <v>1</v>
      </c>
      <c r="K7" s="136">
        <v>2583294879.1700001</v>
      </c>
      <c r="L7" s="386">
        <f t="shared" si="4"/>
        <v>1</v>
      </c>
      <c r="M7" s="137">
        <f t="shared" si="0"/>
        <v>3860427129.1599998</v>
      </c>
      <c r="N7" s="387">
        <f t="shared" si="5"/>
        <v>0.5990989561885981</v>
      </c>
    </row>
    <row r="8" spans="1:14" s="138" customFormat="1" ht="15.75" x14ac:dyDescent="0.25">
      <c r="A8" s="129">
        <v>310</v>
      </c>
      <c r="B8" s="130" t="s">
        <v>166</v>
      </c>
      <c r="C8" s="131">
        <f>'RESUMEN POR UNIDAD'!E74</f>
        <v>3988607319.3199997</v>
      </c>
      <c r="D8" s="132">
        <v>1</v>
      </c>
      <c r="E8" s="133">
        <v>3398905453.8099999</v>
      </c>
      <c r="F8" s="384">
        <f t="shared" si="1"/>
        <v>0.85215344146474281</v>
      </c>
      <c r="G8" s="139">
        <f>'RESUMEN POR UNIDAD'!F74</f>
        <v>3398905453.8099999</v>
      </c>
      <c r="H8" s="382">
        <f t="shared" si="2"/>
        <v>0.85215344146474281</v>
      </c>
      <c r="I8" s="135">
        <f>'RESUMEN POR UNIDAD'!G74</f>
        <v>3398905453.8099999</v>
      </c>
      <c r="J8" s="386">
        <f t="shared" si="3"/>
        <v>1</v>
      </c>
      <c r="K8" s="136">
        <v>3398905453.8099999</v>
      </c>
      <c r="L8" s="386">
        <f t="shared" si="4"/>
        <v>1</v>
      </c>
      <c r="M8" s="137">
        <f t="shared" si="0"/>
        <v>589701865.50999975</v>
      </c>
      <c r="N8" s="387">
        <f t="shared" si="5"/>
        <v>0.14784655853525722</v>
      </c>
    </row>
    <row r="9" spans="1:14" s="138" customFormat="1" ht="19.5" customHeight="1" x14ac:dyDescent="0.25">
      <c r="A9" s="129">
        <v>311</v>
      </c>
      <c r="B9" s="140" t="s">
        <v>1528</v>
      </c>
      <c r="C9" s="131">
        <f>'RESUMEN POR UNIDAD'!E80</f>
        <v>3556587709.6100001</v>
      </c>
      <c r="D9" s="132">
        <v>1</v>
      </c>
      <c r="E9" s="133">
        <v>2928955045.5100002</v>
      </c>
      <c r="F9" s="384">
        <f t="shared" si="1"/>
        <v>0.82352954141855728</v>
      </c>
      <c r="G9" s="139">
        <f>'RESUMEN POR UNIDAD'!F80</f>
        <v>2928955045.5100002</v>
      </c>
      <c r="H9" s="382">
        <f t="shared" si="2"/>
        <v>0.82352954141855728</v>
      </c>
      <c r="I9" s="135">
        <f>'RESUMEN POR UNIDAD'!G80</f>
        <v>2928955045.5100002</v>
      </c>
      <c r="J9" s="386">
        <f t="shared" si="3"/>
        <v>1</v>
      </c>
      <c r="K9" s="136">
        <v>2928955045.5100002</v>
      </c>
      <c r="L9" s="386">
        <f t="shared" si="4"/>
        <v>1</v>
      </c>
      <c r="M9" s="137">
        <f t="shared" si="0"/>
        <v>627632664.0999999</v>
      </c>
      <c r="N9" s="387">
        <f t="shared" si="5"/>
        <v>0.17647045858144275</v>
      </c>
    </row>
    <row r="10" spans="1:14" s="138" customFormat="1" ht="30" x14ac:dyDescent="0.25">
      <c r="A10" s="129">
        <v>312</v>
      </c>
      <c r="B10" s="140" t="s">
        <v>1529</v>
      </c>
      <c r="C10" s="131">
        <f>'RESUMEN POR UNIDAD'!E87</f>
        <v>3838799887.6300001</v>
      </c>
      <c r="D10" s="132">
        <v>1</v>
      </c>
      <c r="E10" s="133">
        <v>2309257005.5699997</v>
      </c>
      <c r="F10" s="384">
        <f t="shared" si="1"/>
        <v>0.60155701603807477</v>
      </c>
      <c r="G10" s="139">
        <f>'RESUMEN POR UNIDAD'!F87</f>
        <v>2309257005.5699997</v>
      </c>
      <c r="H10" s="382">
        <f t="shared" si="2"/>
        <v>0.60155701603807477</v>
      </c>
      <c r="I10" s="135">
        <f>'RESUMEN POR UNIDAD'!G87</f>
        <v>2309257005.5699997</v>
      </c>
      <c r="J10" s="386">
        <f t="shared" si="3"/>
        <v>1</v>
      </c>
      <c r="K10" s="136">
        <v>2309257005.5700002</v>
      </c>
      <c r="L10" s="386">
        <f t="shared" si="4"/>
        <v>1.0000000000000002</v>
      </c>
      <c r="M10" s="137">
        <f t="shared" si="0"/>
        <v>1529542882.0600004</v>
      </c>
      <c r="N10" s="387">
        <f t="shared" si="5"/>
        <v>0.39844298396192518</v>
      </c>
    </row>
    <row r="11" spans="1:14" s="143" customFormat="1" ht="15.75" x14ac:dyDescent="0.25">
      <c r="A11" s="141">
        <v>313</v>
      </c>
      <c r="B11" s="130" t="s">
        <v>1530</v>
      </c>
      <c r="C11" s="142">
        <f>'RESUMEN POR UNIDAD'!E107</f>
        <v>1177000000</v>
      </c>
      <c r="D11" s="132">
        <v>1</v>
      </c>
      <c r="E11" s="133">
        <v>1175258655.9299998</v>
      </c>
      <c r="F11" s="384">
        <f t="shared" si="1"/>
        <v>0.99852052330501262</v>
      </c>
      <c r="G11" s="139">
        <f>'RESUMEN POR UNIDAD'!F107</f>
        <v>1175258655.9299998</v>
      </c>
      <c r="H11" s="382">
        <f t="shared" si="2"/>
        <v>0.99852052330501262</v>
      </c>
      <c r="I11" s="135">
        <f>'RESUMEN POR UNIDAD'!G107</f>
        <v>1175258655.9299998</v>
      </c>
      <c r="J11" s="386">
        <f t="shared" si="3"/>
        <v>1</v>
      </c>
      <c r="K11" s="136">
        <v>1175258655.9300001</v>
      </c>
      <c r="L11" s="386">
        <f t="shared" si="4"/>
        <v>1.0000000000000002</v>
      </c>
      <c r="M11" s="137">
        <f t="shared" si="0"/>
        <v>1741344.0700001717</v>
      </c>
      <c r="N11" s="387">
        <f t="shared" si="5"/>
        <v>1.4794766949874016E-3</v>
      </c>
    </row>
    <row r="12" spans="1:14" s="143" customFormat="1" ht="15.75" x14ac:dyDescent="0.25">
      <c r="A12" s="141">
        <v>314</v>
      </c>
      <c r="B12" s="130" t="s">
        <v>156</v>
      </c>
      <c r="C12" s="144">
        <f>'RESUMEN POR UNIDAD'!E113</f>
        <v>193197400269.78006</v>
      </c>
      <c r="D12" s="132">
        <v>1</v>
      </c>
      <c r="E12" s="133">
        <v>188842332007.94998</v>
      </c>
      <c r="F12" s="384">
        <f t="shared" si="1"/>
        <v>0.97745793548076387</v>
      </c>
      <c r="G12" s="139">
        <f>'RESUMEN POR UNIDAD'!F113</f>
        <v>188842332007.94998</v>
      </c>
      <c r="H12" s="382">
        <f t="shared" si="2"/>
        <v>0.97745793548076387</v>
      </c>
      <c r="I12" s="135">
        <f>'RESUMEN POR UNIDAD'!G113</f>
        <v>188842332007.94998</v>
      </c>
      <c r="J12" s="386">
        <f t="shared" si="3"/>
        <v>1</v>
      </c>
      <c r="K12" s="136">
        <v>188213034889.94998</v>
      </c>
      <c r="L12" s="548">
        <f t="shared" si="4"/>
        <v>0.99666760566177759</v>
      </c>
      <c r="M12" s="137">
        <f t="shared" si="0"/>
        <v>4355068261.8300781</v>
      </c>
      <c r="N12" s="387">
        <f t="shared" si="5"/>
        <v>2.2542064519236172E-2</v>
      </c>
    </row>
    <row r="13" spans="1:14" s="138" customFormat="1" ht="15.75" x14ac:dyDescent="0.25">
      <c r="A13" s="129">
        <v>316</v>
      </c>
      <c r="B13" s="130" t="s">
        <v>1531</v>
      </c>
      <c r="C13" s="142">
        <f>'RESUMEN POR UNIDAD'!E122</f>
        <v>6915266350.0100002</v>
      </c>
      <c r="D13" s="132">
        <v>1</v>
      </c>
      <c r="E13" s="133">
        <v>5456827952.6399994</v>
      </c>
      <c r="F13" s="384">
        <f t="shared" si="1"/>
        <v>0.78909873842127687</v>
      </c>
      <c r="G13" s="139">
        <f>'RESUMEN POR UNIDAD'!F122</f>
        <v>5456827952.6399994</v>
      </c>
      <c r="H13" s="382">
        <f t="shared" si="2"/>
        <v>0.78909873842127687</v>
      </c>
      <c r="I13" s="135">
        <f>'RESUMEN POR UNIDAD'!G122</f>
        <v>5456827952.6399994</v>
      </c>
      <c r="J13" s="386">
        <f t="shared" si="3"/>
        <v>1</v>
      </c>
      <c r="K13" s="136">
        <v>5456827952.6400003</v>
      </c>
      <c r="L13" s="386">
        <f t="shared" si="4"/>
        <v>1.0000000000000002</v>
      </c>
      <c r="M13" s="137">
        <f t="shared" si="0"/>
        <v>1458438397.3700008</v>
      </c>
      <c r="N13" s="387">
        <f t="shared" si="5"/>
        <v>0.2109012615787231</v>
      </c>
    </row>
    <row r="14" spans="1:14" s="138" customFormat="1" ht="15.75" x14ac:dyDescent="0.25">
      <c r="A14" s="129">
        <v>318</v>
      </c>
      <c r="B14" s="130" t="s">
        <v>1532</v>
      </c>
      <c r="C14" s="131">
        <f>'RESUMEN POR UNIDAD'!E142</f>
        <v>75161612366.110001</v>
      </c>
      <c r="D14" s="132">
        <v>1</v>
      </c>
      <c r="E14" s="133">
        <v>69848426417.619995</v>
      </c>
      <c r="F14" s="384">
        <f t="shared" si="1"/>
        <v>0.92930984606065081</v>
      </c>
      <c r="G14" s="139">
        <f>'RESUMEN POR UNIDAD'!F142</f>
        <v>69848426417.649994</v>
      </c>
      <c r="H14" s="382">
        <f t="shared" si="2"/>
        <v>0.92930984606104994</v>
      </c>
      <c r="I14" s="135">
        <f>'RESUMEN POR UNIDAD'!G142</f>
        <v>69848426417.649994</v>
      </c>
      <c r="J14" s="386">
        <f t="shared" si="3"/>
        <v>1</v>
      </c>
      <c r="K14" s="136">
        <v>69848426417.649994</v>
      </c>
      <c r="L14" s="386">
        <f t="shared" si="4"/>
        <v>1</v>
      </c>
      <c r="M14" s="137">
        <f t="shared" si="0"/>
        <v>5313185948.4900055</v>
      </c>
      <c r="N14" s="387">
        <f t="shared" si="5"/>
        <v>7.069015393934916E-2</v>
      </c>
    </row>
    <row r="15" spans="1:14" s="138" customFormat="1" ht="30" x14ac:dyDescent="0.25">
      <c r="A15" s="129">
        <v>324</v>
      </c>
      <c r="B15" s="140" t="s">
        <v>1533</v>
      </c>
      <c r="C15" s="131">
        <f>'RESUMEN POR UNIDAD'!E149</f>
        <v>1196000000</v>
      </c>
      <c r="D15" s="132">
        <v>1</v>
      </c>
      <c r="E15" s="133">
        <v>1057106946.9200001</v>
      </c>
      <c r="F15" s="384">
        <f t="shared" si="1"/>
        <v>0.88386868471571911</v>
      </c>
      <c r="G15" s="139">
        <f>'RESUMEN POR UNIDAD'!F149</f>
        <v>1057106946.9200001</v>
      </c>
      <c r="H15" s="382">
        <f t="shared" si="2"/>
        <v>0.88386868471571911</v>
      </c>
      <c r="I15" s="135">
        <f>'RESUMEN POR UNIDAD'!G149</f>
        <v>1057106946.9200001</v>
      </c>
      <c r="J15" s="386">
        <f t="shared" si="3"/>
        <v>1</v>
      </c>
      <c r="K15" s="136">
        <v>1057106946.92</v>
      </c>
      <c r="L15" s="386">
        <f t="shared" si="4"/>
        <v>0.99999999999999989</v>
      </c>
      <c r="M15" s="137">
        <f t="shared" si="0"/>
        <v>138893053.07999992</v>
      </c>
      <c r="N15" s="387">
        <f t="shared" si="5"/>
        <v>0.11613131528428088</v>
      </c>
    </row>
    <row r="16" spans="1:14" s="145" customFormat="1" ht="16.5" customHeight="1" x14ac:dyDescent="0.25">
      <c r="A16" s="525"/>
      <c r="B16" s="525" t="s">
        <v>1459</v>
      </c>
      <c r="C16" s="526">
        <f>SUM(C3:C15)</f>
        <v>319490464131.91003</v>
      </c>
      <c r="D16" s="527">
        <v>1</v>
      </c>
      <c r="E16" s="526">
        <f>SUM(E3:E15)</f>
        <v>286065239361.54999</v>
      </c>
      <c r="F16" s="528">
        <f>E16/C16</f>
        <v>0.89537958554982233</v>
      </c>
      <c r="G16" s="526">
        <f>SUM(G3:G15)</f>
        <v>286065239361.58002</v>
      </c>
      <c r="H16" s="382">
        <f t="shared" si="2"/>
        <v>0.89537958554991637</v>
      </c>
      <c r="I16" s="526">
        <f>SUM(I3:I15)</f>
        <v>286065239361.58002</v>
      </c>
      <c r="J16" s="530">
        <f>I16/G16</f>
        <v>1</v>
      </c>
      <c r="K16" s="526">
        <f>SUM(K3:K15)</f>
        <v>285435942243.58002</v>
      </c>
      <c r="L16" s="530">
        <f t="shared" si="4"/>
        <v>0.99780016223080992</v>
      </c>
      <c r="M16" s="526">
        <f>SUM(M3:M15)</f>
        <v>33425224770.360085</v>
      </c>
      <c r="N16" s="528">
        <f>M16/C16</f>
        <v>0.10462041445017778</v>
      </c>
    </row>
    <row r="17" spans="1:17" ht="15.75" x14ac:dyDescent="0.2">
      <c r="A17" s="129">
        <v>319</v>
      </c>
      <c r="B17" s="130" t="s">
        <v>1534</v>
      </c>
      <c r="C17" s="142">
        <f>'RESUMEN POR UNIDAD'!E164</f>
        <v>7160417690.0300007</v>
      </c>
      <c r="D17" s="132">
        <v>1</v>
      </c>
      <c r="E17" s="133">
        <v>4672994056.9699993</v>
      </c>
      <c r="F17" s="384">
        <f>E17/C17</f>
        <v>0.6526147299307089</v>
      </c>
      <c r="G17" s="139">
        <f>'RESUMEN POR UNIDAD'!F164</f>
        <v>4672994056.9699993</v>
      </c>
      <c r="H17" s="382">
        <f>G17/C17</f>
        <v>0.6526147299307089</v>
      </c>
      <c r="I17" s="135">
        <f>'RESUMEN POR UNIDAD'!G164</f>
        <v>4652079056.9699993</v>
      </c>
      <c r="J17" s="386">
        <f t="shared" ref="J17:J20" si="6">I17/G17</f>
        <v>0.99552428277352412</v>
      </c>
      <c r="K17" s="136">
        <v>4652079056.9700003</v>
      </c>
      <c r="L17" s="386">
        <f t="shared" si="4"/>
        <v>0.99552428277352434</v>
      </c>
      <c r="M17" s="137">
        <f>C17-E17</f>
        <v>2487423633.0600014</v>
      </c>
      <c r="N17" s="387">
        <f t="shared" ref="N17:N20" si="7">M17/C17</f>
        <v>0.3473852700692911</v>
      </c>
    </row>
    <row r="18" spans="1:17" s="146" customFormat="1" ht="15.75" x14ac:dyDescent="0.2">
      <c r="A18" s="129">
        <v>320</v>
      </c>
      <c r="B18" s="130" t="s">
        <v>1535</v>
      </c>
      <c r="C18" s="131">
        <f>'RESUMEN POR UNIDAD'!E170</f>
        <v>2637286334.9400001</v>
      </c>
      <c r="D18" s="132">
        <v>1</v>
      </c>
      <c r="E18" s="133">
        <v>2383790557.2240133</v>
      </c>
      <c r="F18" s="384">
        <f>E18/C18</f>
        <v>0.90388007007143811</v>
      </c>
      <c r="G18" s="139">
        <f>'RESUMEN POR UNIDAD'!F170</f>
        <v>2383790557.2240133</v>
      </c>
      <c r="H18" s="382">
        <f>G18/C18</f>
        <v>0.90388007007143811</v>
      </c>
      <c r="I18" s="135">
        <f>'RESUMEN POR UNIDAD'!G170</f>
        <v>2216880294.2925234</v>
      </c>
      <c r="J18" s="386">
        <f t="shared" si="6"/>
        <v>0.92998115441573803</v>
      </c>
      <c r="K18" s="136">
        <v>2216880294.2925234</v>
      </c>
      <c r="L18" s="386">
        <f t="shared" si="4"/>
        <v>0.92998115441573803</v>
      </c>
      <c r="M18" s="137">
        <f>C18-E18</f>
        <v>253495777.71598673</v>
      </c>
      <c r="N18" s="387">
        <f t="shared" si="7"/>
        <v>9.6119929928561942E-2</v>
      </c>
    </row>
    <row r="19" spans="1:17" s="146" customFormat="1" ht="30" x14ac:dyDescent="0.2">
      <c r="A19" s="129">
        <v>321</v>
      </c>
      <c r="B19" s="140" t="s">
        <v>1703</v>
      </c>
      <c r="C19" s="131">
        <f>'RESUMEN POR UNIDAD'!E182</f>
        <v>110210000</v>
      </c>
      <c r="D19" s="132">
        <v>1</v>
      </c>
      <c r="E19" s="133">
        <v>107716000</v>
      </c>
      <c r="F19" s="384">
        <f>E19/C19</f>
        <v>0.97737047454858905</v>
      </c>
      <c r="G19" s="139">
        <f>'RESUMEN POR UNIDAD'!F182</f>
        <v>107716000</v>
      </c>
      <c r="H19" s="382">
        <f>G19/C19</f>
        <v>0.97737047454858905</v>
      </c>
      <c r="I19" s="135">
        <f>'RESUMEN POR UNIDAD'!G182</f>
        <v>107716000</v>
      </c>
      <c r="J19" s="386">
        <f t="shared" si="6"/>
        <v>1</v>
      </c>
      <c r="K19" s="136">
        <v>107716000</v>
      </c>
      <c r="L19" s="386">
        <f t="shared" si="4"/>
        <v>1</v>
      </c>
      <c r="M19" s="137">
        <f>C19-E19</f>
        <v>2494000</v>
      </c>
      <c r="N19" s="387">
        <f t="shared" si="7"/>
        <v>2.2629525451410944E-2</v>
      </c>
    </row>
    <row r="20" spans="1:17" s="146" customFormat="1" ht="15.75" x14ac:dyDescent="0.2">
      <c r="A20" s="531"/>
      <c r="B20" s="532" t="s">
        <v>1468</v>
      </c>
      <c r="C20" s="526">
        <f>SUM(C17:C19)</f>
        <v>9907914024.9700012</v>
      </c>
      <c r="D20" s="527">
        <v>1</v>
      </c>
      <c r="E20" s="526">
        <f>SUM(E17:E19)</f>
        <v>7164500614.1940126</v>
      </c>
      <c r="F20" s="528">
        <f>E20/C20</f>
        <v>0.72310888004659535</v>
      </c>
      <c r="G20" s="526">
        <f>SUM(G17:G19)</f>
        <v>7164500614.1940126</v>
      </c>
      <c r="H20" s="529">
        <f>G20/C20</f>
        <v>0.72310888004659535</v>
      </c>
      <c r="I20" s="526">
        <f>SUM(I17:I19)</f>
        <v>6976675351.2625227</v>
      </c>
      <c r="J20" s="530">
        <f t="shared" si="6"/>
        <v>0.97378390022615413</v>
      </c>
      <c r="K20" s="526">
        <f>SUM(K17:K19)</f>
        <v>6976675351.2625237</v>
      </c>
      <c r="L20" s="530">
        <f t="shared" si="4"/>
        <v>0.97378390022615435</v>
      </c>
      <c r="M20" s="526">
        <f>SUM(M17:M19)</f>
        <v>2743413410.7759881</v>
      </c>
      <c r="N20" s="528">
        <f t="shared" si="7"/>
        <v>0.2768911199534046</v>
      </c>
    </row>
    <row r="21" spans="1:17" s="146" customFormat="1" x14ac:dyDescent="0.2">
      <c r="A21" s="127"/>
      <c r="B21" s="147"/>
      <c r="C21" s="148"/>
      <c r="D21" s="149"/>
      <c r="E21" s="149"/>
      <c r="F21" s="385"/>
      <c r="H21" s="383"/>
      <c r="J21" s="383"/>
      <c r="L21" s="383"/>
      <c r="N21" s="388"/>
    </row>
    <row r="22" spans="1:17" s="146" customFormat="1" ht="15.75" x14ac:dyDescent="0.2">
      <c r="A22" s="538"/>
      <c r="B22" s="539" t="s">
        <v>1552</v>
      </c>
      <c r="C22" s="540">
        <f>C16+C20</f>
        <v>329398378156.88</v>
      </c>
      <c r="D22" s="541">
        <v>1</v>
      </c>
      <c r="E22" s="540">
        <f>E16+E20</f>
        <v>293229739975.74402</v>
      </c>
      <c r="F22" s="542">
        <f>E22/C22</f>
        <v>0.89019788626915997</v>
      </c>
      <c r="G22" s="540">
        <f>G16+G20</f>
        <v>293229739975.77405</v>
      </c>
      <c r="H22" s="543">
        <f>G22/C22</f>
        <v>0.89019788626925112</v>
      </c>
      <c r="I22" s="540">
        <f>I16+I20</f>
        <v>293041914712.84253</v>
      </c>
      <c r="J22" s="544">
        <f>I22/G22</f>
        <v>0.99935946039120371</v>
      </c>
      <c r="K22" s="540">
        <f>K16+K20</f>
        <v>292412617594.84253</v>
      </c>
      <c r="L22" s="544">
        <f>K22/G22</f>
        <v>0.997213371396097</v>
      </c>
      <c r="M22" s="540">
        <f>M16+M20</f>
        <v>36168638181.13607</v>
      </c>
      <c r="N22" s="542">
        <f>M22/C22</f>
        <v>0.10980211373084027</v>
      </c>
    </row>
    <row r="23" spans="1:17" s="146" customFormat="1" ht="15" x14ac:dyDescent="0.25">
      <c r="A23" s="127"/>
      <c r="B23" s="150" t="s">
        <v>1536</v>
      </c>
      <c r="C23" s="151" t="s">
        <v>1537</v>
      </c>
      <c r="D23" s="152" t="s">
        <v>1538</v>
      </c>
      <c r="E23" s="152"/>
      <c r="F23" s="152"/>
      <c r="K23" s="268"/>
      <c r="M23" s="150"/>
      <c r="N23" s="151"/>
      <c r="O23" s="152"/>
      <c r="P23" s="153"/>
      <c r="Q23" s="153"/>
    </row>
    <row r="24" spans="1:17" s="146" customFormat="1" ht="16.5" thickBot="1" x14ac:dyDescent="0.3">
      <c r="A24" s="127"/>
      <c r="B24" s="394" t="s">
        <v>1549</v>
      </c>
      <c r="C24" s="395">
        <f>C16</f>
        <v>319490464131.91003</v>
      </c>
      <c r="D24" s="154">
        <f>C24/C24</f>
        <v>1</v>
      </c>
      <c r="E24" s="154"/>
      <c r="F24" s="155"/>
      <c r="M24" s="156"/>
      <c r="N24" s="157"/>
      <c r="O24" s="155"/>
      <c r="P24" s="153"/>
      <c r="Q24" s="153"/>
    </row>
    <row r="25" spans="1:17" s="146" customFormat="1" ht="15.75" x14ac:dyDescent="0.25">
      <c r="A25" s="127"/>
      <c r="B25" s="394" t="s">
        <v>1539</v>
      </c>
      <c r="C25" s="395">
        <f>E16</f>
        <v>286065239361.54999</v>
      </c>
      <c r="D25" s="396">
        <f>C25/C24</f>
        <v>0.89537958554982233</v>
      </c>
      <c r="E25" s="631" t="s">
        <v>1702</v>
      </c>
      <c r="F25" s="632"/>
      <c r="G25" s="153"/>
      <c r="M25" s="156"/>
      <c r="N25" s="157"/>
      <c r="O25" s="158"/>
      <c r="P25" s="153"/>
      <c r="Q25" s="153"/>
    </row>
    <row r="26" spans="1:17" s="146" customFormat="1" ht="15.75" x14ac:dyDescent="0.25">
      <c r="A26" s="127"/>
      <c r="B26" s="394" t="s">
        <v>1540</v>
      </c>
      <c r="C26" s="395">
        <f>G16</f>
        <v>286065239361.58002</v>
      </c>
      <c r="D26" s="397">
        <f>C26/C24</f>
        <v>0.89537958554991637</v>
      </c>
      <c r="E26" s="633" t="s">
        <v>1544</v>
      </c>
      <c r="F26" s="634"/>
      <c r="G26" s="153"/>
      <c r="M26" s="156"/>
      <c r="N26" s="157"/>
      <c r="O26" s="159"/>
      <c r="P26" s="153"/>
      <c r="Q26" s="153"/>
    </row>
    <row r="27" spans="1:17" s="146" customFormat="1" ht="15.75" x14ac:dyDescent="0.25">
      <c r="A27" s="127"/>
      <c r="B27" s="394" t="s">
        <v>1541</v>
      </c>
      <c r="C27" s="395">
        <f>I16</f>
        <v>286065239361.58002</v>
      </c>
      <c r="D27" s="397">
        <f>C27/C26</f>
        <v>1</v>
      </c>
      <c r="E27" s="635" t="s">
        <v>1545</v>
      </c>
      <c r="F27" s="636"/>
      <c r="G27" s="153"/>
      <c r="M27" s="156"/>
      <c r="N27" s="157"/>
      <c r="O27" s="159"/>
      <c r="P27" s="153"/>
      <c r="Q27" s="153"/>
    </row>
    <row r="28" spans="1:17" s="146" customFormat="1" ht="15.75" x14ac:dyDescent="0.25">
      <c r="A28" s="127"/>
      <c r="B28" s="394" t="s">
        <v>1542</v>
      </c>
      <c r="C28" s="395">
        <f>K16</f>
        <v>285435942243.58002</v>
      </c>
      <c r="D28" s="397">
        <f>C28/C26</f>
        <v>0.99780016223080992</v>
      </c>
      <c r="E28" s="637" t="s">
        <v>1546</v>
      </c>
      <c r="F28" s="638"/>
      <c r="G28" s="153"/>
      <c r="M28" s="156"/>
      <c r="N28" s="157"/>
      <c r="O28" s="159"/>
      <c r="P28" s="153"/>
      <c r="Q28" s="153"/>
    </row>
    <row r="29" spans="1:17" ht="15.75" x14ac:dyDescent="0.25">
      <c r="B29" s="398" t="s">
        <v>1543</v>
      </c>
      <c r="C29" s="395">
        <f>M16</f>
        <v>33425224770.360085</v>
      </c>
      <c r="D29" s="397">
        <f>C29/C24</f>
        <v>0.10462041445017778</v>
      </c>
      <c r="E29" s="627" t="s">
        <v>1547</v>
      </c>
      <c r="F29" s="628"/>
      <c r="G29" s="153"/>
      <c r="M29" s="160"/>
      <c r="N29" s="157"/>
      <c r="O29" s="159"/>
      <c r="P29" s="161"/>
      <c r="Q29" s="161"/>
    </row>
    <row r="30" spans="1:17" ht="15" x14ac:dyDescent="0.2">
      <c r="B30" s="399"/>
      <c r="C30" s="400"/>
      <c r="D30" s="400"/>
      <c r="E30" s="629" t="s">
        <v>1548</v>
      </c>
      <c r="F30" s="630"/>
      <c r="G30" s="153"/>
      <c r="M30" s="153"/>
      <c r="N30" s="161"/>
      <c r="O30" s="161"/>
      <c r="P30" s="161"/>
      <c r="Q30" s="161"/>
    </row>
    <row r="31" spans="1:17" x14ac:dyDescent="0.2">
      <c r="B31" s="401"/>
      <c r="C31" s="402"/>
      <c r="D31" s="403"/>
      <c r="E31" s="162"/>
      <c r="F31" s="162"/>
      <c r="G31" s="153"/>
      <c r="M31" s="153"/>
      <c r="N31" s="161"/>
      <c r="O31" s="161"/>
      <c r="P31" s="161"/>
      <c r="Q31" s="161"/>
    </row>
    <row r="32" spans="1:17" x14ac:dyDescent="0.2">
      <c r="B32" s="401"/>
      <c r="C32" s="402"/>
      <c r="D32" s="403"/>
      <c r="E32" s="162"/>
      <c r="F32" s="162"/>
      <c r="G32" s="153"/>
      <c r="M32" s="153"/>
      <c r="N32" s="161"/>
      <c r="O32" s="161"/>
      <c r="P32" s="161"/>
      <c r="Q32" s="161"/>
    </row>
    <row r="33" spans="1:17" ht="15" x14ac:dyDescent="0.2">
      <c r="B33" s="401" t="s">
        <v>1550</v>
      </c>
      <c r="C33" s="395">
        <f>C20</f>
        <v>9907914024.9700012</v>
      </c>
      <c r="D33" s="154">
        <f>C33/C33</f>
        <v>1</v>
      </c>
      <c r="E33" s="162"/>
      <c r="F33" s="162"/>
      <c r="G33" s="153"/>
      <c r="M33" s="153"/>
      <c r="N33" s="161"/>
      <c r="O33" s="161"/>
      <c r="P33" s="161"/>
      <c r="Q33" s="161"/>
    </row>
    <row r="34" spans="1:17" ht="15.75" x14ac:dyDescent="0.25">
      <c r="B34" s="394" t="s">
        <v>1539</v>
      </c>
      <c r="C34" s="395">
        <f>E20</f>
        <v>7164500614.1940126</v>
      </c>
      <c r="D34" s="396">
        <f>C34/C33</f>
        <v>0.72310888004659535</v>
      </c>
      <c r="E34" s="162"/>
      <c r="F34" s="162"/>
      <c r="G34" s="153"/>
      <c r="M34" s="153"/>
      <c r="N34" s="161"/>
      <c r="O34" s="161"/>
      <c r="P34" s="161"/>
      <c r="Q34" s="161"/>
    </row>
    <row r="35" spans="1:17" ht="15.75" x14ac:dyDescent="0.25">
      <c r="B35" s="394" t="s">
        <v>1540</v>
      </c>
      <c r="C35" s="395">
        <f>G20</f>
        <v>7164500614.1940126</v>
      </c>
      <c r="D35" s="397">
        <f>C35/C33</f>
        <v>0.72310888004659535</v>
      </c>
      <c r="E35" s="162"/>
      <c r="F35" s="162"/>
      <c r="G35" s="153"/>
      <c r="M35" s="153"/>
      <c r="N35" s="161"/>
      <c r="O35" s="161"/>
      <c r="P35" s="161"/>
      <c r="Q35" s="161"/>
    </row>
    <row r="36" spans="1:17" ht="15.75" x14ac:dyDescent="0.25">
      <c r="B36" s="394" t="s">
        <v>1541</v>
      </c>
      <c r="C36" s="395">
        <f>I20</f>
        <v>6976675351.2625227</v>
      </c>
      <c r="D36" s="397">
        <f>C36/C35</f>
        <v>0.97378390022615413</v>
      </c>
      <c r="E36" s="162"/>
      <c r="F36" s="162"/>
      <c r="G36" s="153"/>
      <c r="M36" s="153"/>
      <c r="N36" s="161"/>
      <c r="O36" s="161"/>
      <c r="P36" s="161"/>
      <c r="Q36" s="161"/>
    </row>
    <row r="37" spans="1:17" ht="15.75" x14ac:dyDescent="0.25">
      <c r="B37" s="394" t="s">
        <v>1542</v>
      </c>
      <c r="C37" s="395">
        <f>K20</f>
        <v>6976675351.2625237</v>
      </c>
      <c r="D37" s="397">
        <f>C37/C35</f>
        <v>0.97378390022615435</v>
      </c>
      <c r="E37" s="162"/>
      <c r="F37" s="162"/>
      <c r="G37" s="153"/>
      <c r="M37" s="153"/>
      <c r="N37" s="161"/>
      <c r="O37" s="161"/>
      <c r="P37" s="161"/>
      <c r="Q37" s="161"/>
    </row>
    <row r="38" spans="1:17" ht="15.75" x14ac:dyDescent="0.25">
      <c r="B38" s="398" t="s">
        <v>1543</v>
      </c>
      <c r="C38" s="395">
        <f>M20</f>
        <v>2743413410.7759881</v>
      </c>
      <c r="D38" s="397">
        <f>C38/C33</f>
        <v>0.2768911199534046</v>
      </c>
      <c r="E38" s="162"/>
      <c r="F38" s="162"/>
      <c r="G38" s="153"/>
      <c r="M38" s="153"/>
      <c r="N38" s="161"/>
      <c r="O38" s="161"/>
      <c r="P38" s="161"/>
      <c r="Q38" s="161"/>
    </row>
    <row r="39" spans="1:17" x14ac:dyDescent="0.2">
      <c r="B39" s="401"/>
      <c r="C39" s="402"/>
      <c r="D39" s="402"/>
      <c r="E39" s="149"/>
      <c r="F39" s="149"/>
      <c r="G39" s="153"/>
      <c r="M39" s="153"/>
      <c r="N39" s="161"/>
      <c r="O39" s="161"/>
      <c r="P39" s="161"/>
      <c r="Q39" s="161"/>
    </row>
    <row r="40" spans="1:17" s="146" customFormat="1" x14ac:dyDescent="0.2">
      <c r="A40" s="127"/>
      <c r="B40" s="401"/>
      <c r="C40" s="402"/>
      <c r="D40" s="402"/>
      <c r="E40" s="149"/>
      <c r="F40" s="149"/>
      <c r="G40" s="153"/>
      <c r="N40" s="127"/>
      <c r="O40" s="127"/>
      <c r="P40" s="127"/>
      <c r="Q40" s="127"/>
    </row>
    <row r="41" spans="1:17" s="146" customFormat="1" x14ac:dyDescent="0.2">
      <c r="A41" s="127"/>
      <c r="B41" s="399"/>
      <c r="C41" s="400"/>
      <c r="D41" s="400"/>
      <c r="E41" s="153"/>
      <c r="F41" s="153"/>
      <c r="G41" s="153"/>
      <c r="N41" s="127"/>
      <c r="O41" s="127"/>
      <c r="P41" s="127"/>
      <c r="Q41" s="127"/>
    </row>
    <row r="42" spans="1:17" x14ac:dyDescent="0.2">
      <c r="B42" s="399"/>
      <c r="C42" s="400"/>
      <c r="D42" s="400"/>
      <c r="E42" s="153"/>
      <c r="F42" s="153"/>
      <c r="G42" s="153"/>
    </row>
    <row r="43" spans="1:17" x14ac:dyDescent="0.2">
      <c r="B43" s="399"/>
      <c r="C43" s="400"/>
      <c r="D43" s="400"/>
      <c r="E43" s="153"/>
      <c r="F43" s="153"/>
      <c r="G43" s="153"/>
    </row>
    <row r="44" spans="1:17" x14ac:dyDescent="0.2">
      <c r="B44" s="399"/>
      <c r="C44" s="400"/>
      <c r="D44" s="400"/>
      <c r="E44" s="153"/>
      <c r="F44" s="153"/>
      <c r="G44" s="153"/>
    </row>
    <row r="45" spans="1:17" x14ac:dyDescent="0.2">
      <c r="B45" s="399"/>
      <c r="C45" s="400"/>
      <c r="D45" s="400"/>
      <c r="E45" s="153"/>
      <c r="F45" s="153"/>
      <c r="G45" s="153"/>
    </row>
    <row r="46" spans="1:17" x14ac:dyDescent="0.2">
      <c r="B46" s="399"/>
      <c r="C46" s="400"/>
      <c r="D46" s="400"/>
      <c r="E46" s="153"/>
      <c r="F46" s="153"/>
      <c r="G46" s="153"/>
    </row>
    <row r="47" spans="1:17" ht="15" x14ac:dyDescent="0.2">
      <c r="B47" s="401" t="s">
        <v>1551</v>
      </c>
      <c r="C47" s="395">
        <f>C22</f>
        <v>329398378156.88</v>
      </c>
      <c r="D47" s="154">
        <f>C47/C47</f>
        <v>1</v>
      </c>
      <c r="E47" s="153"/>
      <c r="F47" s="153"/>
      <c r="G47" s="153"/>
    </row>
    <row r="48" spans="1:17" ht="15.75" x14ac:dyDescent="0.25">
      <c r="B48" s="394" t="s">
        <v>1539</v>
      </c>
      <c r="C48" s="395">
        <f>E22</f>
        <v>293229739975.74402</v>
      </c>
      <c r="D48" s="396">
        <f>C48/C47</f>
        <v>0.89019788626915997</v>
      </c>
      <c r="E48" s="153"/>
      <c r="F48" s="153"/>
      <c r="G48" s="153"/>
    </row>
    <row r="49" spans="2:7" ht="15.75" x14ac:dyDescent="0.25">
      <c r="B49" s="394" t="s">
        <v>1540</v>
      </c>
      <c r="C49" s="395">
        <f>G22</f>
        <v>293229739975.77405</v>
      </c>
      <c r="D49" s="397">
        <f>C49/C47</f>
        <v>0.89019788626925112</v>
      </c>
      <c r="E49" s="153"/>
      <c r="F49" s="153"/>
      <c r="G49" s="153"/>
    </row>
    <row r="50" spans="2:7" ht="15.75" x14ac:dyDescent="0.25">
      <c r="B50" s="394" t="s">
        <v>1541</v>
      </c>
      <c r="C50" s="395">
        <f>I22</f>
        <v>293041914712.84253</v>
      </c>
      <c r="D50" s="397">
        <f>C50/C49</f>
        <v>0.99935946039120371</v>
      </c>
      <c r="E50" s="153"/>
      <c r="F50" s="153"/>
      <c r="G50" s="153"/>
    </row>
    <row r="51" spans="2:7" ht="15.75" x14ac:dyDescent="0.25">
      <c r="B51" s="394" t="s">
        <v>1542</v>
      </c>
      <c r="C51" s="395">
        <f>K22</f>
        <v>292412617594.84253</v>
      </c>
      <c r="D51" s="397">
        <f>C51/C49</f>
        <v>0.997213371396097</v>
      </c>
      <c r="E51" s="153"/>
      <c r="F51" s="153"/>
      <c r="G51" s="153"/>
    </row>
    <row r="52" spans="2:7" ht="15.75" x14ac:dyDescent="0.25">
      <c r="B52" s="398" t="s">
        <v>1543</v>
      </c>
      <c r="C52" s="395">
        <f>M22</f>
        <v>36168638181.13607</v>
      </c>
      <c r="D52" s="397">
        <f>C52/C47</f>
        <v>0.10980211373084027</v>
      </c>
      <c r="E52" s="153"/>
      <c r="F52" s="153"/>
      <c r="G52" s="153"/>
    </row>
    <row r="53" spans="2:7" x14ac:dyDescent="0.2">
      <c r="C53" s="153"/>
      <c r="D53" s="153"/>
      <c r="E53" s="153"/>
      <c r="F53" s="153"/>
      <c r="G53" s="153"/>
    </row>
    <row r="54" spans="2:7" x14ac:dyDescent="0.2">
      <c r="C54" s="153"/>
      <c r="D54" s="153"/>
      <c r="E54" s="153"/>
      <c r="F54" s="153"/>
      <c r="G54" s="153"/>
    </row>
    <row r="55" spans="2:7" x14ac:dyDescent="0.2">
      <c r="C55" s="153"/>
      <c r="D55" s="153"/>
      <c r="E55" s="153"/>
      <c r="F55" s="153"/>
      <c r="G55" s="153"/>
    </row>
    <row r="56" spans="2:7" x14ac:dyDescent="0.2">
      <c r="C56" s="153"/>
      <c r="D56" s="153"/>
      <c r="E56" s="153"/>
      <c r="F56" s="153"/>
      <c r="G56" s="153"/>
    </row>
    <row r="57" spans="2:7" x14ac:dyDescent="0.2">
      <c r="B57" s="127"/>
      <c r="C57" s="153"/>
      <c r="D57" s="153"/>
      <c r="E57" s="153"/>
      <c r="F57" s="153"/>
      <c r="G57" s="153"/>
    </row>
    <row r="58" spans="2:7" x14ac:dyDescent="0.2">
      <c r="B58" s="127"/>
      <c r="C58" s="153"/>
      <c r="D58" s="153"/>
      <c r="E58" s="153"/>
      <c r="F58" s="153"/>
      <c r="G58" s="153"/>
    </row>
    <row r="59" spans="2:7" x14ac:dyDescent="0.2">
      <c r="B59" s="127"/>
      <c r="C59" s="153"/>
      <c r="D59" s="153"/>
      <c r="E59" s="153"/>
      <c r="F59" s="153"/>
      <c r="G59" s="153"/>
    </row>
    <row r="60" spans="2:7" x14ac:dyDescent="0.2">
      <c r="B60" s="127"/>
      <c r="C60" s="153"/>
      <c r="D60" s="153"/>
      <c r="E60" s="153"/>
      <c r="F60" s="153"/>
      <c r="G60" s="153"/>
    </row>
    <row r="61" spans="2:7" x14ac:dyDescent="0.2">
      <c r="B61" s="127"/>
      <c r="C61" s="153"/>
      <c r="D61" s="153"/>
      <c r="E61" s="153"/>
      <c r="F61" s="153"/>
      <c r="G61" s="153"/>
    </row>
    <row r="62" spans="2:7" x14ac:dyDescent="0.2">
      <c r="B62" s="127"/>
      <c r="C62" s="153"/>
      <c r="D62" s="153"/>
      <c r="E62" s="153"/>
      <c r="F62" s="153"/>
      <c r="G62" s="153"/>
    </row>
    <row r="63" spans="2:7" x14ac:dyDescent="0.2">
      <c r="C63" s="153"/>
      <c r="D63" s="153"/>
      <c r="E63" s="153"/>
      <c r="F63" s="153"/>
      <c r="G63" s="153"/>
    </row>
    <row r="64" spans="2:7" x14ac:dyDescent="0.2">
      <c r="C64" s="153"/>
      <c r="D64" s="153"/>
      <c r="E64" s="153"/>
      <c r="F64" s="153"/>
      <c r="G64" s="153"/>
    </row>
    <row r="65" spans="1:17" x14ac:dyDescent="0.2">
      <c r="C65" s="153"/>
      <c r="D65" s="153"/>
      <c r="E65" s="153"/>
      <c r="F65" s="153"/>
      <c r="G65" s="153"/>
    </row>
    <row r="66" spans="1:17" x14ac:dyDescent="0.2">
      <c r="C66" s="153"/>
      <c r="D66" s="153"/>
      <c r="E66" s="153"/>
      <c r="F66" s="153"/>
      <c r="G66" s="153"/>
    </row>
    <row r="67" spans="1:17" x14ac:dyDescent="0.2">
      <c r="C67" s="153"/>
      <c r="D67" s="153"/>
      <c r="E67" s="153"/>
      <c r="F67" s="153"/>
      <c r="G67" s="153"/>
    </row>
    <row r="68" spans="1:17" x14ac:dyDescent="0.2">
      <c r="C68" s="153"/>
      <c r="D68" s="153"/>
      <c r="E68" s="153"/>
      <c r="F68" s="153"/>
      <c r="G68" s="153"/>
    </row>
    <row r="69" spans="1:17" x14ac:dyDescent="0.2">
      <c r="C69" s="153"/>
      <c r="D69" s="153"/>
      <c r="E69" s="153"/>
      <c r="F69" s="153"/>
      <c r="G69" s="153"/>
    </row>
    <row r="71" spans="1:17" s="146" customFormat="1" x14ac:dyDescent="0.2">
      <c r="A71" s="127"/>
      <c r="B71" s="147"/>
      <c r="N71" s="127"/>
      <c r="O71" s="127"/>
      <c r="P71" s="127"/>
      <c r="Q71" s="127"/>
    </row>
    <row r="72" spans="1:17" s="146" customFormat="1" x14ac:dyDescent="0.2">
      <c r="N72" s="127"/>
      <c r="O72" s="127"/>
      <c r="P72" s="127"/>
      <c r="Q72" s="127"/>
    </row>
    <row r="73" spans="1:17" s="146" customFormat="1" x14ac:dyDescent="0.2">
      <c r="N73" s="127"/>
      <c r="O73" s="127"/>
      <c r="P73" s="127"/>
      <c r="Q73" s="127"/>
    </row>
    <row r="74" spans="1:17" s="146" customFormat="1" x14ac:dyDescent="0.2">
      <c r="N74" s="127"/>
      <c r="O74" s="127"/>
      <c r="P74" s="127"/>
      <c r="Q74" s="127"/>
    </row>
    <row r="75" spans="1:17" s="146" customFormat="1" x14ac:dyDescent="0.2">
      <c r="N75" s="127"/>
      <c r="O75" s="127"/>
      <c r="P75" s="127"/>
      <c r="Q75" s="127"/>
    </row>
    <row r="76" spans="1:17" s="146" customFormat="1" x14ac:dyDescent="0.2">
      <c r="N76" s="127"/>
      <c r="O76" s="127"/>
      <c r="P76" s="127"/>
      <c r="Q76" s="127"/>
    </row>
    <row r="77" spans="1:17" s="146" customFormat="1" x14ac:dyDescent="0.2">
      <c r="N77" s="127"/>
      <c r="O77" s="127"/>
      <c r="P77" s="127"/>
      <c r="Q77" s="127"/>
    </row>
  </sheetData>
  <mergeCells count="7">
    <mergeCell ref="E30:F30"/>
    <mergeCell ref="A1:N1"/>
    <mergeCell ref="E25:F25"/>
    <mergeCell ref="E26:F26"/>
    <mergeCell ref="E27:F27"/>
    <mergeCell ref="E28:F28"/>
    <mergeCell ref="E29:F29"/>
  </mergeCells>
  <conditionalFormatting sqref="H3">
    <cfRule type="cellIs" dxfId="34" priority="31" operator="between">
      <formula>0</formula>
      <formula>0.3999</formula>
    </cfRule>
    <cfRule type="cellIs" dxfId="33" priority="32" operator="between">
      <formula>0.4</formula>
      <formula>0.59</formula>
    </cfRule>
    <cfRule type="cellIs" dxfId="32" priority="33" operator="between">
      <formula>0.6</formula>
      <formula>0.69</formula>
    </cfRule>
    <cfRule type="cellIs" dxfId="31" priority="34" operator="between">
      <formula>0.7</formula>
      <formula>0.79</formula>
    </cfRule>
    <cfRule type="cellIs" dxfId="30" priority="35" operator="between">
      <formula>0.8</formula>
      <formula>1</formula>
    </cfRule>
  </conditionalFormatting>
  <conditionalFormatting sqref="H4:H15">
    <cfRule type="cellIs" dxfId="29" priority="26" operator="between">
      <formula>0</formula>
      <formula>0.3999</formula>
    </cfRule>
    <cfRule type="cellIs" dxfId="28" priority="27" operator="between">
      <formula>0.4</formula>
      <formula>0.59</formula>
    </cfRule>
    <cfRule type="cellIs" dxfId="27" priority="28" operator="between">
      <formula>0.6</formula>
      <formula>0.695</formula>
    </cfRule>
    <cfRule type="cellIs" dxfId="26" priority="29" operator="between">
      <formula>0.695</formula>
      <formula>0.7949</formula>
    </cfRule>
    <cfRule type="cellIs" dxfId="25" priority="30" operator="between">
      <formula>0.8</formula>
      <formula>1</formula>
    </cfRule>
  </conditionalFormatting>
  <conditionalFormatting sqref="H17:H19">
    <cfRule type="cellIs" dxfId="24" priority="16" operator="between">
      <formula>0</formula>
      <formula>0.3999</formula>
    </cfRule>
    <cfRule type="cellIs" dxfId="23" priority="17" operator="between">
      <formula>0.4</formula>
      <formula>0.59</formula>
    </cfRule>
    <cfRule type="cellIs" dxfId="22" priority="18" operator="between">
      <formula>0.6</formula>
      <formula>0.695</formula>
    </cfRule>
    <cfRule type="cellIs" dxfId="21" priority="19" operator="between">
      <formula>0.695</formula>
      <formula>0.7949</formula>
    </cfRule>
    <cfRule type="cellIs" dxfId="20" priority="20" operator="between">
      <formula>0.8</formula>
      <formula>1</formula>
    </cfRule>
  </conditionalFormatting>
  <conditionalFormatting sqref="H20">
    <cfRule type="cellIs" dxfId="19" priority="11" operator="between">
      <formula>0</formula>
      <formula>0.3999</formula>
    </cfRule>
    <cfRule type="cellIs" dxfId="18" priority="12" operator="between">
      <formula>0.4</formula>
      <formula>0.59</formula>
    </cfRule>
    <cfRule type="cellIs" dxfId="17" priority="13" operator="between">
      <formula>0.595</formula>
      <formula>0.6949</formula>
    </cfRule>
    <cfRule type="cellIs" dxfId="16" priority="14" operator="between">
      <formula>0.7</formula>
      <formula>0.79</formula>
    </cfRule>
    <cfRule type="cellIs" dxfId="15" priority="15" operator="between">
      <formula>0.8</formula>
      <formula>1</formula>
    </cfRule>
  </conditionalFormatting>
  <conditionalFormatting sqref="H22">
    <cfRule type="cellIs" dxfId="14" priority="6" operator="between">
      <formula>0</formula>
      <formula>0.3999</formula>
    </cfRule>
    <cfRule type="cellIs" dxfId="13" priority="7" operator="between">
      <formula>0.4</formula>
      <formula>0.59</formula>
    </cfRule>
    <cfRule type="cellIs" dxfId="12" priority="8" operator="between">
      <formula>0.595</formula>
      <formula>0.6949</formula>
    </cfRule>
    <cfRule type="cellIs" dxfId="11" priority="9" operator="between">
      <formula>0.7</formula>
      <formula>0.79</formula>
    </cfRule>
    <cfRule type="cellIs" dxfId="10" priority="10" operator="between">
      <formula>0.8</formula>
      <formula>1</formula>
    </cfRule>
  </conditionalFormatting>
  <conditionalFormatting sqref="H16">
    <cfRule type="cellIs" dxfId="9" priority="1" operator="between">
      <formula>0</formula>
      <formula>0.3999</formula>
    </cfRule>
    <cfRule type="cellIs" dxfId="8" priority="2" operator="between">
      <formula>0.4</formula>
      <formula>0.59</formula>
    </cfRule>
    <cfRule type="cellIs" dxfId="7" priority="3" operator="between">
      <formula>0.6</formula>
      <formula>0.695</formula>
    </cfRule>
    <cfRule type="cellIs" dxfId="6" priority="4" operator="between">
      <formula>0.695</formula>
      <formula>0.7949</formula>
    </cfRule>
    <cfRule type="cellIs" dxfId="5" priority="5" operator="greaterThan">
      <formula>0.795</formula>
    </cfRule>
  </conditionalFormatting>
  <pageMargins left="0.7" right="0.7" top="0.75" bottom="0.75" header="0.3" footer="0.3"/>
  <pageSetup orientation="portrait"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SGTO POAI VIGENCIA 2021</vt:lpstr>
      <vt:lpstr>RESUMEN POR UNIDAD</vt:lpstr>
      <vt:lpstr>UNIDADES + FUENTE</vt:lpstr>
      <vt:lpstr>SECTORES</vt:lpstr>
      <vt:lpstr>PROGRAMAS</vt:lpstr>
      <vt:lpstr>EJE ESTRATEGICO</vt:lpstr>
      <vt:lpstr>PROYECTOS</vt:lpstr>
      <vt:lpstr>CONSOLIDADO UNIDADES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Lucia</dc:creator>
  <cp:lastModifiedBy>DIRPLANEACION04</cp:lastModifiedBy>
  <cp:revision/>
  <dcterms:created xsi:type="dcterms:W3CDTF">2020-08-12T15:20:51Z</dcterms:created>
  <dcterms:modified xsi:type="dcterms:W3CDTF">2022-02-24T16:26:54Z</dcterms:modified>
</cp:coreProperties>
</file>