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ón 2021\SGTO PDD 2021\SGTO PDD II TRIMESTRE 2021\"/>
    </mc:Choice>
  </mc:AlternateContent>
  <bookViews>
    <workbookView xWindow="0" yWindow="0" windowWidth="24000" windowHeight="9345" firstSheet="10" activeTab="13"/>
  </bookViews>
  <sheets>
    <sheet name="F-PL-07 SGTO PA ADMINISTRATIVA" sheetId="1" r:id="rId1"/>
    <sheet name="F-PLA-07 SGTO PA PLANEACION" sheetId="2" r:id="rId2"/>
    <sheet name="F-PLA-07 SGTO PA HACIENDA" sheetId="3" r:id="rId3"/>
    <sheet name="F-PLA-07 SGTO PA AGUA INFRA" sheetId="5" r:id="rId4"/>
    <sheet name="F-PLA-07 SGTO PA INTERIOR" sheetId="16" r:id="rId5"/>
    <sheet name="F-PLA-07 SGTO PA CULTURA" sheetId="9" r:id="rId6"/>
    <sheet name="F-PLA-07 SGTO PA TURISMO " sheetId="12" r:id="rId7"/>
    <sheet name="F-PLA-07 SGTO PA AGRICULTURA" sheetId="6" r:id="rId8"/>
    <sheet name="F-PLA-07 SGTO PA PRIVADA" sheetId="4" r:id="rId9"/>
    <sheet name="F-PLA-07 SGTO PA EDUCACION" sheetId="15" r:id="rId10"/>
    <sheet name="F-PLA-07 SGTO PA FAMILIA" sheetId="17" r:id="rId11"/>
    <sheet name="F-PLA 07 SGTO PA SALUD" sheetId="13" r:id="rId12"/>
    <sheet name="F-PLA-07S SGTO PA TIC" sheetId="11" r:id="rId13"/>
    <sheet name="F-PLA-07 SGTO PA INDEPORTES" sheetId="18" r:id="rId14"/>
    <sheet name="F-PL-07 SGTO PA PROMOTORA" sheetId="10" r:id="rId15"/>
    <sheet name="F-PLA-07 SGTO PA IDTQ" sheetId="7" r:id="rId16"/>
  </sheets>
  <externalReferences>
    <externalReference r:id="rId17"/>
    <externalReference r:id="rId18"/>
    <externalReference r:id="rId19"/>
    <externalReference r:id="rId20"/>
  </externalReferences>
  <definedNames>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6">#REF!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_FilterDatabase" localSheetId="5" hidden="1">'F-PLA-07 SGTO PA CULTURA'!$AA$1:$AA$55</definedName>
    <definedName name="_xlnm._FilterDatabase" localSheetId="9" hidden="1">'F-PLA-07 SGTO PA EDUCACION'!$AA$8:$AA$222</definedName>
    <definedName name="_xlnm._FilterDatabase" localSheetId="10" hidden="1">'F-PLA-07 SGTO PA FAMILIA'!$AA$182:$AA$193</definedName>
    <definedName name="_xlnm._FilterDatabase" localSheetId="4" hidden="1">'F-PLA-07 SGTO PA INTERIOR'!$X$8:$AB$227</definedName>
    <definedName name="aa" localSheetId="11">#REF!</definedName>
    <definedName name="aa" localSheetId="9">#REF!</definedName>
    <definedName name="aa" localSheetId="13">#REF!</definedName>
    <definedName name="aa" localSheetId="4">#REF!</definedName>
    <definedName name="aa" localSheetId="1">#REF!</definedName>
    <definedName name="aa" localSheetId="6">#REF!</definedName>
    <definedName name="aa" localSheetId="12">#REF!</definedName>
    <definedName name="aa">#REF!</definedName>
    <definedName name="CODIGO_DIVIPOLA" localSheetId="14">#REF!</definedName>
    <definedName name="CODIGO_DIVIPOLA" localSheetId="11">#REF!</definedName>
    <definedName name="CODIGO_DIVIPOLA" localSheetId="5">#REF!</definedName>
    <definedName name="CODIGO_DIVIPOLA" localSheetId="9">#REF!</definedName>
    <definedName name="CODIGO_DIVIPOLA" localSheetId="10">#REF!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6">#REF!</definedName>
    <definedName name="CODIGO_DIVIPOLA" localSheetId="12">#REF!</definedName>
    <definedName name="CODIGO_DIVIPOLA">#REF!</definedName>
    <definedName name="DboREGISTRO_LEY_617" localSheetId="14">#REF!</definedName>
    <definedName name="DboREGISTRO_LEY_617" localSheetId="11">#REF!</definedName>
    <definedName name="DboREGISTRO_LEY_617" localSheetId="5">#REF!</definedName>
    <definedName name="DboREGISTRO_LEY_617" localSheetId="9">#REF!</definedName>
    <definedName name="DboREGISTRO_LEY_617" localSheetId="10">#REF!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6">#REF!</definedName>
    <definedName name="DboREGISTRO_LEY_617" localSheetId="12">#REF!</definedName>
    <definedName name="DboREGISTRO_LEY_617">#REF!</definedName>
    <definedName name="ññ" localSheetId="14">#REF!</definedName>
    <definedName name="ññ" localSheetId="11">#REF!</definedName>
    <definedName name="ññ" localSheetId="5">#REF!</definedName>
    <definedName name="ññ" localSheetId="9">#REF!</definedName>
    <definedName name="ññ" localSheetId="10">#REF!</definedName>
    <definedName name="ññ" localSheetId="15">#REF!</definedName>
    <definedName name="ññ" localSheetId="13">#REF!</definedName>
    <definedName name="ññ" localSheetId="4">#REF!</definedName>
    <definedName name="ññ" localSheetId="1">#REF!</definedName>
    <definedName name="ññ" localSheetId="6">#REF!</definedName>
    <definedName name="ññ" localSheetId="12">#REF!</definedName>
    <definedName name="ñ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0" i="18" l="1"/>
  <c r="BL79" i="18"/>
  <c r="BK79" i="18"/>
  <c r="T77" i="18"/>
  <c r="S77" i="18"/>
  <c r="BM53" i="18"/>
  <c r="BL53" i="18"/>
  <c r="BK53" i="18"/>
  <c r="BI53" i="18"/>
  <c r="T53" i="18"/>
  <c r="S53" i="18" s="1"/>
  <c r="Y35" i="18"/>
  <c r="Z25" i="18"/>
  <c r="Y24" i="18"/>
  <c r="Y80" i="18" s="1"/>
  <c r="X23" i="18"/>
  <c r="T13" i="18" s="1"/>
  <c r="BL13" i="18"/>
  <c r="BM13" i="18" s="1"/>
  <c r="BK13" i="18"/>
  <c r="BI13" i="18"/>
  <c r="S49" i="18" l="1"/>
  <c r="S13" i="18"/>
  <c r="T80" i="18"/>
  <c r="S24" i="18"/>
  <c r="S33" i="18"/>
  <c r="X80" i="18"/>
  <c r="BJ193" i="17"/>
  <c r="BM186" i="17"/>
  <c r="BL186" i="17"/>
  <c r="BK186" i="17"/>
  <c r="BI186" i="17"/>
  <c r="T186" i="17"/>
  <c r="S186" i="17" s="1"/>
  <c r="BL185" i="17"/>
  <c r="BM185" i="17" s="1"/>
  <c r="BK185" i="17"/>
  <c r="T185" i="17"/>
  <c r="S185" i="17" s="1"/>
  <c r="BM183" i="17"/>
  <c r="BL183" i="17"/>
  <c r="BK183" i="17"/>
  <c r="T183" i="17"/>
  <c r="S183" i="17"/>
  <c r="BM179" i="17"/>
  <c r="BL179" i="17"/>
  <c r="BK179" i="17"/>
  <c r="BI179" i="17"/>
  <c r="BH179" i="17"/>
  <c r="T179" i="17"/>
  <c r="S179" i="17" s="1"/>
  <c r="Z177" i="17"/>
  <c r="BL176" i="17" s="1"/>
  <c r="BM176" i="17" s="1"/>
  <c r="BK176" i="17"/>
  <c r="BI176" i="17"/>
  <c r="T176" i="17"/>
  <c r="S176" i="17" s="1"/>
  <c r="Z171" i="17"/>
  <c r="Z170" i="17"/>
  <c r="Z169" i="17"/>
  <c r="BL168" i="17" s="1"/>
  <c r="BM168" i="17" s="1"/>
  <c r="BK168" i="17"/>
  <c r="BI168" i="17"/>
  <c r="T168" i="17"/>
  <c r="S168" i="17" s="1"/>
  <c r="BM161" i="17"/>
  <c r="BL161" i="17"/>
  <c r="BK161" i="17"/>
  <c r="BI161" i="17"/>
  <c r="BH161" i="17"/>
  <c r="T161" i="17"/>
  <c r="S161" i="17" s="1"/>
  <c r="BL160" i="17"/>
  <c r="BM160" i="17" s="1"/>
  <c r="BK160" i="17"/>
  <c r="T160" i="17"/>
  <c r="S160" i="17" s="1"/>
  <c r="BM152" i="17"/>
  <c r="BL152" i="17"/>
  <c r="BK152" i="17"/>
  <c r="BI152" i="17"/>
  <c r="T152" i="17"/>
  <c r="S152" i="17" s="1"/>
  <c r="BL148" i="17"/>
  <c r="BK148" i="17"/>
  <c r="BM148" i="17" s="1"/>
  <c r="BI148" i="17"/>
  <c r="T148" i="17"/>
  <c r="S148" i="17" s="1"/>
  <c r="Z143" i="17"/>
  <c r="X143" i="17"/>
  <c r="Z141" i="17"/>
  <c r="X141" i="17"/>
  <c r="Z139" i="17"/>
  <c r="Z137" i="17"/>
  <c r="X137" i="17"/>
  <c r="Z135" i="17"/>
  <c r="Z133" i="17"/>
  <c r="Z131" i="17"/>
  <c r="X130" i="17"/>
  <c r="Z129" i="17"/>
  <c r="Z127" i="17"/>
  <c r="Z125" i="17"/>
  <c r="Z123" i="17"/>
  <c r="Z121" i="17"/>
  <c r="Z119" i="17"/>
  <c r="Z117" i="17"/>
  <c r="Z115" i="17"/>
  <c r="Z113" i="17"/>
  <c r="X113" i="17"/>
  <c r="Z111" i="17"/>
  <c r="X110" i="17"/>
  <c r="Z109" i="17"/>
  <c r="Z107" i="17"/>
  <c r="X107" i="17"/>
  <c r="T102" i="17" s="1"/>
  <c r="BL102" i="17"/>
  <c r="BM102" i="17" s="1"/>
  <c r="BK102" i="17"/>
  <c r="BI102" i="17"/>
  <c r="BM99" i="17"/>
  <c r="BL99" i="17"/>
  <c r="BK99" i="17"/>
  <c r="BI99" i="17"/>
  <c r="T99" i="17"/>
  <c r="S92" i="17"/>
  <c r="BL91" i="17"/>
  <c r="BK91" i="17"/>
  <c r="BM91" i="17" s="1"/>
  <c r="BI91" i="17"/>
  <c r="T91" i="17"/>
  <c r="S91" i="17"/>
  <c r="BM84" i="17"/>
  <c r="BL84" i="17"/>
  <c r="BK84" i="17"/>
  <c r="T84" i="17"/>
  <c r="S84" i="17" s="1"/>
  <c r="X82" i="17"/>
  <c r="X81" i="17"/>
  <c r="X79" i="17"/>
  <c r="BL78" i="17"/>
  <c r="BK78" i="17"/>
  <c r="BM78" i="17" s="1"/>
  <c r="BI78" i="17"/>
  <c r="X78" i="17"/>
  <c r="T78" i="17" s="1"/>
  <c r="Z77" i="17"/>
  <c r="Z193" i="17" s="1"/>
  <c r="Y77" i="17"/>
  <c r="Y193" i="17" s="1"/>
  <c r="X75" i="17"/>
  <c r="BM74" i="17"/>
  <c r="BL74" i="17"/>
  <c r="BK74" i="17"/>
  <c r="BI74" i="17"/>
  <c r="X74" i="17"/>
  <c r="T74" i="17" s="1"/>
  <c r="S74" i="17" s="1"/>
  <c r="BL71" i="17"/>
  <c r="BM71" i="17" s="1"/>
  <c r="BK71" i="17"/>
  <c r="BI71" i="17"/>
  <c r="BH71" i="17"/>
  <c r="T71" i="17"/>
  <c r="S71" i="17" s="1"/>
  <c r="BL70" i="17"/>
  <c r="BK70" i="17"/>
  <c r="BM70" i="17" s="1"/>
  <c r="BI70" i="17"/>
  <c r="T70" i="17"/>
  <c r="S70" i="17" s="1"/>
  <c r="BM69" i="17"/>
  <c r="BL69" i="17"/>
  <c r="BK69" i="17"/>
  <c r="BI69" i="17"/>
  <c r="BH69" i="17"/>
  <c r="T69" i="17"/>
  <c r="S69" i="17" s="1"/>
  <c r="BL63" i="17"/>
  <c r="BM63" i="17" s="1"/>
  <c r="BK63" i="17"/>
  <c r="BI63" i="17"/>
  <c r="BH63" i="17"/>
  <c r="T63" i="17"/>
  <c r="S63" i="17" s="1"/>
  <c r="X60" i="17"/>
  <c r="X59" i="17"/>
  <c r="BM58" i="17"/>
  <c r="BL58" i="17"/>
  <c r="BK58" i="17"/>
  <c r="BI58" i="17"/>
  <c r="BH58" i="17"/>
  <c r="X58" i="17"/>
  <c r="T58" i="17" s="1"/>
  <c r="BM55" i="17"/>
  <c r="BL55" i="17"/>
  <c r="BK55" i="17"/>
  <c r="BI55" i="17"/>
  <c r="BH55" i="17"/>
  <c r="T55" i="17"/>
  <c r="S55" i="17" s="1"/>
  <c r="X50" i="17"/>
  <c r="X49" i="17"/>
  <c r="X48" i="17"/>
  <c r="BL47" i="17"/>
  <c r="BK47" i="17"/>
  <c r="BM47" i="17" s="1"/>
  <c r="BI47" i="17"/>
  <c r="BH47" i="17"/>
  <c r="X47" i="17"/>
  <c r="T47" i="17" s="1"/>
  <c r="S47" i="17" s="1"/>
  <c r="X41" i="17"/>
  <c r="X40" i="17"/>
  <c r="X39" i="17"/>
  <c r="BL38" i="17"/>
  <c r="BM38" i="17" s="1"/>
  <c r="BK38" i="17"/>
  <c r="BI38" i="17"/>
  <c r="BH38" i="17"/>
  <c r="T38" i="17"/>
  <c r="S38" i="17" s="1"/>
  <c r="X35" i="17"/>
  <c r="X34" i="17"/>
  <c r="X33" i="17"/>
  <c r="T32" i="17" s="1"/>
  <c r="S32" i="17" s="1"/>
  <c r="BM32" i="17"/>
  <c r="BL32" i="17"/>
  <c r="BK32" i="17"/>
  <c r="BI32" i="17"/>
  <c r="BH32" i="17"/>
  <c r="S28" i="17"/>
  <c r="BM26" i="17"/>
  <c r="BL26" i="17"/>
  <c r="BK26" i="17"/>
  <c r="BI26" i="17"/>
  <c r="BH26" i="17"/>
  <c r="T26" i="17"/>
  <c r="S26" i="17" s="1"/>
  <c r="BM23" i="17"/>
  <c r="BL23" i="17"/>
  <c r="BK23" i="17"/>
  <c r="BI23" i="17"/>
  <c r="BH23" i="17"/>
  <c r="T23" i="17"/>
  <c r="S23" i="17" s="1"/>
  <c r="X18" i="17"/>
  <c r="X16" i="17"/>
  <c r="X193" i="17" s="1"/>
  <c r="BL13" i="17"/>
  <c r="BL193" i="17" s="1"/>
  <c r="BK13" i="17"/>
  <c r="BM13" i="17" s="1"/>
  <c r="BI13" i="17"/>
  <c r="BH13" i="17"/>
  <c r="S107" i="17" l="1"/>
  <c r="S102" i="17"/>
  <c r="S62" i="17"/>
  <c r="S58" i="17"/>
  <c r="S81" i="17"/>
  <c r="S78" i="17"/>
  <c r="T13" i="17"/>
  <c r="BK193" i="17"/>
  <c r="BM193" i="17" s="1"/>
  <c r="S39" i="17"/>
  <c r="Z227" i="16"/>
  <c r="Y227" i="16"/>
  <c r="X220" i="16"/>
  <c r="X213" i="16"/>
  <c r="X211" i="16"/>
  <c r="X200" i="16"/>
  <c r="BL193" i="16"/>
  <c r="BM193" i="16" s="1"/>
  <c r="BK193" i="16"/>
  <c r="BI193" i="16"/>
  <c r="BH193" i="16"/>
  <c r="BL178" i="16"/>
  <c r="BM178" i="16" s="1"/>
  <c r="BK178" i="16"/>
  <c r="BI178" i="16"/>
  <c r="BH178" i="16"/>
  <c r="T178" i="16"/>
  <c r="S178" i="16"/>
  <c r="X174" i="16"/>
  <c r="S168" i="16" s="1"/>
  <c r="X172" i="16"/>
  <c r="X169" i="16"/>
  <c r="X164" i="16"/>
  <c r="X163" i="16"/>
  <c r="X161" i="16"/>
  <c r="X151" i="16"/>
  <c r="X149" i="16"/>
  <c r="X147" i="16"/>
  <c r="X140" i="16"/>
  <c r="T136" i="16" s="1"/>
  <c r="S143" i="16" s="1"/>
  <c r="BM136" i="16"/>
  <c r="BL136" i="16"/>
  <c r="BK136" i="16"/>
  <c r="BH136" i="16"/>
  <c r="BG136" i="16"/>
  <c r="X133" i="16"/>
  <c r="X131" i="16"/>
  <c r="T130" i="16" s="1"/>
  <c r="S130" i="16" s="1"/>
  <c r="BL130" i="16"/>
  <c r="BM130" i="16" s="1"/>
  <c r="BK130" i="16"/>
  <c r="BI130" i="16"/>
  <c r="BH130" i="16"/>
  <c r="BM123" i="16"/>
  <c r="BL123" i="16"/>
  <c r="BK123" i="16"/>
  <c r="BI123" i="16"/>
  <c r="BH123" i="16"/>
  <c r="T123" i="16"/>
  <c r="S123" i="16"/>
  <c r="X122" i="16"/>
  <c r="X116" i="16"/>
  <c r="X113" i="16"/>
  <c r="X112" i="16"/>
  <c r="X110" i="16"/>
  <c r="X107" i="16"/>
  <c r="T104" i="16" s="1"/>
  <c r="S104" i="16" s="1"/>
  <c r="BL104" i="16"/>
  <c r="BM104" i="16" s="1"/>
  <c r="BK104" i="16"/>
  <c r="BI104" i="16"/>
  <c r="BH104" i="16"/>
  <c r="X104" i="16"/>
  <c r="X95" i="16"/>
  <c r="BL92" i="16"/>
  <c r="BM92" i="16" s="1"/>
  <c r="BK92" i="16"/>
  <c r="BI92" i="16"/>
  <c r="BH92" i="16"/>
  <c r="X92" i="16"/>
  <c r="T92" i="16"/>
  <c r="S92" i="16" s="1"/>
  <c r="X77" i="16"/>
  <c r="X48" i="16"/>
  <c r="T42" i="16" s="1"/>
  <c r="BM42" i="16"/>
  <c r="BL42" i="16"/>
  <c r="BK42" i="16"/>
  <c r="BI42" i="16"/>
  <c r="BH42" i="16"/>
  <c r="X39" i="16"/>
  <c r="X38" i="16"/>
  <c r="X37" i="16"/>
  <c r="X36" i="16"/>
  <c r="X35" i="16"/>
  <c r="BM34" i="16"/>
  <c r="BL34" i="16"/>
  <c r="BK34" i="16"/>
  <c r="BI34" i="16"/>
  <c r="X34" i="16"/>
  <c r="X227" i="16" s="1"/>
  <c r="BL27" i="16"/>
  <c r="BM27" i="16" s="1"/>
  <c r="BK27" i="16"/>
  <c r="BI27" i="16"/>
  <c r="BH27" i="16"/>
  <c r="T27" i="16"/>
  <c r="S27" i="16" s="1"/>
  <c r="BL23" i="16"/>
  <c r="BM23" i="16" s="1"/>
  <c r="BK23" i="16"/>
  <c r="BI23" i="16"/>
  <c r="BH23" i="16"/>
  <c r="T23" i="16"/>
  <c r="S23" i="16"/>
  <c r="BL13" i="16"/>
  <c r="BL227" i="16" s="1"/>
  <c r="BK13" i="16"/>
  <c r="BK227" i="16" s="1"/>
  <c r="BI13" i="16"/>
  <c r="BH13" i="16"/>
  <c r="T13" i="16"/>
  <c r="S13" i="16"/>
  <c r="S16" i="17" l="1"/>
  <c r="T193" i="17"/>
  <c r="S13" i="17"/>
  <c r="S68" i="16"/>
  <c r="S62" i="16"/>
  <c r="S42" i="16"/>
  <c r="S77" i="16"/>
  <c r="S83" i="16"/>
  <c r="T193" i="16"/>
  <c r="S136" i="16"/>
  <c r="BM13" i="16"/>
  <c r="T34" i="16"/>
  <c r="S34" i="16" s="1"/>
  <c r="Z222" i="15"/>
  <c r="Y222" i="15"/>
  <c r="BL220" i="15"/>
  <c r="BK220" i="15"/>
  <c r="BH220" i="15"/>
  <c r="T220" i="15"/>
  <c r="S220" i="15" s="1"/>
  <c r="BL216" i="15"/>
  <c r="BK216" i="15"/>
  <c r="BH216" i="15"/>
  <c r="T216" i="15"/>
  <c r="S216" i="15"/>
  <c r="X208" i="15"/>
  <c r="X207" i="15"/>
  <c r="X177" i="15"/>
  <c r="X111" i="15"/>
  <c r="X110" i="15"/>
  <c r="BL109" i="15"/>
  <c r="BM109" i="15" s="1"/>
  <c r="BK109" i="15"/>
  <c r="BI109" i="15"/>
  <c r="BH109" i="15"/>
  <c r="X109" i="15"/>
  <c r="T109" i="15" s="1"/>
  <c r="S105" i="15"/>
  <c r="S101" i="15"/>
  <c r="BL97" i="15"/>
  <c r="BK97" i="15"/>
  <c r="BI97" i="15"/>
  <c r="BH97" i="15"/>
  <c r="T97" i="15"/>
  <c r="S97" i="15"/>
  <c r="BL89" i="15"/>
  <c r="BK89" i="15"/>
  <c r="BH89" i="15"/>
  <c r="T89" i="15"/>
  <c r="S93" i="15" s="1"/>
  <c r="S89" i="15"/>
  <c r="X84" i="15"/>
  <c r="X83" i="15"/>
  <c r="X82" i="15"/>
  <c r="T77" i="15" s="1"/>
  <c r="X81" i="15"/>
  <c r="BL77" i="15"/>
  <c r="BK77" i="15"/>
  <c r="BI77" i="15"/>
  <c r="BH77" i="15"/>
  <c r="X56" i="15"/>
  <c r="X55" i="15"/>
  <c r="X54" i="15"/>
  <c r="T44" i="15" s="1"/>
  <c r="X53" i="15"/>
  <c r="BL44" i="15"/>
  <c r="BK44" i="15"/>
  <c r="BM44" i="15" s="1"/>
  <c r="BI44" i="15"/>
  <c r="BH44" i="15"/>
  <c r="BL42" i="15"/>
  <c r="BK42" i="15"/>
  <c r="BH42" i="15"/>
  <c r="T42" i="15"/>
  <c r="S43" i="15" s="1"/>
  <c r="S42" i="15"/>
  <c r="X38" i="15"/>
  <c r="X37" i="15"/>
  <c r="X32" i="15"/>
  <c r="X27" i="15"/>
  <c r="X26" i="15"/>
  <c r="X25" i="15"/>
  <c r="X16" i="15"/>
  <c r="X15" i="15"/>
  <c r="X14" i="15"/>
  <c r="BL13" i="15"/>
  <c r="BL222" i="15" s="1"/>
  <c r="BK13" i="15"/>
  <c r="BK222" i="15" s="1"/>
  <c r="BI13" i="15"/>
  <c r="BH13" i="15"/>
  <c r="X13" i="15"/>
  <c r="X222" i="15" s="1"/>
  <c r="S223" i="16" l="1"/>
  <c r="S209" i="16"/>
  <c r="S193" i="16"/>
  <c r="T227" i="16"/>
  <c r="S214" i="16"/>
  <c r="S71" i="15"/>
  <c r="S61" i="15"/>
  <c r="S67" i="15"/>
  <c r="S53" i="15"/>
  <c r="S44" i="15"/>
  <c r="S76" i="15"/>
  <c r="S66" i="15"/>
  <c r="S49" i="15"/>
  <c r="S75" i="15"/>
  <c r="S65" i="15"/>
  <c r="S77" i="15"/>
  <c r="S85" i="15"/>
  <c r="S81" i="15"/>
  <c r="S117" i="15"/>
  <c r="S113" i="15"/>
  <c r="S121" i="15"/>
  <c r="S109" i="15"/>
  <c r="BM13" i="15"/>
  <c r="T13" i="15"/>
  <c r="BJ294" i="13"/>
  <c r="S293" i="13"/>
  <c r="BM282" i="13"/>
  <c r="BL282" i="13"/>
  <c r="BK282" i="13"/>
  <c r="T282" i="13"/>
  <c r="S292" i="13" s="1"/>
  <c r="S282" i="13"/>
  <c r="S270" i="13"/>
  <c r="BL268" i="13"/>
  <c r="BK268" i="13"/>
  <c r="T268" i="13"/>
  <c r="S272" i="13" s="1"/>
  <c r="S268" i="13"/>
  <c r="BL254" i="13"/>
  <c r="BM254" i="13" s="1"/>
  <c r="BK254" i="13"/>
  <c r="T254" i="13"/>
  <c r="S254" i="13"/>
  <c r="X251" i="13"/>
  <c r="T242" i="13" s="1"/>
  <c r="S242" i="13" s="1"/>
  <c r="X249" i="13"/>
  <c r="BL242" i="13"/>
  <c r="BM242" i="13" s="1"/>
  <c r="BK242" i="13"/>
  <c r="X242" i="13"/>
  <c r="Y239" i="13"/>
  <c r="BK235" i="13" s="1"/>
  <c r="BL235" i="13"/>
  <c r="T235" i="13"/>
  <c r="S235" i="13" s="1"/>
  <c r="Y226" i="13"/>
  <c r="BL224" i="13"/>
  <c r="BM224" i="13" s="1"/>
  <c r="Y224" i="13"/>
  <c r="BK224" i="13" s="1"/>
  <c r="T224" i="13"/>
  <c r="S224" i="13"/>
  <c r="X222" i="13"/>
  <c r="X221" i="13"/>
  <c r="X219" i="13"/>
  <c r="BM218" i="13"/>
  <c r="BL218" i="13"/>
  <c r="BK218" i="13"/>
  <c r="X218" i="13"/>
  <c r="T218" i="13"/>
  <c r="S218" i="13" s="1"/>
  <c r="BL216" i="13"/>
  <c r="BM216" i="13" s="1"/>
  <c r="BK216" i="13"/>
  <c r="T216" i="13"/>
  <c r="S216" i="13"/>
  <c r="BL212" i="13"/>
  <c r="BM212" i="13" s="1"/>
  <c r="BK212" i="13"/>
  <c r="T212" i="13"/>
  <c r="S212" i="13"/>
  <c r="X200" i="13"/>
  <c r="T197" i="13" s="1"/>
  <c r="BL197" i="13"/>
  <c r="BM197" i="13" s="1"/>
  <c r="BK197" i="13"/>
  <c r="X195" i="13"/>
  <c r="X191" i="13"/>
  <c r="T184" i="13" s="1"/>
  <c r="BL184" i="13"/>
  <c r="BM184" i="13" s="1"/>
  <c r="BK184" i="13"/>
  <c r="X183" i="13"/>
  <c r="X180" i="13"/>
  <c r="T169" i="13" s="1"/>
  <c r="X179" i="13"/>
  <c r="BM169" i="13"/>
  <c r="BL169" i="13"/>
  <c r="BK169" i="13"/>
  <c r="X166" i="13"/>
  <c r="Y164" i="13"/>
  <c r="Y163" i="13"/>
  <c r="Y161" i="13"/>
  <c r="BL160" i="13"/>
  <c r="BM160" i="13" s="1"/>
  <c r="BK160" i="13"/>
  <c r="Y160" i="13"/>
  <c r="T160" i="13"/>
  <c r="S165" i="13" s="1"/>
  <c r="S160" i="13"/>
  <c r="S154" i="13"/>
  <c r="BL146" i="13"/>
  <c r="BM146" i="13" s="1"/>
  <c r="BK146" i="13"/>
  <c r="T146" i="13"/>
  <c r="S150" i="13" s="1"/>
  <c r="S146" i="13"/>
  <c r="BM124" i="13"/>
  <c r="BL124" i="13"/>
  <c r="BK124" i="13"/>
  <c r="T124" i="13"/>
  <c r="S136" i="13" s="1"/>
  <c r="S124" i="13"/>
  <c r="S117" i="13"/>
  <c r="S112" i="13"/>
  <c r="BL107" i="13"/>
  <c r="BM107" i="13" s="1"/>
  <c r="BK107" i="13"/>
  <c r="T107" i="13"/>
  <c r="S122" i="13" s="1"/>
  <c r="S107" i="13"/>
  <c r="BL98" i="13"/>
  <c r="BM98" i="13" s="1"/>
  <c r="BK98" i="13"/>
  <c r="T98" i="13"/>
  <c r="S98" i="13" s="1"/>
  <c r="BL92" i="13"/>
  <c r="BM92" i="13" s="1"/>
  <c r="BK92" i="13"/>
  <c r="T92" i="13"/>
  <c r="S92" i="13" s="1"/>
  <c r="BL84" i="13"/>
  <c r="BM84" i="13" s="1"/>
  <c r="BK84" i="13"/>
  <c r="T84" i="13"/>
  <c r="S84" i="13" s="1"/>
  <c r="BL81" i="13"/>
  <c r="BM81" i="13" s="1"/>
  <c r="BK81" i="13"/>
  <c r="T81" i="13"/>
  <c r="S81" i="13"/>
  <c r="X79" i="13"/>
  <c r="X73" i="13"/>
  <c r="X71" i="13"/>
  <c r="X70" i="13"/>
  <c r="BL64" i="13"/>
  <c r="BM64" i="13" s="1"/>
  <c r="BK64" i="13"/>
  <c r="X64" i="13"/>
  <c r="T64" i="13" s="1"/>
  <c r="Z62" i="13"/>
  <c r="Z60" i="13"/>
  <c r="Z59" i="13"/>
  <c r="Z58" i="13"/>
  <c r="Z57" i="13"/>
  <c r="Z56" i="13"/>
  <c r="Z55" i="13"/>
  <c r="Z54" i="13"/>
  <c r="Z52" i="13"/>
  <c r="Z51" i="13"/>
  <c r="Z50" i="13"/>
  <c r="BL47" i="13"/>
  <c r="BM47" i="13" s="1"/>
  <c r="BK47" i="13"/>
  <c r="Z47" i="13"/>
  <c r="T47" i="13"/>
  <c r="S51" i="13" s="1"/>
  <c r="S47" i="13"/>
  <c r="S44" i="13"/>
  <c r="S43" i="13"/>
  <c r="Z30" i="13"/>
  <c r="Y30" i="13"/>
  <c r="Z28" i="13"/>
  <c r="Y28" i="13"/>
  <c r="Y294" i="13" s="1"/>
  <c r="S26" i="13"/>
  <c r="Z22" i="13"/>
  <c r="S22" i="13"/>
  <c r="S19" i="13"/>
  <c r="Z17" i="13"/>
  <c r="Z294" i="13" s="1"/>
  <c r="BK13" i="13"/>
  <c r="T13" i="13"/>
  <c r="S45" i="13" s="1"/>
  <c r="S13" i="13"/>
  <c r="S40" i="15" l="1"/>
  <c r="S28" i="15"/>
  <c r="S25" i="15"/>
  <c r="S13" i="15"/>
  <c r="T222" i="15"/>
  <c r="S39" i="15"/>
  <c r="S37" i="15"/>
  <c r="S21" i="15"/>
  <c r="S17" i="15"/>
  <c r="S38" i="15"/>
  <c r="S32" i="15"/>
  <c r="S179" i="13"/>
  <c r="S173" i="13"/>
  <c r="S169" i="13"/>
  <c r="S191" i="13"/>
  <c r="S184" i="13"/>
  <c r="BK294" i="13"/>
  <c r="S76" i="13"/>
  <c r="S64" i="13"/>
  <c r="S79" i="13"/>
  <c r="BM235" i="13"/>
  <c r="S198" i="13"/>
  <c r="S197" i="13"/>
  <c r="S85" i="13"/>
  <c r="BL13" i="13"/>
  <c r="S290" i="13"/>
  <c r="T294" i="13"/>
  <c r="S90" i="13"/>
  <c r="S291" i="13"/>
  <c r="X294" i="13"/>
  <c r="S93" i="13"/>
  <c r="S102" i="13"/>
  <c r="S86" i="13"/>
  <c r="S94" i="13"/>
  <c r="S95" i="13"/>
  <c r="S108" i="13"/>
  <c r="S119" i="13"/>
  <c r="S16" i="13"/>
  <c r="S110" i="13"/>
  <c r="Z45" i="12"/>
  <c r="Y45" i="12"/>
  <c r="X43" i="12"/>
  <c r="X39" i="12"/>
  <c r="T35" i="12" s="1"/>
  <c r="BL35" i="12"/>
  <c r="BM35" i="12" s="1"/>
  <c r="BK35" i="12"/>
  <c r="BI35" i="12"/>
  <c r="BH35" i="12"/>
  <c r="AL35" i="12"/>
  <c r="X28" i="12"/>
  <c r="BM26" i="12"/>
  <c r="BL26" i="12"/>
  <c r="BK26" i="12"/>
  <c r="BI26" i="12"/>
  <c r="BH26" i="12"/>
  <c r="AL26" i="12"/>
  <c r="X26" i="12"/>
  <c r="T26" i="12"/>
  <c r="S26" i="12"/>
  <c r="X23" i="12"/>
  <c r="T21" i="12" s="1"/>
  <c r="BM21" i="12"/>
  <c r="BL21" i="12"/>
  <c r="BK21" i="12"/>
  <c r="BI21" i="12"/>
  <c r="BH21" i="12"/>
  <c r="AL21" i="12"/>
  <c r="X20" i="12"/>
  <c r="X45" i="12" s="1"/>
  <c r="BL17" i="12"/>
  <c r="BM17" i="12" s="1"/>
  <c r="BK17" i="12"/>
  <c r="BI17" i="12"/>
  <c r="BH17" i="12"/>
  <c r="AL17" i="12"/>
  <c r="T17" i="12"/>
  <c r="S17" i="12" s="1"/>
  <c r="BL13" i="12"/>
  <c r="BL45" i="12" s="1"/>
  <c r="BK13" i="12"/>
  <c r="BK45" i="12" s="1"/>
  <c r="BI13" i="12"/>
  <c r="BH13" i="12"/>
  <c r="AL13" i="12"/>
  <c r="T13" i="12"/>
  <c r="BL294" i="13" l="1"/>
  <c r="BM294" i="13" s="1"/>
  <c r="BM13" i="13"/>
  <c r="S21" i="12"/>
  <c r="S23" i="12"/>
  <c r="S22" i="12"/>
  <c r="S38" i="12"/>
  <c r="S36" i="12"/>
  <c r="S35" i="12"/>
  <c r="S41" i="12"/>
  <c r="T45" i="12"/>
  <c r="BM13" i="12"/>
  <c r="S13" i="12"/>
  <c r="S14" i="12"/>
  <c r="S20" i="12"/>
  <c r="Z59" i="11"/>
  <c r="Y59" i="11"/>
  <c r="T58" i="11"/>
  <c r="S58" i="11"/>
  <c r="BL54" i="11"/>
  <c r="BM54" i="11" s="1"/>
  <c r="BK54" i="11"/>
  <c r="BI54" i="11"/>
  <c r="T54" i="11"/>
  <c r="S54" i="11"/>
  <c r="BM44" i="11"/>
  <c r="BL44" i="11"/>
  <c r="BK44" i="11"/>
  <c r="BK59" i="11" s="1"/>
  <c r="BI44" i="11"/>
  <c r="T44" i="11"/>
  <c r="S48" i="11" s="1"/>
  <c r="S40" i="11"/>
  <c r="S38" i="11"/>
  <c r="X36" i="11"/>
  <c r="S36" i="11"/>
  <c r="BL35" i="11"/>
  <c r="BM35" i="11" s="1"/>
  <c r="BK35" i="11"/>
  <c r="BI35" i="11"/>
  <c r="T35" i="11"/>
  <c r="S39" i="11" s="1"/>
  <c r="S35" i="11"/>
  <c r="S30" i="11"/>
  <c r="S27" i="11"/>
  <c r="S26" i="11"/>
  <c r="BL25" i="11"/>
  <c r="BM25" i="11" s="1"/>
  <c r="BK25" i="11"/>
  <c r="BI25" i="11"/>
  <c r="T25" i="11"/>
  <c r="S31" i="11" s="1"/>
  <c r="S25" i="11"/>
  <c r="X24" i="11"/>
  <c r="X18" i="11"/>
  <c r="X59" i="11" s="1"/>
  <c r="BL13" i="11"/>
  <c r="BL59" i="11" s="1"/>
  <c r="BK13" i="11"/>
  <c r="BI13" i="11"/>
  <c r="S49" i="11" l="1"/>
  <c r="T13" i="11"/>
  <c r="BM13" i="11"/>
  <c r="S46" i="11"/>
  <c r="S50" i="11"/>
  <c r="S47" i="11"/>
  <c r="S44" i="11"/>
  <c r="X50" i="10"/>
  <c r="S42" i="10"/>
  <c r="S39" i="10"/>
  <c r="S28" i="10"/>
  <c r="BM27" i="10"/>
  <c r="BL27" i="10"/>
  <c r="BK27" i="10"/>
  <c r="BI27" i="10"/>
  <c r="BG27" i="10"/>
  <c r="BE27" i="10"/>
  <c r="BC27" i="10"/>
  <c r="AW27" i="10"/>
  <c r="AU27" i="10"/>
  <c r="AS27" i="10"/>
  <c r="AQ27" i="10"/>
  <c r="AO27" i="10"/>
  <c r="AM27" i="10"/>
  <c r="AK27" i="10"/>
  <c r="AI27" i="10"/>
  <c r="AG27" i="10"/>
  <c r="AE27" i="10"/>
  <c r="T27" i="10"/>
  <c r="S38" i="10" s="1"/>
  <c r="BM22" i="10"/>
  <c r="BL22" i="10"/>
  <c r="BK22" i="10"/>
  <c r="T22" i="10"/>
  <c r="S22" i="10"/>
  <c r="BM17" i="10"/>
  <c r="BL17" i="10"/>
  <c r="BK17" i="10"/>
  <c r="BI17" i="10"/>
  <c r="BG17" i="10"/>
  <c r="BE17" i="10"/>
  <c r="BC17" i="10"/>
  <c r="AW17" i="10"/>
  <c r="AU17" i="10"/>
  <c r="AS17" i="10"/>
  <c r="AQ17" i="10"/>
  <c r="AO17" i="10"/>
  <c r="AM17" i="10"/>
  <c r="AK17" i="10"/>
  <c r="AI17" i="10"/>
  <c r="AG17" i="10"/>
  <c r="AE17" i="10"/>
  <c r="T17" i="10"/>
  <c r="S17" i="10" s="1"/>
  <c r="BL13" i="10"/>
  <c r="BK13" i="10"/>
  <c r="BI13" i="10"/>
  <c r="BG13" i="10"/>
  <c r="BE13" i="10"/>
  <c r="BC13" i="10"/>
  <c r="AW13" i="10"/>
  <c r="AU13" i="10"/>
  <c r="AS13" i="10"/>
  <c r="AQ13" i="10"/>
  <c r="AO13" i="10"/>
  <c r="AM13" i="10"/>
  <c r="AK13" i="10"/>
  <c r="AI13" i="10"/>
  <c r="AG13" i="10"/>
  <c r="AE13" i="10"/>
  <c r="T13" i="10"/>
  <c r="T50" i="10" s="1"/>
  <c r="S21" i="11" l="1"/>
  <c r="T59" i="11"/>
  <c r="S24" i="11"/>
  <c r="S13" i="11"/>
  <c r="BM13" i="10"/>
  <c r="S27" i="10"/>
  <c r="S34" i="10"/>
  <c r="S46" i="10"/>
  <c r="S13" i="10"/>
  <c r="Z53" i="9"/>
  <c r="Y49" i="9"/>
  <c r="BL48" i="9"/>
  <c r="BM48" i="9" s="1"/>
  <c r="BK48" i="9"/>
  <c r="T48" i="9"/>
  <c r="S49" i="9" s="1"/>
  <c r="BL44" i="9"/>
  <c r="BK44" i="9"/>
  <c r="BM44" i="9" s="1"/>
  <c r="T44" i="9"/>
  <c r="S44" i="9"/>
  <c r="X40" i="9"/>
  <c r="T33" i="9" s="1"/>
  <c r="X39" i="9"/>
  <c r="BL33" i="9"/>
  <c r="BK33" i="9"/>
  <c r="Y33" i="9"/>
  <c r="Y53" i="9" s="1"/>
  <c r="X31" i="9"/>
  <c r="X29" i="9"/>
  <c r="X28" i="9"/>
  <c r="X26" i="9"/>
  <c r="X25" i="9"/>
  <c r="X15" i="9"/>
  <c r="BL13" i="9"/>
  <c r="BL53" i="9" s="1"/>
  <c r="BM53" i="9" s="1"/>
  <c r="BK13" i="9"/>
  <c r="BK53" i="9" s="1"/>
  <c r="BH13" i="9"/>
  <c r="X13" i="9"/>
  <c r="X53" i="9" s="1"/>
  <c r="S33" i="9" l="1"/>
  <c r="S41" i="9"/>
  <c r="T13" i="9"/>
  <c r="S48" i="9"/>
  <c r="S32" i="9" l="1"/>
  <c r="T53" i="9"/>
  <c r="S30" i="9"/>
  <c r="S13" i="9"/>
  <c r="S16" i="9"/>
  <c r="S31" i="9"/>
  <c r="Q35" i="7"/>
  <c r="S30" i="7"/>
  <c r="T30" i="7" s="1"/>
  <c r="S29" i="7"/>
  <c r="T29" i="7" s="1"/>
  <c r="S28" i="7"/>
  <c r="S31" i="7" s="1"/>
  <c r="T31" i="7" s="1"/>
  <c r="Y17" i="7"/>
  <c r="X17" i="7"/>
  <c r="T17" i="7"/>
  <c r="Z16" i="7"/>
  <c r="S16" i="7"/>
  <c r="Z15" i="7"/>
  <c r="S15" i="7"/>
  <c r="Z14" i="7"/>
  <c r="S14" i="7"/>
  <c r="BK13" i="7"/>
  <c r="BK17" i="7" s="1"/>
  <c r="Z13" i="7"/>
  <c r="Z17" i="7" s="1"/>
  <c r="T13" i="7"/>
  <c r="S13" i="7"/>
  <c r="BL13" i="7" l="1"/>
  <c r="T28" i="7"/>
  <c r="BJ80" i="6"/>
  <c r="Z80" i="6"/>
  <c r="Y80" i="6"/>
  <c r="BL77" i="6"/>
  <c r="BK77" i="6"/>
  <c r="T77" i="6"/>
  <c r="S78" i="6" s="1"/>
  <c r="S74" i="6"/>
  <c r="BL73" i="6"/>
  <c r="BK73" i="6"/>
  <c r="T73" i="6"/>
  <c r="S75" i="6" s="1"/>
  <c r="S73" i="6"/>
  <c r="BL71" i="6"/>
  <c r="BK71" i="6"/>
  <c r="BM71" i="6" s="1"/>
  <c r="T71" i="6"/>
  <c r="S71" i="6" s="1"/>
  <c r="BL67" i="6"/>
  <c r="BM67" i="6" s="1"/>
  <c r="BK67" i="6"/>
  <c r="T67" i="6"/>
  <c r="S67" i="6" s="1"/>
  <c r="BL65" i="6"/>
  <c r="BK65" i="6"/>
  <c r="X65" i="6"/>
  <c r="T65" i="6"/>
  <c r="S65" i="6" s="1"/>
  <c r="X64" i="6"/>
  <c r="X62" i="6"/>
  <c r="X60" i="6"/>
  <c r="BL57" i="6"/>
  <c r="BK57" i="6"/>
  <c r="BL54" i="6"/>
  <c r="BK54" i="6"/>
  <c r="BH54" i="6"/>
  <c r="T54" i="6"/>
  <c r="S54" i="6" s="1"/>
  <c r="BL49" i="6"/>
  <c r="BK49" i="6"/>
  <c r="BM49" i="6" s="1"/>
  <c r="T49" i="6"/>
  <c r="S50" i="6" s="1"/>
  <c r="S49" i="6"/>
  <c r="BL43" i="6"/>
  <c r="BM43" i="6" s="1"/>
  <c r="BK43" i="6"/>
  <c r="T43" i="6"/>
  <c r="S44" i="6" s="1"/>
  <c r="BL40" i="6"/>
  <c r="BK40" i="6"/>
  <c r="T40" i="6"/>
  <c r="S41" i="6" s="1"/>
  <c r="BL38" i="6"/>
  <c r="BK38" i="6"/>
  <c r="T38" i="6"/>
  <c r="S38" i="6" s="1"/>
  <c r="T36" i="6"/>
  <c r="S36" i="6" s="1"/>
  <c r="BL33" i="6"/>
  <c r="BK33" i="6"/>
  <c r="T33" i="6"/>
  <c r="S34" i="6" s="1"/>
  <c r="BL30" i="6"/>
  <c r="BM30" i="6" s="1"/>
  <c r="T30" i="6"/>
  <c r="S30" i="6" s="1"/>
  <c r="BL28" i="6"/>
  <c r="BK28" i="6"/>
  <c r="T28" i="6"/>
  <c r="S28" i="6" s="1"/>
  <c r="BM26" i="6"/>
  <c r="BL26" i="6"/>
  <c r="BK26" i="6"/>
  <c r="T26" i="6"/>
  <c r="S27" i="6" s="1"/>
  <c r="S26" i="6"/>
  <c r="BL23" i="6"/>
  <c r="BM23" i="6" s="1"/>
  <c r="BK23" i="6"/>
  <c r="T23" i="6"/>
  <c r="S23" i="6" s="1"/>
  <c r="BL18" i="6"/>
  <c r="BM18" i="6" s="1"/>
  <c r="BK18" i="6"/>
  <c r="T18" i="6"/>
  <c r="S22" i="6" s="1"/>
  <c r="S16" i="6"/>
  <c r="BL13" i="6"/>
  <c r="BK13" i="6"/>
  <c r="BK80" i="6" s="1"/>
  <c r="T13" i="6"/>
  <c r="S15" i="6" s="1"/>
  <c r="S13" i="6"/>
  <c r="BL17" i="7" l="1"/>
  <c r="BM17" i="7" s="1"/>
  <c r="AE17" i="7" s="1"/>
  <c r="BM13" i="7"/>
  <c r="S18" i="6"/>
  <c r="BM28" i="6"/>
  <c r="BM33" i="6"/>
  <c r="BM40" i="6"/>
  <c r="S55" i="6"/>
  <c r="BL80" i="6"/>
  <c r="S43" i="6"/>
  <c r="S46" i="6"/>
  <c r="BM54" i="6"/>
  <c r="BM57" i="6"/>
  <c r="BM65" i="6"/>
  <c r="S33" i="6"/>
  <c r="S40" i="6"/>
  <c r="S79" i="6"/>
  <c r="X80" i="6"/>
  <c r="BM13" i="6"/>
  <c r="S21" i="6"/>
  <c r="T57" i="6"/>
  <c r="S77" i="6"/>
  <c r="Z172" i="5"/>
  <c r="S169" i="5"/>
  <c r="BL163" i="5"/>
  <c r="BK163" i="5"/>
  <c r="T163" i="5"/>
  <c r="S168" i="5" s="1"/>
  <c r="BL158" i="5"/>
  <c r="BK158" i="5"/>
  <c r="BM158" i="5" s="1"/>
  <c r="T158" i="5"/>
  <c r="S158" i="5"/>
  <c r="BL150" i="5"/>
  <c r="BK150" i="5"/>
  <c r="T150" i="5"/>
  <c r="S150" i="5" s="1"/>
  <c r="BL145" i="5"/>
  <c r="BK145" i="5"/>
  <c r="BH145" i="5"/>
  <c r="T145" i="5"/>
  <c r="S145" i="5" s="1"/>
  <c r="X130" i="5"/>
  <c r="T126" i="5" s="1"/>
  <c r="S126" i="5" s="1"/>
  <c r="BL126" i="5"/>
  <c r="BK126" i="5"/>
  <c r="X116" i="5"/>
  <c r="T111" i="5" s="1"/>
  <c r="S111" i="5" s="1"/>
  <c r="X113" i="5"/>
  <c r="BM111" i="5"/>
  <c r="BL111" i="5"/>
  <c r="BK111" i="5"/>
  <c r="BL108" i="5"/>
  <c r="BK108" i="5"/>
  <c r="T108" i="5"/>
  <c r="S108" i="5" s="1"/>
  <c r="X92" i="5"/>
  <c r="X87" i="5"/>
  <c r="Y78" i="5"/>
  <c r="Y172" i="5" s="1"/>
  <c r="BL77" i="5"/>
  <c r="X77" i="5"/>
  <c r="T77" i="5" s="1"/>
  <c r="X63" i="5"/>
  <c r="X61" i="5"/>
  <c r="X60" i="5"/>
  <c r="X59" i="5"/>
  <c r="X55" i="5"/>
  <c r="X54" i="5"/>
  <c r="BL52" i="5"/>
  <c r="BK52" i="5"/>
  <c r="X52" i="5"/>
  <c r="BL43" i="5"/>
  <c r="BM43" i="5" s="1"/>
  <c r="BK43" i="5"/>
  <c r="T43" i="5"/>
  <c r="S43" i="5" s="1"/>
  <c r="BL24" i="5"/>
  <c r="BM24" i="5" s="1"/>
  <c r="BK24" i="5"/>
  <c r="T24" i="5"/>
  <c r="S24" i="5" s="1"/>
  <c r="BL18" i="5"/>
  <c r="BK18" i="5"/>
  <c r="BM18" i="5" s="1"/>
  <c r="T18" i="5"/>
  <c r="S18" i="5"/>
  <c r="BO15" i="5"/>
  <c r="BM13" i="5"/>
  <c r="BL13" i="5"/>
  <c r="BK13" i="5"/>
  <c r="BH13" i="5"/>
  <c r="BF13" i="5"/>
  <c r="BD13" i="5"/>
  <c r="BB13" i="5"/>
  <c r="AZ13" i="5"/>
  <c r="AX13" i="5"/>
  <c r="AV13" i="5"/>
  <c r="AT13" i="5"/>
  <c r="AR13" i="5"/>
  <c r="AP13" i="5"/>
  <c r="AN13" i="5"/>
  <c r="AL13" i="5"/>
  <c r="AJ13" i="5"/>
  <c r="AH13" i="5"/>
  <c r="AF13" i="5"/>
  <c r="AD13" i="5"/>
  <c r="T13" i="5"/>
  <c r="S13" i="5"/>
  <c r="BE13" i="7" l="1"/>
  <c r="AQ13" i="7"/>
  <c r="AI13" i="7"/>
  <c r="BC13" i="7"/>
  <c r="AG13" i="7"/>
  <c r="AU13" i="7"/>
  <c r="AM13" i="7"/>
  <c r="AE13" i="7"/>
  <c r="BG13" i="7"/>
  <c r="AS13" i="7"/>
  <c r="AK13" i="7"/>
  <c r="AO13" i="7"/>
  <c r="S77" i="5"/>
  <c r="S80" i="5"/>
  <c r="BK172" i="5"/>
  <c r="BM52" i="5"/>
  <c r="T172" i="5"/>
  <c r="BK77" i="5"/>
  <c r="BM77" i="5" s="1"/>
  <c r="BM108" i="5"/>
  <c r="BM126" i="5"/>
  <c r="BM145" i="5"/>
  <c r="BM150" i="5"/>
  <c r="BM163" i="5"/>
  <c r="T52" i="5"/>
  <c r="S52" i="5" s="1"/>
  <c r="S57" i="6"/>
  <c r="S61" i="6"/>
  <c r="T80" i="6"/>
  <c r="S60" i="6"/>
  <c r="S64" i="6"/>
  <c r="X172" i="5"/>
  <c r="BL172" i="5"/>
  <c r="S163" i="5"/>
  <c r="S170" i="5"/>
  <c r="S164" i="5"/>
  <c r="S171" i="5"/>
  <c r="BH13" i="7" l="1"/>
  <c r="BI13" i="7" s="1"/>
  <c r="Z22" i="4"/>
  <c r="Y22" i="4"/>
  <c r="BL20" i="4"/>
  <c r="BK20" i="4"/>
  <c r="X20" i="4"/>
  <c r="T20" i="4" s="1"/>
  <c r="S20" i="4" s="1"/>
  <c r="BL15" i="4"/>
  <c r="BM15" i="4" s="1"/>
  <c r="BK15" i="4"/>
  <c r="S15" i="4"/>
  <c r="BL13" i="4"/>
  <c r="BK13" i="4"/>
  <c r="BK22" i="4" s="1"/>
  <c r="X13" i="4"/>
  <c r="X22" i="4" l="1"/>
  <c r="BM20" i="4"/>
  <c r="BL22" i="4"/>
  <c r="T13" i="4"/>
  <c r="BM13" i="4"/>
  <c r="S13" i="4" l="1"/>
  <c r="T22" i="4"/>
  <c r="Z36" i="3" l="1"/>
  <c r="Y36" i="3"/>
  <c r="BL33" i="3"/>
  <c r="BK33" i="3"/>
  <c r="BM33" i="3" s="1"/>
  <c r="T33" i="3"/>
  <c r="S33" i="3" s="1"/>
  <c r="X16" i="3"/>
  <c r="X36" i="3" s="1"/>
  <c r="BL13" i="3"/>
  <c r="BL36" i="3" s="1"/>
  <c r="BK13" i="3"/>
  <c r="BK36" i="3" s="1"/>
  <c r="BI13" i="3"/>
  <c r="T13" i="3"/>
  <c r="T36" i="3" l="1"/>
  <c r="BM13" i="3"/>
  <c r="BK91" i="2" l="1"/>
  <c r="Z91" i="2"/>
  <c r="Y91" i="2"/>
  <c r="BM64" i="2"/>
  <c r="BL64" i="2"/>
  <c r="T64" i="2"/>
  <c r="S64" i="2"/>
  <c r="S59" i="2"/>
  <c r="BM58" i="2"/>
  <c r="BL58" i="2"/>
  <c r="BJ58" i="2"/>
  <c r="BI58" i="2"/>
  <c r="T58" i="2"/>
  <c r="S61" i="2" s="1"/>
  <c r="S58" i="2"/>
  <c r="X56" i="2"/>
  <c r="X55" i="2"/>
  <c r="X54" i="2"/>
  <c r="X53" i="2"/>
  <c r="X49" i="2"/>
  <c r="X48" i="2"/>
  <c r="BM46" i="2"/>
  <c r="BL46" i="2"/>
  <c r="X46" i="2"/>
  <c r="AA45" i="2"/>
  <c r="AA44" i="2"/>
  <c r="BM43" i="2"/>
  <c r="BN43" i="2" s="1"/>
  <c r="BL43" i="2"/>
  <c r="AA43" i="2"/>
  <c r="AA91" i="2" s="1"/>
  <c r="T43" i="2"/>
  <c r="S43" i="2"/>
  <c r="X42" i="2"/>
  <c r="X41" i="2"/>
  <c r="X38" i="2"/>
  <c r="BM37" i="2"/>
  <c r="BN37" i="2" s="1"/>
  <c r="BL37" i="2"/>
  <c r="BI37" i="2"/>
  <c r="AF37" i="2"/>
  <c r="BJ37" i="2" s="1"/>
  <c r="X37" i="2"/>
  <c r="BM31" i="2"/>
  <c r="BL31" i="2"/>
  <c r="BI31" i="2"/>
  <c r="BJ31" i="2" s="1"/>
  <c r="BH31" i="2"/>
  <c r="BF31" i="2"/>
  <c r="BD31" i="2"/>
  <c r="BB31" i="2"/>
  <c r="AZ31" i="2"/>
  <c r="AX31" i="2"/>
  <c r="AV31" i="2"/>
  <c r="AT31" i="2"/>
  <c r="AR31" i="2"/>
  <c r="AP31" i="2"/>
  <c r="AN31" i="2"/>
  <c r="AL31" i="2"/>
  <c r="AJ31" i="2"/>
  <c r="AH31" i="2"/>
  <c r="AF31" i="2"/>
  <c r="T31" i="2"/>
  <c r="S31" i="2" s="1"/>
  <c r="X28" i="2"/>
  <c r="X27" i="2"/>
  <c r="X26" i="2"/>
  <c r="BL13" i="2"/>
  <c r="BI13" i="2"/>
  <c r="BM91" i="2" l="1"/>
  <c r="BN31" i="2"/>
  <c r="T37" i="2"/>
  <c r="S37" i="2" s="1"/>
  <c r="BL91" i="2"/>
  <c r="T46" i="2"/>
  <c r="S46" i="2" s="1"/>
  <c r="S63" i="2"/>
  <c r="BN64" i="2"/>
  <c r="T13" i="2"/>
  <c r="BN46" i="2"/>
  <c r="BN58" i="2"/>
  <c r="T91" i="2"/>
  <c r="S13" i="2"/>
  <c r="S62" i="2"/>
  <c r="X91" i="2"/>
  <c r="S60" i="2"/>
  <c r="BN91" i="2" l="1"/>
  <c r="Z24" i="1"/>
  <c r="Y24" i="1"/>
  <c r="X24" i="1"/>
  <c r="BL21" i="1"/>
  <c r="BM21" i="1" s="1"/>
  <c r="BK21" i="1"/>
  <c r="T21" i="1"/>
  <c r="S21" i="1"/>
  <c r="BL19" i="1"/>
  <c r="BK19" i="1"/>
  <c r="T19" i="1"/>
  <c r="S19" i="1" s="1"/>
  <c r="BL16" i="1"/>
  <c r="BK16" i="1"/>
  <c r="T16" i="1"/>
  <c r="S16" i="1" s="1"/>
  <c r="BL13" i="1"/>
  <c r="BK13" i="1"/>
  <c r="T13" i="1"/>
  <c r="S13" i="1" s="1"/>
  <c r="BK24" i="1" l="1"/>
  <c r="BM19" i="1"/>
  <c r="BL24" i="1"/>
  <c r="BM16" i="1"/>
  <c r="BM13" i="1"/>
  <c r="T24" i="1"/>
</calcChain>
</file>

<file path=xl/comments1.xml><?xml version="1.0" encoding="utf-8"?>
<comments xmlns="http://schemas.openxmlformats.org/spreadsheetml/2006/main">
  <authors>
    <author>tc={1C68C6F1-1D66-4E1B-9231-E7358461BD7C}</author>
    <author>tc={6ACBFD19-05D9-48AB-B5DB-119625E77F3B}</author>
    <author>tc={67D26F0E-B9CF-4382-A80B-0FCFD0FC2E51}</author>
    <author>tc={7B2191A3-9511-47DD-81FA-7635E00F6410}</author>
    <author>tc={F5EC6B06-DAF0-4296-9B5D-7A4ABD31A608}</author>
    <author>tc={7EB874F1-CB29-4E16-B7D3-F6B8B7383ADA}</author>
    <author>tc={C1530878-9251-48DB-87BB-B70A69184FF2}</author>
    <author>tc={0E593304-A134-419A-AEF8-20F319EA2874}</author>
  </authors>
  <commentList>
    <comment ref="X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contracredito según decreto 084 de 08 de febrero de 2021</t>
        </r>
      </text>
    </comment>
    <comment ref="X1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contracredito según decreto 084 de 08 de febrero de 2021</t>
        </r>
      </text>
    </comment>
    <comment ref="X2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por decreto 04 de enero 4 de 2021</t>
        </r>
      </text>
    </comment>
    <comment ref="X26"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de recursos según decreto 03 de enero 4 de 2021</t>
        </r>
      </text>
    </comment>
    <comment ref="X27"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de recursos según decreto 03 de enero 4 de 2021</t>
        </r>
      </text>
    </comment>
    <comment ref="X28"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crédito según decreto 84 del 08 de febrero de 2021</t>
        </r>
      </text>
    </comment>
    <comment ref="X30"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crédito según decreto 84 del 08 de febrero de 2021</t>
        </r>
      </text>
    </comment>
    <comment ref="X31"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crédito según decreto 84 del 08 de febrero de 2021</t>
        </r>
      </text>
    </comment>
  </commentList>
</comments>
</file>

<file path=xl/comments2.xml><?xml version="1.0" encoding="utf-8"?>
<comments xmlns="http://schemas.openxmlformats.org/spreadsheetml/2006/main">
  <authors>
    <author>tc={1A09F86A-FE11-4944-8DF0-5CFEAEDCD8A5}</author>
    <author>tc={0CE4CC24-FAE7-4C23-ADCB-862B8C3438EC}</author>
    <author>tc={F1059E09-C703-4B51-86C9-F41A0578404B}</author>
    <author>tc={A7A44D48-7278-4CD8-B5E1-0BD22536C163}</author>
    <author>tc={E16BFE35-2CA4-494D-B915-3054D03CE89C}</author>
    <author>tc={8D6FF70E-2438-4D97-A4A2-D87617B11B98}</author>
    <author>tc={E3762CE6-9A22-41B5-8010-D45EB1C31B4E}</author>
    <author>tc={D0D3E6CF-D70F-4ECA-9C77-3E7586079797}</author>
    <author>tc={E7416C3C-BB46-4973-9B57-D1ABA14C6DA6}</author>
    <author>tc={A29BF1A5-9E44-403A-A938-7E9C638F3D4D}</author>
    <author>tc={08246BC7-B474-43E8-9BDA-7327593949BB}</author>
    <author>tc={88565687-7114-4314-8DA6-59F41D5318E7}</author>
    <author>tc={9DCA35DC-EC0E-47D4-B9CB-55092213AE3E}</author>
    <author>tc={B7017CC4-F6EB-4144-9D41-BAE20F64712E}</author>
    <author>tc={E39DC6C2-B470-47F0-945F-2AE88C431F0F}</author>
    <author>tc={C9536779-92A6-4727-89A8-E8211A3AF322}</author>
    <author>tc={4F39447C-1710-4B69-A83A-D2704777F2C0}</author>
    <author>tc={AC3EBAB3-3FFF-43F7-BB4A-B6A071F8DC28}</author>
    <author>tc={D0E8C661-84CC-4E75-9F34-37165AC64F5A}</author>
    <author>tc={CAC5A7FD-6AFB-4329-B106-416BFCF2D4E1}</author>
    <author>tc={435E00BE-4A08-42B8-BD35-BB261622B4FC}</author>
    <author>tc={6DD4C55C-9CF1-4F3D-AB26-067AC5B56BED}</author>
    <author>tc={665A3A17-8BF1-485F-9D5F-9D21BD0A7268}</author>
    <author>tc={F64E08A0-1F08-4196-9FEB-973DC8E226EF}</author>
  </authors>
  <commentList>
    <comment ref="X2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203 de abril 13</t>
        </r>
      </text>
    </comment>
    <comment ref="X3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203 de abril 13</t>
        </r>
      </text>
    </comment>
    <comment ref="X3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3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3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149 de 15 de marzo de 2021</t>
        </r>
      </text>
    </comment>
    <comment ref="X39"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40"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41"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42"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203 de abril 13</t>
        </r>
      </text>
    </comment>
    <comment ref="X44" authorId="9"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entre actividades 11 de mayo </t>
        </r>
      </text>
    </comment>
    <comment ref="X45"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46"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47"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marzo 17
Reply:
    ajuste entre actividades de junio 22</t>
        </r>
      </text>
    </comment>
    <comment ref="X48"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49"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marzo 17
Reply:
    ajuste entre actividades de junio 22</t>
        </r>
      </text>
    </comment>
    <comment ref="X50"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de junio 22</t>
        </r>
      </text>
    </comment>
    <comment ref="X51"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52"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53"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130 de marzo 2 de 2021</t>
        </r>
      </text>
    </comment>
    <comment ref="X58"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22</t>
        </r>
      </text>
    </comment>
    <comment ref="X59"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22</t>
        </r>
      </text>
    </comment>
    <comment ref="X60"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22</t>
        </r>
      </text>
    </comment>
    <comment ref="X61" authorId="2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según decreto 203 de 13 de abril
</t>
        </r>
      </text>
    </comment>
    <comment ref="X153"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203 de abril 13</t>
        </r>
      </text>
    </comment>
  </commentList>
</comments>
</file>

<file path=xl/sharedStrings.xml><?xml version="1.0" encoding="utf-8"?>
<sst xmlns="http://schemas.openxmlformats.org/spreadsheetml/2006/main" count="8591" uniqueCount="3401">
  <si>
    <t xml:space="preserve">CODIGO:  </t>
  </si>
  <si>
    <t>F-PLA-07</t>
  </si>
  <si>
    <t xml:space="preserve">VERSIÓN: </t>
  </si>
  <si>
    <t>08</t>
  </si>
  <si>
    <t xml:space="preserve">FECHA: </t>
  </si>
  <si>
    <t>PÁGINA:</t>
  </si>
  <si>
    <t xml:space="preserve"> 1 de 1</t>
  </si>
  <si>
    <t>PLAN DE DESARROLLO DEPARTAMENTAL:   "TÚ Y YO SOMOS QUINDÍO" 2020-2023</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</si>
  <si>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</si>
  <si>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</si>
  <si>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</si>
  <si>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</si>
  <si>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</si>
  <si>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</si>
  <si>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</si>
  <si>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</si>
  <si>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</si>
  <si>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</si>
  <si>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</si>
  <si>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</si>
  <si>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</si>
  <si>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</si>
  <si>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</si>
  <si>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</si>
  <si>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</si>
  <si>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</si>
  <si>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</si>
  <si>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</si>
  <si>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</si>
  <si>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</si>
  <si>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</si>
  <si>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</si>
  <si>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</si>
  <si>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</si>
  <si>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META FISICA PROGRAMADA</t>
  </si>
  <si>
    <t>CODIGO BPIN</t>
  </si>
  <si>
    <t xml:space="preserve">NOMBRE PROYECTO </t>
  </si>
  <si>
    <t>PESO DE LA META (%)</t>
  </si>
  <si>
    <t>VALOR 
(EN PESOS )</t>
  </si>
  <si>
    <t xml:space="preserve">OBJETIVO GENERAL DEL PROYECTO </t>
  </si>
  <si>
    <t xml:space="preserve">OBJETIVOS ESPECIFICOS </t>
  </si>
  <si>
    <t>ACTIVIDADES CUANTIFICADAS</t>
  </si>
  <si>
    <t xml:space="preserve">VALOR EN PESOS </t>
  </si>
  <si>
    <t>IMPUTACION PRESUPUESTAL</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</si>
  <si>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</si>
  <si>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</si>
  <si>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</si>
  <si>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</si>
  <si>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</si>
  <si>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</si>
  <si>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</si>
  <si>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</si>
  <si>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</si>
  <si>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</si>
  <si>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</si>
  <si>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</si>
  <si>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</si>
  <si>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</si>
  <si>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</si>
  <si>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</si>
  <si>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</si>
  <si>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</si>
  <si>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</si>
  <si>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</si>
  <si>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</si>
  <si>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</si>
  <si>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</si>
  <si>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</si>
  <si>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</si>
  <si>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</si>
  <si>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</si>
  <si>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 xml:space="preserve">LIDERAZGO, GOBERNABILIDAD Y TRANSPARENCIA.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</si>
  <si>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</si>
  <si>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</si>
  <si>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</si>
  <si>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</si>
  <si>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</si>
  <si>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</si>
  <si>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</si>
  <si>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</si>
  <si>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</si>
  <si>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</si>
  <si>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</si>
  <si>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</si>
  <si>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0304 - 2 - 3.2.2.2.9.0.0.0.45990232.91119 - 20</t>
  </si>
  <si>
    <t>Superávit recurso Ordinario</t>
  </si>
  <si>
    <t>Recurso Ordinario</t>
  </si>
  <si>
    <t>MAURICIO GRAJALES OSORIO</t>
  </si>
  <si>
    <t>31/12/2021</t>
  </si>
  <si>
    <t>Secretaría Administrativa-Dirección Talento Humano</t>
  </si>
  <si>
    <t xml:space="preserve">Realizar el  diagnóstico  y el Plan de Acción de la  implementación del Código de Integridad.  </t>
  </si>
  <si>
    <t>Ejecutar las actividades establecidas en el Plan Institucional de Archivos PINAR.</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</si>
  <si>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</si>
  <si>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</si>
  <si>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</si>
  <si>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saneamiento fiscal y financiero ejecutado</t>
  </si>
  <si>
    <t>202000363-0007</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</si>
  <si>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</si>
  <si>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</si>
  <si>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</si>
  <si>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0304 - 2 - 3.2.2.2.9.0.0.0.45990022.91119 - 20</t>
  </si>
  <si>
    <t>LUFY DANIEL JARAMILLO GUTIERREZ</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</si>
  <si>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</si>
  <si>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</si>
  <si>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</si>
  <si>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 xml:space="preserve">Proceso de modernización administrativa, incluido el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</si>
  <si>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</si>
  <si>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</si>
  <si>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</si>
  <si>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</si>
  <si>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</si>
  <si>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Actualizar los procesos y procedimientos implementados al interior de la entidad, que permitan desarrollar una modernización administrativa incluyente y participativa.</t>
  </si>
  <si>
    <t>Implementar el programa de modernización Administrativa que incluya el desarrollo del estudio de viabilidad para la creación de la oficina de la felicidad.</t>
  </si>
  <si>
    <t>0304 - 2 - 3.2.2.2.9.0.0.0.45990233.91119 - 20</t>
  </si>
  <si>
    <t>MAURICIO GRAJALES OSORIO-JOHN HAROLD VALENCIA RODRIGUEZ</t>
  </si>
  <si>
    <t>Fortalecimiento de la Gestión  y Desempeño Institucional. "Quindío con una administración al servicio de la ciudadanía "</t>
  </si>
  <si>
    <t>Implementación del Plan de Acción del Sistema Departamental de Servicio a la Ciudadanía SDSC</t>
  </si>
  <si>
    <t xml:space="preserve">Plan de Acción del Sistema Departamental de Servicio a la Ciudadanía SDSC implementado. </t>
  </si>
  <si>
    <t xml:space="preserve">Espacios de integración de oferta pública generados </t>
  </si>
  <si>
    <t>202000363-0005</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</si>
  <si>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</si>
  <si>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</si>
  <si>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</si>
  <si>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</si>
  <si>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0304 - 2 - 3.2.2.2.9.0.0.0.4502033.91119 - 20</t>
  </si>
  <si>
    <t>0304 - 2 - 3.2.1.1.3.3.2.0.4502033.45250 - 20</t>
  </si>
  <si>
    <t>0304 - 2 - 3.2.2.2.5.0.0.0.4502033.54129 - 20</t>
  </si>
  <si>
    <t>TOTAL:</t>
  </si>
  <si>
    <t>SEGUIMIENTO PLAN DE ACCIÓN 
SECRETARÍA DE PLANEACIÓN
A JUNIO 30 DE 2021</t>
  </si>
  <si>
    <t>PLAN DE DESARROLLO DEPARTAMENTAL: PLAN DE DESARROLLO 2020 - 2023 "TÚ Y YO SOMOS QUINDIO"</t>
  </si>
  <si>
    <t xml:space="preserve">META FISICA </t>
  </si>
  <si>
    <t xml:space="preserve">PRODUCTO CATÁLOGO MGA </t>
  </si>
  <si>
    <t>VALOR PROYECTO
(EN PESOS )</t>
  </si>
  <si>
    <t>VALOR ACTIVIDAD (EN PESOS)</t>
  </si>
  <si>
    <t>Edad Económicamente Activa      (20-59 años)</t>
  </si>
  <si>
    <t>Rom</t>
  </si>
  <si>
    <t>VALOR COMPROMISOS
PROYECTO</t>
  </si>
  <si>
    <t>VALOR DE LAS OBLIGACIONES
PROYECTO</t>
  </si>
  <si>
    <t>PROGRAMADA</t>
  </si>
  <si>
    <t>EJECUTADA</t>
  </si>
  <si>
    <t>COMPROMISO</t>
  </si>
  <si>
    <t>OBLIGACIONES</t>
  </si>
  <si>
    <t>PAGOS</t>
  </si>
  <si>
    <t>Gestión Territorial</t>
  </si>
  <si>
    <t>Fortalecimiento técnico y logístico del  Consejo Territorial de Planeación Departamental, como representantes de la sociedad civil en la planeación  del desarrollo integral  de la entidad territorial</t>
  </si>
  <si>
    <t>Servicio de promoción a la participación ciudadana</t>
  </si>
  <si>
    <t xml:space="preserve">Consejo Territorial de Planeación Departamental fortalecido.   </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</si>
  <si>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</si>
  <si>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</si>
  <si>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</si>
  <si>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</si>
  <si>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</si>
  <si>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</si>
  <si>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0305 - 2 - 3.2.2.2.6.0.0.0.45020014.63391 - 20</t>
  </si>
  <si>
    <t>Recursos Ordinarios</t>
  </si>
  <si>
    <t>Secretario de Planeación Departamental</t>
  </si>
  <si>
    <t>0305 - 2 - 3.2.2.2.6.0.0.0.45020014.64118 - 20</t>
  </si>
  <si>
    <r>
      <t>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</si>
  <si>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0305 - 2 - 3.2.2.2.6.0.0.0.45020014.63111 - 20</t>
  </si>
  <si>
    <t>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</si>
  <si>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Adquisición de Equipo de computo y muebles de oficina</t>
  </si>
  <si>
    <t>0305 - 2 - 3.2.1.1.4.1.1.2.45020014.38122 - 20</t>
  </si>
  <si>
    <t>0305 - 2 - 3.2.1.1.3.3.2.0.45020014.45221 - 20</t>
  </si>
  <si>
    <t xml:space="preserve">Scanner, Cámara fotografía, Grabadora, Micrófonos Inalámbricos. </t>
  </si>
  <si>
    <t>0305 - 2 - 3.2.1.1.3.3.2.0.45020014.45250 - 20</t>
  </si>
  <si>
    <t xml:space="preserve">Comunicaciones externas de interés público a través de medios radiales, prensa y televisivos. </t>
  </si>
  <si>
    <t>0305 - 2 - 3.2.2.2.9.0.0.0.45020014.91134 - 20</t>
  </si>
  <si>
    <t>Actualización y cargas permanente a la pagina Web y redes del Consejo Territorial</t>
  </si>
  <si>
    <t>0305 - 2 - 3.2.2.2.8.0.0.0.45020014.83132 - 20</t>
  </si>
  <si>
    <t>Suministro de material litográfico, papelería, impresos y publicaciones, entre otros.</t>
  </si>
  <si>
    <t>0305 - 2 - 3.2.2.1.3.0.0.0.45020014.32690 - 20</t>
  </si>
  <si>
    <t>Jornadas de educacíon no formal en Ordenamiento Territorial</t>
  </si>
  <si>
    <t>0305 - 2 - 3.2.2.2.9.0.0.0.45020014.91119 - 20</t>
  </si>
  <si>
    <t>Apoyo Administrativo Juridico</t>
  </si>
  <si>
    <t>Material de apoyo logístico</t>
  </si>
  <si>
    <t>Adquisición de muebles de oficina (mesas y sillas sala de juntas)</t>
  </si>
  <si>
    <t>0305 - 2 - 3.2.1.1.4.1.1.2.4502001.38122 - 88</t>
  </si>
  <si>
    <t>Superavit Recurso Ordinario</t>
  </si>
  <si>
    <t>Eventos de Rendición Pública de Cuentas qué divulgan la gestión administrativa.</t>
  </si>
  <si>
    <t xml:space="preserve">Eventos de Rendición Públicas de Cuentas realizados. </t>
  </si>
  <si>
    <t>Rendicion de cuentas realizadas</t>
  </si>
  <si>
    <t>202000363-0043</t>
  </si>
  <si>
    <t xml:space="preserve"> Implementación  de eventos de Rendición Pública de Cuentas  de divulgación de gestión  de la Administración </t>
  </si>
  <si>
    <t>Incrementar la  participación de ciudadanos en los eventos de elección popular, a través  de la realización de la  Rendición Pública de Cuentas, con el propósito de generar un espacio de interlocución entre la sociedad civil y/o organizada.</t>
  </si>
  <si>
    <t>Aumentar los eventos de divulgación</t>
  </si>
  <si>
    <t xml:space="preserve"> Apoyo estructuración de instrumentos informativos (Visual  y escrito) para la socialización  Informe de Gestión  vigencia 2020</t>
  </si>
  <si>
    <t xml:space="preserve">
0305 - 2 - 3.2.2.2.9.0.0.0.45020012.91119 - 20</t>
  </si>
  <si>
    <t>Ordinario</t>
  </si>
  <si>
    <t>Martha Elena Giraldo Ramirez
Directora Técnica</t>
  </si>
  <si>
    <t>31/12/20121</t>
  </si>
  <si>
    <t xml:space="preserve">Apoyo en la Organización logística del proceso de Rendición de Cuentas  en los municipios </t>
  </si>
  <si>
    <t xml:space="preserve"> Apoyo recolección de información  por líneas  estratégicas  (visual  y escrita) para la  estructuración del Informe de Gestión de la vigencia 2021 Sector Central (Secretarías)</t>
  </si>
  <si>
    <t xml:space="preserve"> Apoyo recolección de información  por líneas  estratégicas  (visual  y escrita) para la  estructuración del Informe de Gestión de la vigencia 2021  Entes Descentralizados </t>
  </si>
  <si>
    <t>Edición Informe de Gestión  vigencia 2020</t>
  </si>
  <si>
    <t>0305 - 2 - 3.2.2.1.3.0.0.0.45020012.32690 - 20</t>
  </si>
  <si>
    <t>Fortalecimiento a la gestión y dirección de la administración pública territorial "Quindío con una administración al servicio de la ciudadanía "</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</si>
  <si>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</si>
  <si>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</si>
  <si>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 xml:space="preserve">Instrumentos de planificación de ordenamiento y gestión territorial departamental implementados. </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</si>
  <si>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</si>
  <si>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</si>
  <si>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</si>
  <si>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</si>
  <si>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</si>
  <si>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 xml:space="preserve">Elaboración e implementación de  instrumentos de planificación para  el  Ordenamiento y la Gestión Territorial Departamental en el área de Catastro Multipropósito  y Ordenamiento Territorial. </t>
  </si>
  <si>
    <t>0305 - 2 - 3.2.2.2.9.0.0.0.4599018.91114 - 20</t>
  </si>
  <si>
    <t>Diego Fernando Acevedo Cardona
Jefe Desarrollo Territorial</t>
  </si>
  <si>
    <t>Elaboracion e implementación de   instrumentos de planificación para  el  Ordenamiento y la Gestión Territorial Departamental en el área directrices del Ordenamiento Territorial Departamental</t>
  </si>
  <si>
    <t xml:space="preserve">Elaboración de   instrumentos de planificación para  el  Ordenamiento y la Gestión Territorial Departamental para la implementación de Mecanismos de Integración </t>
  </si>
  <si>
    <t>Fortalecimiento de la plataforma SIG Institucional. Licencia software</t>
  </si>
  <si>
    <t>Implementación  instrumentos de planificación para  el  Ordenamiento y la Gestión Territorial Departamental en el área de Sistemas de Información Geográfica Fortalecimiento de la plataforma SIG-  Convenio IGAC</t>
  </si>
  <si>
    <t>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</si>
  <si>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</si>
  <si>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</si>
  <si>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</si>
  <si>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</si>
  <si>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</si>
  <si>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</si>
  <si>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</si>
  <si>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</si>
  <si>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Recolección y análisis de la información para la actualización, generación de los boletines trimestrales (4), el informe anual del Departamento (1) y los demás análisis requeridos correspondientes a la vigencia 2020 ( Informe de mercado laboral 2020 (1), saldo de deuda (1), infografías y notas informativas (12) , actualización y seguimiento indicadores de Desarrollo sostenible 2020 (1)compilación, fichas Básicas Municipales.2020</t>
  </si>
  <si>
    <t>0305 - 2 - 3.2.2.2.9.0.0.0.45990251.91114 - 20</t>
  </si>
  <si>
    <t>Apoyar la implementación  del Observatorio Económico  del Departamento: En la organización, actualización, operatividad de la información además de su publicación, difusión  y asistencia técnica.</t>
  </si>
  <si>
    <t>Actualización de los instrumentos (Anuario estadístico, carta estadística e indicadores ) de identificación, validación y cálculo de indicadores del observatorio departamental contenidos en las dos áreas temáticas abordadas (social y económica) para la vigencia 2020</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</si>
  <si>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</si>
  <si>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</si>
  <si>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</si>
  <si>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</si>
  <si>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</si>
  <si>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Fortalecer la asistencia a los entes territoriales para garantizar la presentación de proyectos</t>
  </si>
  <si>
    <t xml:space="preserve">Acompañamiento en la  estructuración y  formulación de proyectos  para ser  financiados con recursos   del Sistema General de Regalias  SGR (Documento tecnico de soporte, presupuesto, metodología General Ajustada  y  requisitos generales para la viabilización  de proyectos) </t>
  </si>
  <si>
    <t>0305 - 2 - 3.2.2.2.9.0.0.0.45990252.91114 - 20</t>
  </si>
  <si>
    <t>Sandra Patricia Diaz Ordonez 
Jefe Banco de Programas y Proyectos
Norma Consuelo Mantilla Quintero
Profesional Universitario 
Luis Alberto Rincon Quintero
Asesor de Despacho</t>
  </si>
  <si>
    <t>Apoyo para la revision tecnica, viabilidad, priorizacion y aprobacion de proyectos nuevos y ajustes  suceptibles de ser financiados con recursos del Sistema General de Regalias y acompañamiento en el cumplimiento de requisitos legales previos al inicio de la ejecucion de los proyectos SGR.</t>
  </si>
  <si>
    <t>Apoyo en la gestion tecnica, registro y seguimiento en las plataformas del sistema General de Regalias  e informes   requeridos por las instancias de seguimiento y control,  acompñamiento a los ejercicios de planeacion  conforme a la normatividad vigente.</t>
  </si>
  <si>
    <t>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</si>
  <si>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demas dispuestas por el DNP.</t>
  </si>
  <si>
    <t>Apoyo técnico  y acompañamiento a las unidades ejecutoras para el Seguimiento a los Proyectos de Inversión del Banco de Proyectos nivel departamental en el  SISTEMA DE SEGUIMIENTO A PROYECTOS DE INVERSIÓN -SPI-, teniendo en cuenta la Ejecución de metas físicas y finaniceras, gestión y los anexos.</t>
  </si>
  <si>
    <t>Apoyo en el seguimiento, generacion de informes  y actualizacion  de los instrumentos de planificacion conforme al  avance y/o modificaciones prespuestales que   generen cambios en los proyectos de inversion.</t>
  </si>
  <si>
    <t>Apoyo y asistencia técnica para la realización de modificaciones y/o ajustes a los proyectos de Inversión de la Secretaria de Planeacíon Departamental, de acuerdo al Plan de Desarrollo 2020-2023, actualizando las plataformas, MGA, SUIIF  TERRITORIO y realizando la actualización de seguimiento en el  aplicativo SPI.</t>
  </si>
  <si>
    <t>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</si>
  <si>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Apoyar los procesos de revision y analisis de actos administrativos y demas  informacion   financiera relacionada con la inversión del Departamento, asi como el apoyo en la proyeccion, verificación y consolidacion de la información  correspondiente a iniciativas y proyectos  del banco de programas y proyectos,  permitiendo garantizar  la disposición de la información de manera accesible, confiable y oportuna.</t>
  </si>
  <si>
    <t xml:space="preserve">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</si>
  <si>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 xml:space="preserve">Apoyar los procesos de ajustes, actualización instrumentos de planificación, proyeccion certificados, cumplimiento de requisitos y demas documentos inherentes a la operatividad de los proyectos financiados con recursos del Sistema General de Regalias
</t>
  </si>
  <si>
    <t xml:space="preserve">Entes territoriales  con servicio de asistencia técnica de los Instrumentos de Planificación para  en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</si>
  <si>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</si>
  <si>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</si>
  <si>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</si>
  <si>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</si>
  <si>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</si>
  <si>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</si>
  <si>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</si>
  <si>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Capacitación, asistencia técnica seguimiento y/o evaluación actualización  Planes, Planes Básicos y Esquemas de Ordenamiento territorial, en concordancia a lo dispuesto en el Decreto 1232 del 2020 </t>
  </si>
  <si>
    <t>0305 - 2 - 3.2.2.2.9.0.0.0.45990311.91114 - 20</t>
  </si>
  <si>
    <t>Martha Elena Giraldo Ramirez
Directora Técnica
Diego Fernando Acevedo Cardona
Jefe Desarrollo Territorial
Sandra Patricia Diaz Ordonez 
Jefe Banco de Programas y Proyectos</t>
  </si>
  <si>
    <t>Entes territoriales con servicio de asistencia  técnica del Modelo Integrado de Planeación y de Gestión MIPG</t>
  </si>
  <si>
    <t>Entes Territoriales con procesos de asistencia técnica realizadas.</t>
  </si>
  <si>
    <t xml:space="preserve">Capacitación, Diagnóstico y Asistencias Técnicas  Dimensiones  MIPG  Talento Humano, Direccionamiento Estratégico y Planeación, Gestión para Resultados con Valores, Evaluación de Resultados, Información y Comunicación, Gestión del Conocimiento y Control Interno </t>
  </si>
  <si>
    <t>0305 - 2 - 3.2.2.2.9.0.0.0.45990315.91114 - 20</t>
  </si>
  <si>
    <t>Entes territoriales  con servicio de asistencia técnica en la Medición del Desempeño Municipal.</t>
  </si>
  <si>
    <t>Asistencia técnica, seguimiento y/o evaluación Ranking Integral de Desempeño, identificación de inconsistencias del FUT, Evaluación de requisitos legales, viabilidad fiscal.</t>
  </si>
  <si>
    <t>0305 - 2 - 3.2.2.2.9.0.0.0.45990314.91114 - 20</t>
  </si>
  <si>
    <t xml:space="preserve">Entes territoriales  con servicio de asistencia técnica en el Sistema de Identificación de Potenciales Beneficiarios de Programas Sociales (SISBEN). </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</si>
  <si>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</si>
  <si>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0305 - 2 - 3.2.2.2.9.0.0.0.45990313.91114 - 20</t>
  </si>
  <si>
    <t>Entes territoriales con servicio de asistencia técnica en la formulación, preparación, seguimiento y evaluación de las políticas públicas.</t>
  </si>
  <si>
    <t>Procesos de socialización a los  Entes Territoriales Municipales :   a)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</si>
  <si>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0305 - 2 - 3.2.2.2.9.0.0.0.45990316.91114 - 20</t>
  </si>
  <si>
    <t xml:space="preserve">Entes territoriales  con servicio de asistencia técnica en Banco de Programas y Proyectos de Inversión Nacional (BPIN).  </t>
  </si>
  <si>
    <t>Capacitacion,asistencia tecnica, seguimiento y/o evaluacion al banco de programas y proyectos de los entes territoriales</t>
  </si>
  <si>
    <t>0305 - 2 - 3.2.2.2.9.0.0.0.45990312.91114 - 20</t>
  </si>
  <si>
    <t>Servicio de Implementación Sistemas de Gestión</t>
  </si>
  <si>
    <t xml:space="preserve">Sistema de Gestión implementado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</si>
  <si>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</si>
  <si>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</si>
  <si>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</si>
  <si>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 xml:space="preserve">Incrementar la aplicabilidad de los componentes que integran las dimensiones y políticas del Modelo Integrado de Planeación y de Gestión MIPG en la Administración Departamental del Quindío.
</t>
  </si>
  <si>
    <t xml:space="preserve">Dimensión De Talento Humano  </t>
  </si>
  <si>
    <t>0305 - 2 - 3.2.2.2.9.0.0.0.45990232.91119 - 20</t>
  </si>
  <si>
    <t xml:space="preserve">Dimensión Direccionamiento Estratégico </t>
  </si>
  <si>
    <t xml:space="preserve">Dimensión Gestión Para Resultados Con Valores </t>
  </si>
  <si>
    <t xml:space="preserve">Dimensión Evaluación De Resultados </t>
  </si>
  <si>
    <t xml:space="preserve">Dimensión Información Y Comunicación </t>
  </si>
  <si>
    <t xml:space="preserve">Dimensión Gestión Del Conocimiento Y La Innovación </t>
  </si>
  <si>
    <t xml:space="preserve">Dimensión De Control Interno  </t>
  </si>
  <si>
    <t xml:space="preserve">Política De Talento Humano  </t>
  </si>
  <si>
    <t xml:space="preserve">Política De  Integridad </t>
  </si>
  <si>
    <t xml:space="preserve">Planeación Institucional  </t>
  </si>
  <si>
    <t xml:space="preserve">Política Gestión Presupuestal Y Eficiencia Del Gasto Publico </t>
  </si>
  <si>
    <t xml:space="preserve">Política Fortalecimiento Organizacional y Simplificación De Procesos  </t>
  </si>
  <si>
    <t xml:space="preserve">Política De Gobierno Digital  </t>
  </si>
  <si>
    <t xml:space="preserve">Política De Seguridad Digital  </t>
  </si>
  <si>
    <t xml:space="preserve">Política Defensa Jurídica </t>
  </si>
  <si>
    <t xml:space="preserve">Política  Transparencia, Acceso A La Información Y Lucha Contra La Corrupción </t>
  </si>
  <si>
    <t xml:space="preserve">Política Servicio Al Ciudadano  </t>
  </si>
  <si>
    <t xml:space="preserve">Política De Racionalización De Trámites  </t>
  </si>
  <si>
    <t xml:space="preserve">Política Participación Ciudadana En La Gestión  </t>
  </si>
  <si>
    <t xml:space="preserve">Política Mejora Normativa  </t>
  </si>
  <si>
    <t xml:space="preserve">Política De Seguimiento Y Evaluación Del Desempeño Institucional.  </t>
  </si>
  <si>
    <t xml:space="preserve">Política Gestión Documental  </t>
  </si>
  <si>
    <t xml:space="preserve">Política  Gestión De La Información Estadística  </t>
  </si>
  <si>
    <t xml:space="preserve">Política De Gestión Del Conocimiento Y La Innovación </t>
  </si>
  <si>
    <t xml:space="preserve">Política De Control Interno </t>
  </si>
  <si>
    <t>Dimensiones y Políticas  del  MIPG</t>
  </si>
  <si>
    <t>Realización procesos de autoevaluación MIPG</t>
  </si>
  <si>
    <t>JOSÉ IGNACIO ROJAS SEPÚLVEDA</t>
  </si>
  <si>
    <t>Secretario de Planeación</t>
  </si>
  <si>
    <t>SEGUIMIENTO PLAN DE ACCIÓN SECRETARÍA DE HACIENDA     
JUNIO 30 DE 2021</t>
  </si>
  <si>
    <t>PLAN DE DESARROLLO DEPARTAMENTAL:   "TÚ Y YO SOMOS QUINDÍO"</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</si>
  <si>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</si>
  <si>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</si>
  <si>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</si>
  <si>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</si>
  <si>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</si>
  <si>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</si>
  <si>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administración departamental .</t>
  </si>
  <si>
    <t>Realizar procesos de fiscalización de las rentas del departamento, procedimiento Administrativo de Cobro Coactivo sobre la cartera morosa de las rentas Departamentales y programa Anticontrabando de Licores, Cervezas y Cigarrillos</t>
  </si>
  <si>
    <t>0307 - 2 - 3.2.2.1.3.0.0.0.45990021.32610 - 20</t>
  </si>
  <si>
    <t xml:space="preserve">Recurso Ordinario       </t>
  </si>
  <si>
    <t> </t>
  </si>
  <si>
    <t>20
88
56
95</t>
  </si>
  <si>
    <t>Recurso Ordinario
Superavit Recurso Ordinario
Convenio Interadministrativo
Superavit convenios interadministrativos convenio anticontrabando</t>
  </si>
  <si>
    <t>-Orlando Yara 
-Manuel Alejandro Londoño</t>
  </si>
  <si>
    <t xml:space="preserve"> Aleyda Marín Betancourt </t>
  </si>
  <si>
    <t>0307 - 2 - 3.2.2.1.3.0.0.0.45990021.33311 - 56</t>
  </si>
  <si>
    <t>Federación Nacional de Departamentos</t>
  </si>
  <si>
    <t>0307 - 2 - 3.2.2.1.3.0.0.0.45990021.36111 - 56</t>
  </si>
  <si>
    <t>0307 - 2 - 3.2.2.1.3.0.0.0.45990021.38911 - 20</t>
  </si>
  <si>
    <t>0307 - 2 - 3.2.2.1.3.0.0.0.45990021.83444 - 56</t>
  </si>
  <si>
    <t>0307 - 2 - 3.2.2.1.3.0.0.0.45990021.87141 - 56</t>
  </si>
  <si>
    <t>0307 - 2 - 3.2.2.2.6.0.0.0.45990021.63391 - 56</t>
  </si>
  <si>
    <t>0307 - 2 - 3.2.2.2.6.0.0.0.45990021.85953 - 20</t>
  </si>
  <si>
    <t>0307 - 2 - 3.2.2.2.8.0.0.0.45990021.84392 - 20</t>
  </si>
  <si>
    <t>0307 - 2 - 3.2.2.2.9.0.0.0.45990021.91119 - 20</t>
  </si>
  <si>
    <t>0307 - 2 - 3.2.2.2.9.0.0.0.45990021.91119 - 56</t>
  </si>
  <si>
    <t>0307 - 2 - 3.2.2.2.9.0.0.0.45990021.91119 - 95</t>
  </si>
  <si>
    <t>Superavit convenios interadministrativos convenio anticontrabando</t>
  </si>
  <si>
    <t>0307 - 2 - 3.2.2.1.3.0.0.0.45990021.32610 - 88</t>
  </si>
  <si>
    <t>Superávit Recurso Ordinario</t>
  </si>
  <si>
    <t>0307 - 2 - 3.2.2.1.3.0.0.0.45990021.33311 - 88</t>
  </si>
  <si>
    <t>0307 - 2 - 3.2.2.2.6.0.0.0.45990021.85953 - 88</t>
  </si>
  <si>
    <t>0307 - 2 - 3.2.2.1.3.0.0.0.45990021.32128 - 20</t>
  </si>
  <si>
    <t>0307 - 2 - 3.2.2.1.3.0.0.0.45990021.32128 - 56</t>
  </si>
  <si>
    <t>0307 - 2 - 3.2.2.1.3.0.0.0.45990021.35130 - 20</t>
  </si>
  <si>
    <t>0307 - 2 - 3.2.2.2.6.0.0.0.45990021.63393 - 56</t>
  </si>
  <si>
    <t>0307 - 2 - 3.2.2.2.6.0.0.0.45990021.63393 - 20</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</si>
  <si>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</si>
  <si>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</si>
  <si>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</si>
  <si>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</si>
  <si>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</si>
  <si>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</si>
  <si>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</si>
  <si>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</si>
  <si>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0307 - 2 - 3.2.2.2.9.0.0.0.45990023.91119 - 20</t>
  </si>
  <si>
    <t>-Aleyda Marín Betancourt
-Andrés Mauricio Olarte
-Milly Gabriela Sarria
-Wbiller Grajales Puentes</t>
  </si>
  <si>
    <t>Aleyda Marín Betancourt</t>
  </si>
  <si>
    <t>0307 - 2 - 3.2.2.1.3.0.0.0.45990023.32128 - 20</t>
  </si>
  <si>
    <t>0307 - 2 - 3.2.2.1.3.0.0.0.45990023.35130 - 20</t>
  </si>
  <si>
    <t>ALEYDA MARÍN BETANCOUR</t>
  </si>
  <si>
    <t>Secretaria de Hacienda</t>
  </si>
  <si>
    <t>SEGUIMIENTO PLAN DE ACCIÓN OFICINA PRIVADA 
JUNIO 30 DE 2021</t>
  </si>
  <si>
    <t xml:space="preserve">SECTOR </t>
  </si>
  <si>
    <t xml:space="preserve">LIDERAZGO, GOBERNABILIDAD Y TRANSPARENCIA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</si>
  <si>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</si>
  <si>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</si>
  <si>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</si>
  <si>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</si>
  <si>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0.65</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</si>
  <si>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</si>
  <si>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</si>
  <si>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</si>
  <si>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</si>
  <si>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Articulaciones y Transparencia.</t>
  </si>
  <si>
    <t>0313 - 2 - 3.2.2.2.9.0.0.0.45990231.91119 - 20</t>
  </si>
  <si>
    <t>Juan Manuel Rodriguez Brito - Asesor de despacho grado II
Camilo Jose Ortiz M - PU
Carlos Andres Quintero - Director de Emprendimiento y Competitividad
Diana Marcela Martínez Correa - Directora de Protocolo</t>
  </si>
  <si>
    <t>Director Oficina Privada</t>
  </si>
  <si>
    <r>
      <t>0313 - 2 - 3.2.2.2.6.0.0.0.</t>
    </r>
    <r>
      <rPr>
        <sz val="12"/>
        <color rgb="FF000000"/>
        <rFont val="Arial"/>
        <family val="2"/>
      </rPr>
      <t>45990231.63391 - 20</t>
    </r>
  </si>
  <si>
    <t>Desarrollo e implementación de la estrategia de comunicaciones para la Administración Departamental</t>
  </si>
  <si>
    <t>Servicio de integración de la oferta pública</t>
  </si>
  <si>
    <t>Estrategia de comunicaciones desarrollada e implementada</t>
  </si>
  <si>
    <t>0.21</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</si>
  <si>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</si>
  <si>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</si>
  <si>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</si>
  <si>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</si>
  <si>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</si>
  <si>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0313 - 2 - 3.2.2.2.9.0.0.0.4599029.91119 - 20</t>
  </si>
  <si>
    <t>20-88</t>
  </si>
  <si>
    <t xml:space="preserve">
Camilo Jose Ortiz M - PU 
Ricardo Medina Salcedo-Director de comunicaciones</t>
  </si>
  <si>
    <t>0313 - 2 - 3.2.2.2.9.0.0.0.4599029.91119 - 88</t>
  </si>
  <si>
    <t>Superavit recurso ordinario</t>
  </si>
  <si>
    <t>Ejecución Plan de Medios (Radio, Prensa, Revistas, Televisión, Portal WEB, Redes Sociales, OOH) Revisión y Desarrollo de la Estrategia de Comunicaciones.</t>
  </si>
  <si>
    <t>0313 - 2 - 3.2.02.02.009. 4599029.91136 - 20</t>
  </si>
  <si>
    <t>0313 - 2 - 3.2.02.02.009. 4599029.91136 - 88</t>
  </si>
  <si>
    <t>Fortalecimiento del buen gobierno para el respeto y garantía de los derechos humanos. "Quindío integrado y participativo"</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</si>
  <si>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</si>
  <si>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</si>
  <si>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</si>
  <si>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</si>
  <si>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</si>
  <si>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</si>
  <si>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Encuentros Ciudadanos</t>
  </si>
  <si>
    <t>0313 - 2 - 3.2.2.2.9.0.0.0.45020011.91119 - 20</t>
  </si>
  <si>
    <t xml:space="preserve">
Lina Maria Duque Ossman - Directora Gestión Estratégica
Juan Manuel Rodriguez Brito - Asesor de despacho grado II
Ricardo Medina Salcedo-Director de comunicaciones</t>
  </si>
  <si>
    <t>Ruta de la felicidad</t>
  </si>
  <si>
    <t>SEGUIMIENTO PLAN DE ACCIÓN SECRETARIA  AGUAS E INFRAESTRUCTURA    AÑO: JUNIO 30/ 2021</t>
  </si>
  <si>
    <t>PLAN DE DESARROLLO DEPARTAMENTAL: "TU Y YO SOMOS QUINDÍO" 2020-2023</t>
  </si>
  <si>
    <t xml:space="preserve">INCLUSIÓN SOCIAL Y EQUIDAD </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</si>
  <si>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</si>
  <si>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</si>
  <si>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</si>
  <si>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</si>
  <si>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</si>
  <si>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</si>
  <si>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</si>
  <si>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</si>
  <si>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</si>
  <si>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</si>
  <si>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Construir, mejorar y/o rehabilitar la   infraestructura física de las instituciones publicas y/o de seguridad y justicia del Estado en el departamento.</t>
  </si>
  <si>
    <t>0308 - 2 - 3.2.2.2.5.0.0.0.1202019.54129 - 20</t>
  </si>
  <si>
    <t>Ordinarios</t>
  </si>
  <si>
    <t>CARLOS ANDRES PELAEZ ALZATE</t>
  </si>
  <si>
    <t>Secretario de Aguas e Infraestructura, Directores y Jefes</t>
  </si>
  <si>
    <t>Prestación de servicios profesionales a la supervisión de obras físicas y procesos que se adelanten en cumplimiento del proyecto.</t>
  </si>
  <si>
    <t xml:space="preserve">Construcción y/o mejoramiento </t>
  </si>
  <si>
    <t>0308 - 2 - 3.2.2.2.5.0.0.0.1202019.54129 - 88</t>
  </si>
  <si>
    <t>Salud y protección social</t>
  </si>
  <si>
    <t>Aseguramiento y Prestación integral de servicios de salud "Tú y yo con servicios de salud"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</si>
  <si>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</si>
  <si>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</si>
  <si>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</si>
  <si>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</si>
  <si>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</si>
  <si>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</si>
  <si>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Aumentar el proceso de mantenimiento, mejoramiento y construcción de las instituciones de Salud del Departamento</t>
  </si>
  <si>
    <t>Servicio  de Mano de obra calificada y/o no calificada necesaria  para el mejoramiento de la infraestructura física de las instituciones de salud publica y bienestar social en el departamento</t>
  </si>
  <si>
    <t>0308 - 2 - 3.2.2.2.5.0.0.0.1906015.54129 - 20</t>
  </si>
  <si>
    <t>20
88</t>
  </si>
  <si>
    <t>Ordinario
Superavit Recurso Ordinario</t>
  </si>
  <si>
    <t>Construir, mejorar y/o rehabilitar la   infraestructura física de las instituciones de salud publica y bienestar social en el departamento</t>
  </si>
  <si>
    <t>0308 - 2 - 3.2.2.2.5.0.0.0.1906015.54129 - 88</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</si>
  <si>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</si>
  <si>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</si>
  <si>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</si>
  <si>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</si>
  <si>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</si>
  <si>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</si>
  <si>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</si>
  <si>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</si>
  <si>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</si>
  <si>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formación integral </t>
  </si>
  <si>
    <t>Prestación de Servicios de Asistencia Profesional a la supervisión en la vigilancia, seguimiento y control jurídico de los contratos suscritos en cumplimiento del proyecto.</t>
  </si>
  <si>
    <t>0308 - 2 - 3.2.2.2.5.0.0.0.2201062.54129 - 04</t>
  </si>
  <si>
    <t>04</t>
  </si>
  <si>
    <t xml:space="preserve">Estampilla pro desarrollo </t>
  </si>
  <si>
    <t>Estampilla Pro Desarrollo</t>
  </si>
  <si>
    <t>0308 - 2 - 3.2.2.2.9.0.0.0.2201062.91119 - 04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</si>
  <si>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</si>
  <si>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</si>
  <si>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</si>
  <si>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</si>
  <si>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</si>
  <si>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</si>
  <si>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0308 - 2 - 3.2.2.1.1.0.0.0.2201062.15311 - 04</t>
  </si>
  <si>
    <t>0308 - 2 - 3.2.2.1.3.0.0.0.2201062.37440 - 04</t>
  </si>
  <si>
    <t>0308 - 2 - 3.2.2.1.4.0.0.0.2201062.42190 - 04</t>
  </si>
  <si>
    <t>0308 - 2 - 3.2.2.1.4.0.0.0.2201062.42999 - 04</t>
  </si>
  <si>
    <t>Servicio de transporte para el desplazamiento del personal y materiales a las obras físicas</t>
  </si>
  <si>
    <t>0308 - 2 - 3.2.2.2.6.0.0.0.2201062.64119 - 04</t>
  </si>
  <si>
    <t>Construcción y/o mejoramiento y/o mantenimiento y/o reforzamiento de infraestructura educativa en el Departamento del Quindío</t>
  </si>
  <si>
    <t>INterventoría integral para los contratos que se adelanten en infraestructura educativa</t>
  </si>
  <si>
    <t xml:space="preserve"> Mano de obra calificada y/o no calificada necesaria para la ejecución de obras físicas de las instituciones educativas </t>
  </si>
  <si>
    <t>Cultura</t>
  </si>
  <si>
    <t>Promoción y acceso efectivo a procesos culturales y artísticos. "Tú y yo somos cultura Quindiana"</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</si>
  <si>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</si>
  <si>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</si>
  <si>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</si>
  <si>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</si>
  <si>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</si>
  <si>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</si>
  <si>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</si>
  <si>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</si>
  <si>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Mano de obra calificada y/o no calificada necesaria para la ejecución de obras físicas de mantenimiento y/o mejoramiento y/o rehabilitación y/o atención de la infraestructura social y Cultural del Departamento del Quindío</t>
  </si>
  <si>
    <t>0308 - 2 - 3.2.2.2.5.0.0.0.3301068.54129 - 20</t>
  </si>
  <si>
    <t>Seguimiento y control de obras físicas y procesos que se adelanten en cumplimiento del proyecto.</t>
  </si>
  <si>
    <t>Se realizo contrato de obra 003 de 2021 para  la Infraestructura en puentes construida, mejorada, ampliada, mantenida y/o reforzada cuyo objeto es  " REPARACION Y MANTENIMIENTO DEL PUENTE SOBRE EL RIO ROBLE DE LA VIA FILANDIA – MORELIA – MONTENEGRO CÓDIGO 29BQN04, DEPARTAMENTO DEL QUINDÍO"</t>
  </si>
  <si>
    <t>0308 - 2 - 3.2.2.1.3.0.0.0.3301068.37440- 20</t>
  </si>
  <si>
    <t>0308 - 2 - 3.2.2.1.4.0.0.0.3301068.42999 - 20</t>
  </si>
  <si>
    <t>0308 - 2 - 3.2.2.1.1.0.0.0.3301068.15311 - 20</t>
  </si>
  <si>
    <t>0308 - 2 - 3.2.2.1.4.0.0.0.3301068.42190 - 20</t>
  </si>
  <si>
    <t>Construcción, mantenimiento, mejoramiento y/o rehabilitacion de la infraestructura cultural en el Departamento del Quindío</t>
  </si>
  <si>
    <t>0308 - 2 - 3.2.2.2.5.0.0.0.3301068.54129 - 88</t>
  </si>
  <si>
    <t>Deporte y recreación</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</si>
  <si>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</si>
  <si>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</si>
  <si>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Servicio de mantenimiento a la infraestructura deportiva</t>
  </si>
  <si>
    <t xml:space="preserve">Infraestructura   deportiva y/o recreativa construida  mejorada,  ampliada,  mantenida y/o  reforzada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</si>
  <si>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</si>
  <si>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</si>
  <si>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</si>
  <si>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</si>
  <si>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</si>
  <si>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0308 - 2 - 3.2.2.2.5.0.0.0.4301004.54129 - 04</t>
  </si>
  <si>
    <t>04
82</t>
  </si>
  <si>
    <t>Estampilla pro desarrollo 
Superavit Estampilla Pro-Desarrollo</t>
  </si>
  <si>
    <t>Estampilla Pro Desarrollo
Superavit Estampilla Pro-Desarrollo</t>
  </si>
  <si>
    <t>0308 - 2 - 3.2.2.2.6.0.0.0.4301004.64119 - 04</t>
  </si>
  <si>
    <t>Suministro y/o compraventa de materiales, elementos y equipos necesarios para la realización de proyectos en infraestructura deportiva.</t>
  </si>
  <si>
    <t>0308 - 2 - 3.2.2.1.4.0.0.0.4301004.42999 - 04</t>
  </si>
  <si>
    <t>0308 - 2 - 3.2.2.1.1.0.0.0.4301004.15311 - 04</t>
  </si>
  <si>
    <t>0308 - 2 - 3.2.2.1.3.0.0.0.4301004.37440 - 04</t>
  </si>
  <si>
    <t>0308 - 2 - 3.2.2.1.4.0.0.0.4301004.42190 - 04</t>
  </si>
  <si>
    <t>Prestación de Servicios de Asistencia Profesional a la supervisión en la vigilancia, seguimiento y control jurídico de los contratos suscritos en cumplimiento del proyecto</t>
  </si>
  <si>
    <t>0308 - 2 - 3.2.2.2.9.0.0.0.4301004.91119 - 04</t>
  </si>
  <si>
    <t>Seguimiento y control administrativo y financiero de las obras y contratos suscritos y en ejecución de proyectos deportivos por el Departamento</t>
  </si>
  <si>
    <t xml:space="preserve"> Prestación de Servicios de Apoyo Técnico a la supervisión de obras físicas y procesos que se adelanten en cumplimiento del proyecto.</t>
  </si>
  <si>
    <t>0308 - 2 - 3.2.2.2.5.0.0.0.4301004.54270 - 82</t>
  </si>
  <si>
    <t>Mano de obra calificada y/o no calificada necesaria para la ejecución de obras físicas de mantenimiento y/o mejoramiento y/o rehabilitación y/o atención de la infraestructura deportiva del Departamento del Quindío</t>
  </si>
  <si>
    <t xml:space="preserve">Construcción, mejoramiento, mantenimiento y/o reforzamiento de infraestructura deportiva y recreativa en el Departamento del Quindío </t>
  </si>
  <si>
    <t>0308 - 2 - 3.2.1.1.1.2.11.0.4301004.53270 - 04</t>
  </si>
  <si>
    <t>0308 - 2 - 3.2.1.1.1.2.11.0.4301004.53270 - 82</t>
  </si>
  <si>
    <t>Interventoría integral para los contratos que se adelanten en infraestructura deportiva</t>
  </si>
  <si>
    <t>0308 - 2 - 3.2.2.2.5.0.0.0.4301004.54270 - 04</t>
  </si>
  <si>
    <t>Estudios y diseños</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</si>
  <si>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</si>
  <si>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</si>
  <si>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</si>
  <si>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</si>
  <si>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</si>
  <si>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</si>
  <si>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</si>
  <si>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</si>
  <si>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</si>
  <si>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</si>
  <si>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</si>
  <si>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Prestación de Servicios de apoyo a la gestión para la operación de maquinaria pesada, vehículos y equipos</t>
  </si>
  <si>
    <t>0308 - 2 - 3.2.2.2.5.0.0.0.2402022.54221 - 20</t>
  </si>
  <si>
    <t>20
88
56</t>
  </si>
  <si>
    <t>Ordinario
Superavit Recurso Ordinario
Cofinanciación Convenios Interadministrativos</t>
  </si>
  <si>
    <t>ALFONSO VELEZ GARCIA</t>
  </si>
  <si>
    <t>Construir, mejorar y/o rehabilitar la infraestructura en puentes del Departamento</t>
  </si>
  <si>
    <t xml:space="preserve">Prestación de servicios para la supervisión de obras físicas y procesos que se adelanten en cumplimiento del proyecto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</si>
  <si>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</si>
  <si>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</si>
  <si>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</si>
  <si>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</si>
  <si>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Suministro y/o compraventa de materiales y elementos</t>
  </si>
  <si>
    <t>0308 - 2 - 3.2.2.2.5.0.0.0.2402041.54211 - 20</t>
  </si>
  <si>
    <t>0308 - 2- 3.2.2.1.4.0.0.0.2402041.42999-56</t>
  </si>
  <si>
    <t>0308 - 2- 3.2.2.1.1.0.0.0.2402041.15320-56</t>
  </si>
  <si>
    <t>0308 - 2 - 3.2.2.1.3.0.0.0.2402041.37440 - 20</t>
  </si>
  <si>
    <t>0308 - 2 - 3.2.2.1.4.0.0.0.2402041.42190 - 20</t>
  </si>
  <si>
    <t>0308 - 2 - 3.2.2.1.4.0.0.0.2402041.42999 - 20</t>
  </si>
  <si>
    <t>0308 - 2 - 3.2.2.1.1.0.0.0.2402041.15311 - 20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</si>
  <si>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</si>
  <si>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</si>
  <si>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0308 - 2 - 3.2.2.2.9.0.0.0.2402041.91119 - 20</t>
  </si>
  <si>
    <t>Apoyo a la Supervisión en la vigilancia, seguimiento y control jurídico a los procesos y contratos de obra física en ejecución y suscritos por el Departamento en cumplimiento del proyecto</t>
  </si>
  <si>
    <t>Mano de obra calificada y/o no calificada necesaria para la ejecución de obras físicas de mantenimiento, mejoramiento  de las vías y sus emergencia en cumplimiento del Plan Vial del Departamento del Quindío.</t>
  </si>
  <si>
    <t>0308 - 2 - 3.2.2.2.5.0.0.0.2402041.54211 - 56</t>
  </si>
  <si>
    <t>Prestación de servicios Profesionales y/o técnica y/o apoyo a la gestión para la supervisión en la vigilancia y seguimiento y control Financiero y Administrativo de los contratos suscritos en cumplimiento del proyecto.</t>
  </si>
  <si>
    <t xml:space="preserve">Construcción y/o Mantenimiento y/o mejoramiento y/o rehabilitación y/o atención de las vías secundarias y terciarias en el departamento </t>
  </si>
  <si>
    <t xml:space="preserve">prestación de servicios para la supervisión de obras físicas y procesos que se adelanten en cumplimiento del proyecto </t>
  </si>
  <si>
    <t xml:space="preserve">prestación de servicios de apoyo técnico a la supervisión de obras físicas y procesos que se adelanten en cumplimiento del proyecto </t>
  </si>
  <si>
    <t>suministro de combustible para la maquinaria pesada, vehículos y equipos menores</t>
  </si>
  <si>
    <t>0308 - 2 - 3.2.2.2.5.0.0.0.2402041.33311 - 20</t>
  </si>
  <si>
    <t>0308-2-3.2.2.2.5.0.0.0.2402041.33311-56</t>
  </si>
  <si>
    <t>Mantenimiento preventivo y correctivo, incluyendo repuestos e instalación para maquinaria pesada del departamento</t>
  </si>
  <si>
    <t>0308 - 2 - 3.2.1.1.3.2.8.0.0.2402041.87156 - 20</t>
  </si>
  <si>
    <t>0308-2.3.2.1.1.3.2.8.0.2402041.87156-56</t>
  </si>
  <si>
    <t xml:space="preserve">Servicio de transporte para el desplazamiento del personal y materiales a las obras físicas en cumplimiento del proyecto </t>
  </si>
  <si>
    <t>0308 - 2 - 3.2.2.2.6.0.0.0.2402041.64119 - 20</t>
  </si>
  <si>
    <t>Suministro de aceites y lubricantes</t>
  </si>
  <si>
    <t>0308-2-3.2.2.1.3.0.0.0.2402041.33380-56</t>
  </si>
  <si>
    <t>compra de maquinaria de construcción</t>
  </si>
  <si>
    <t>0308 - 2 - 3.2.1.1.3.2.4.0.2402041.44424 - 88</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</si>
  <si>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</si>
  <si>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</si>
  <si>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</si>
  <si>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</si>
  <si>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</si>
  <si>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</si>
  <si>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</si>
  <si>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mejoramiento de la red vial del Departamento </t>
  </si>
  <si>
    <t>Prestación de servicios  profesionales y/o especializados y/o técnicos para la elaboración de estudios y diseños de infraestructura vial</t>
  </si>
  <si>
    <t>0308 - 2 - 3.2.2.2.9.0.0.0.2402118.91134 - 20</t>
  </si>
  <si>
    <t>Ambiente y desarrollo sostenible</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</si>
  <si>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</si>
  <si>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</si>
  <si>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</si>
  <si>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</si>
  <si>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</si>
  <si>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</si>
  <si>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</si>
  <si>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mitigación y atención de desastres viales </t>
  </si>
  <si>
    <t>Prestación de Servicios  Profesionales y/o especializada en la supervisión, vigilancia, seguimiento y control jurídico de los contratos suscritos en cumplimiento del proyecto.</t>
  </si>
  <si>
    <t>0308 - 2 - 3.2.2.2.5.0.0.0.3205010.53211 - 20</t>
  </si>
  <si>
    <t>0308 - 2 - 3.2.2.2.9.0.0.0.3205010.91119 - 20</t>
  </si>
  <si>
    <t xml:space="preserve">Apoyo a la Supervisión en la vigilancia, seguimiento y control jurídico a los procesos  y contratos de obra física en ejecución y suscritos por el Departamento en cumplimiento del proyecto </t>
  </si>
  <si>
    <t>Prestación de servicios Profesionales y/o técnica y/o apoyo a la gestión para  la supervisión en la vigilancia y seguimiento y control  Financiero y Administrativo de los contratos suscritos en cumplimiento del proyecto.</t>
  </si>
  <si>
    <t>Prestación de servicios profesionales y/o especializados y/o técnicos para el Seguimiento y control de obras físicas y procesos que se adelanten en cumplimiento del proyecto.</t>
  </si>
  <si>
    <t xml:space="preserve">Construcción y/o mejoramiento y/o rehabilitación de obras para la estabilización de taludes </t>
  </si>
  <si>
    <t>0308 - 2 - 3.2.2.2.5.0.0.0.3205010.53211 - 88</t>
  </si>
  <si>
    <t xml:space="preserve">Prestación de servicios de apoyo técnico a la supervisión de obras físicas y procesos que se adelanten en cumplimiento del proyecto </t>
  </si>
  <si>
    <t>Suministro de combustible para la maquinaria pesada, vehículos y equipos menores</t>
  </si>
  <si>
    <t>0308 - 2 - 3.2.2.2.5.0.0.0.3205010.33311 - 20</t>
  </si>
  <si>
    <t xml:space="preserve">Mano de obra calificada y/o no calificada necesaria para la construcción, mantenimiento y/o mejoramiento de obras de estabilización de taludes en el Departamento del Quindío </t>
  </si>
  <si>
    <t xml:space="preserve">Suministro y/o compraventa de materiales y elementos </t>
  </si>
  <si>
    <t>0308 - 2 - 3.2.2.1.4.0.0.0.3205010.42999 - 20</t>
  </si>
  <si>
    <t>0308 - 2 - 3.2.2.1.1.0.0.0.3205010.15311 - 20</t>
  </si>
  <si>
    <t>0308 - 2 - 3.2.2.1.3.0.0.0.3205010.37440 - 20</t>
  </si>
  <si>
    <t>0308 - 2 - 3.2.2.1.4.0.0.0.3205010.42190 - 20</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</si>
  <si>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</si>
  <si>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</si>
  <si>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</si>
  <si>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</si>
  <si>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</si>
  <si>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0308 - 2 - 3.2.2.1.4.0.0.0.3205021.42999 - 20</t>
  </si>
  <si>
    <t xml:space="preserve"> </t>
  </si>
  <si>
    <t>0308 - 2 - 3.2.2.1.3.0.0.0.3205021.37440 - 20</t>
  </si>
  <si>
    <t>0308 - 2 - 3.2.2.1.1.0.0.0.3205021.15311 - 20</t>
  </si>
  <si>
    <t>0308 - 2 - 3.2.2.1.4.0.0.0.3205021.42190 - 20</t>
  </si>
  <si>
    <t xml:space="preserve">Mano de obra calificada y/o no calificada necesaria para la ejecución de obras de infraestructura en cumplimiento del proyecto Construcción, mantenimiento y/o mejoramiento de obras de infraestructura  para la mitigación y atención de desastres en los municipios del departamento del Quindío  </t>
  </si>
  <si>
    <t>0308 - 2 - 3.2.2.2.5.0.0.0.3205021.53211 - 20</t>
  </si>
  <si>
    <t>0308 - 2 - 3.2.2.2.5.0.0.0.3205021.53211 - 88</t>
  </si>
  <si>
    <t>0308 - 2 - 3.2.2.2.5.0.0.0.3205021.33311 - 20</t>
  </si>
  <si>
    <t>0308 - 2 - 3.2.2.2.5.0.0.0.3205021.33311 - 89</t>
  </si>
  <si>
    <t>Superávit recurso ACPM</t>
  </si>
  <si>
    <t>Superavit recurso ACPM</t>
  </si>
  <si>
    <t xml:space="preserve">Servicio de revisión técnico mecánica y de gases para la maquinaria pesada </t>
  </si>
  <si>
    <t>Mantenimiento preventivo y correctivo, incluyendo repuestos e instalación para la maquinaria pesada del departamento</t>
  </si>
  <si>
    <t>0308 - 2 - 3.2.1.1.3.2.8.0.0.3205021.87156 - 20</t>
  </si>
  <si>
    <t xml:space="preserve">Prestación de servicios profecionales para la dirección y la coordinación de la maquinaria </t>
  </si>
  <si>
    <t xml:space="preserve">construcción , mantenimiento y/o mejoramiento de obras de infraestructura para la mitigación y atención de desastres </t>
  </si>
  <si>
    <t xml:space="preserve">Estudios y diseños técnicos de vulnerabilidad </t>
  </si>
  <si>
    <t>Servicios de vigilancia en puntos aleatorios para el funcionamiento de la maquinaria y equipos del Departamento</t>
  </si>
  <si>
    <t>0308 - 2 - 3.2.2.2.5.0.0.0.3205021.85250 - 88</t>
  </si>
  <si>
    <t xml:space="preserve">Superávit recurso ordinario </t>
  </si>
  <si>
    <t>0308 - 2 - 3.2.2.2.5.0.0.0.3205021.85250 - 20</t>
  </si>
  <si>
    <t>Vivienda, Ciudad y Territorio</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</si>
  <si>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</si>
  <si>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</si>
  <si>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</si>
  <si>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</si>
  <si>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</si>
  <si>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</si>
  <si>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</si>
  <si>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</si>
  <si>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 de vivienda de interés social en el Departamento del Quindío</t>
  </si>
  <si>
    <t>0308 - 2 - 3.2.2.2.5.0.0.0.4001015.54112 - 20</t>
  </si>
  <si>
    <t>0308 - 2 - 3.2.2.2.5.0.0.0.4001015.54112 - 04</t>
  </si>
  <si>
    <t>Estampilla pro desarrollo (04)</t>
  </si>
  <si>
    <t>Estampilla pro desarrollo</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</si>
  <si>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</si>
  <si>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</si>
  <si>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</si>
  <si>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</si>
  <si>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</si>
  <si>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</si>
  <si>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</si>
  <si>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 xml:space="preserve">Suministro y/o compraventa de materiales  y  elementos  necesarios para el  mantenimiento de la infraestructura institucional o edificios públicos en el Departamento del Quindío </t>
  </si>
  <si>
    <t>0308 - 2 - 3.2.2.1.4.0.0.0.4599016.42999 - 20</t>
  </si>
  <si>
    <t>0308 - 2 - 3.2.2.1.3.0.0.0.4599016.37440 - 20</t>
  </si>
  <si>
    <t>0308 - 2 - 3.2.2.1.1.0.0.0.4599016.15311 - 20</t>
  </si>
  <si>
    <t>0308 - 2 - 3.2.2.1.3.0.0.0.4599016.42190 - 20</t>
  </si>
  <si>
    <t>Apoyo técnico a la supervisión de obras físicas y procesos que se adelanten en cumplimiento del proyecto</t>
  </si>
  <si>
    <t>0308 - 2 - 3.2.2.2.5.0.0.0.4599016.54129 - 20</t>
  </si>
  <si>
    <t>Prestación de Mano de obra calificada y/o no calificada necesaria para el mantenimiento de la infraestructura institucional o edificios públicos en el Departamento del Quindío</t>
  </si>
  <si>
    <t>Construcción y/o mejoramiento y/o mantenimiento y/o reforzamiento de infraestructura institucional o edificios públicos en el Departamento del Quindío</t>
  </si>
  <si>
    <t>0308 - 2 - 3.2.2.2.5.0.0.0.4599016.54129 - 88</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</si>
  <si>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</si>
  <si>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</si>
  <si>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</si>
  <si>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</si>
  <si>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equipamientos colectivos para el desarrollo comunitario, culturar en el Departamento del Quindío</t>
  </si>
  <si>
    <t>Prestación  de mano de obra calificada y/o no calificada necesaria para la construcción y/o adecuación  de casetas comunales.</t>
  </si>
  <si>
    <t>0308 - 2 - 3.2.2.2.5.0.0.0.4502003.54129 - 20</t>
  </si>
  <si>
    <t>Construcción, mantenimiento, mejoramiento y/o rehabilitación de casetas comunales.</t>
  </si>
  <si>
    <t>TERRITORIO, AMBIENTE Y DESARROLLO SOSTENIBLE</t>
  </si>
  <si>
    <t>Acceso de la población a los servicios de agua potable y saneamiento básico. "Tú y yo con calidad del agua"</t>
  </si>
  <si>
    <t>4003018</t>
  </si>
  <si>
    <t>Alcantarillados construidos</t>
  </si>
  <si>
    <t>Plantas de tratamiento de aguas residuales  construidas</t>
  </si>
  <si>
    <t>202000363-0014</t>
  </si>
  <si>
    <t>Implementación del Plan departamental para el manejo empresarial de los servicios de agua y saneamiento básico en el departamento del Quindío.</t>
  </si>
  <si>
    <t>Implementar estrategias de planeación y coordinación interinstitucional para el manejo de los esquemas de abastecimiento y prestación de los servicios de agua y saneamiento urbanos y rurales</t>
  </si>
  <si>
    <t>Articular recursos, planificación e inversión en agua y saneamiento básico.</t>
  </si>
  <si>
    <t>0308 - 2 - 3.2.2.2.5.0.0.0.4003018.53253 - 27</t>
  </si>
  <si>
    <t xml:space="preserve">
S.G.P. Agua Potable y Saneamiento Básico</t>
  </si>
  <si>
    <t>Monica Maria Camacho Valladares
Directora de Aguas y Saneamiento Básico</t>
  </si>
  <si>
    <t>4003025</t>
  </si>
  <si>
    <t>Servicios de apoyo financiero para la ejecución de proyectos de acueductos y alcantarillado</t>
  </si>
  <si>
    <t>Proyectos de acueducto y alcantarillado en área urbana financiados</t>
  </si>
  <si>
    <t>0308 - 2 - 3.2.2.2.5.0.0.0.4003025.53253 - 27</t>
  </si>
  <si>
    <t>0308 - 2 - 3.2.2.2.5.0.0.0.4003025.53253 - 04</t>
  </si>
  <si>
    <t>0308 - 2 - 3.2.2.2.5.0.0.0.4003025.53253 - 82</t>
  </si>
  <si>
    <t>82</t>
  </si>
  <si>
    <t>Superavit estampilla pro desarrollo</t>
  </si>
  <si>
    <t>0308 - 2 - 3.2.2.2.5.0.0.0.4003025.53253 - 90</t>
  </si>
  <si>
    <t>90</t>
  </si>
  <si>
    <t>superavit SGP agua potable y saneamiento basico</t>
  </si>
  <si>
    <t>Superavit SGP Agua Potable y Saneamiento Básico</t>
  </si>
  <si>
    <t>4003026</t>
  </si>
  <si>
    <t>Servicios de apoyo financiero para la ejecución de proyectos de acueductos y de manejo de aguas residuales</t>
  </si>
  <si>
    <t>Proyectos de acueducto y de manejo de aguas residuales en área rural financiados</t>
  </si>
  <si>
    <t>0308 - 2 - 3.2.2.2.5.0.0.0.4003026.53253 - 27</t>
  </si>
  <si>
    <t>4003028</t>
  </si>
  <si>
    <t>Servicios de educación informal en agua potable y saneamiento básico</t>
  </si>
  <si>
    <t>Eventos de educación informal en agua y saneamiento básico realizados</t>
  </si>
  <si>
    <t>0308 - 2 - 3.2.2.2.9.0.0.0.4003028.91123 - 27</t>
  </si>
  <si>
    <t>Estudios de pre inversión e inversión</t>
  </si>
  <si>
    <t xml:space="preserve">Estudios o diseños realizados </t>
  </si>
  <si>
    <t>0308 - 2 - 3.2.2.2.5.0.0.0.4003042.54253 - 27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</si>
  <si>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</si>
  <si>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</si>
  <si>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</si>
  <si>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</si>
  <si>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0308 - 2 - 3.2.2.2.9.0.0.0.4003006.91123 - 27</t>
  </si>
  <si>
    <t>SEGUIMIENTO PLAN DE ACCIÓN  DE LA SECRETARÍA DE AGRICULTURA, DESARROLLO RURAL Y MEDIO AMBIENTE  
A JUNIO 30 DE 2021</t>
  </si>
  <si>
    <t>PLAN DE DESARROLLO DEPARTAMENTAL: Tú y Yo somos Quindío 2020-2023</t>
  </si>
  <si>
    <t>PROYECTOS</t>
  </si>
  <si>
    <t>Palenqueras</t>
  </si>
  <si>
    <t>PRODUCTIVIDAD Y COMPETITIVIDAD</t>
  </si>
  <si>
    <t>Agricultura y desarrollo rural</t>
  </si>
  <si>
    <t>Inclusión productiva de pequeños productores rurales. "Tú y yo con oportunidades para en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</si>
  <si>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</si>
  <si>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</si>
  <si>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</si>
  <si>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</si>
  <si>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</si>
  <si>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</si>
  <si>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</si>
  <si>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0312 - 2 - 3.2.2.2.9.0.0.0.1702011.91131 - 20</t>
  </si>
  <si>
    <t>Recurso ordinario</t>
  </si>
  <si>
    <t>20
195</t>
  </si>
  <si>
    <t>Recurso ordinario
Superavit reintegro recursos del crédito</t>
  </si>
  <si>
    <t>JUAN CAMILO TABARES ALZATE</t>
  </si>
  <si>
    <t>JULIO CESAR CORTES PULIDO</t>
  </si>
  <si>
    <t>0312 - 2 - 3.2.2.2.8.0.0.0.1702011.86119 - 20</t>
  </si>
  <si>
    <t>Servicio de apoyo financiero para proyectos productivos</t>
  </si>
  <si>
    <t>Proyectos productivos cofinanciados</t>
  </si>
  <si>
    <t>Realizar proceso de acompañamiento en la cofinanciación de proyectos productivos</t>
  </si>
  <si>
    <t>Convenios alianzas proyectos productivos</t>
  </si>
  <si>
    <t>0312 - 2 - 3.2.2.2.9.0.0.0.1702007.91138 - 20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</si>
  <si>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</si>
  <si>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</si>
  <si>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</si>
  <si>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Convenios alianzas de apoyo financiero para el acceso a activos productivos y de comercialización</t>
  </si>
  <si>
    <t>0312 - 2 - 3.2.2.2.9.0.0.0.1702009.91138 - 20</t>
  </si>
  <si>
    <t>0312 - 2 - 3.2.2.2.9.0.0.0.1702009.91138 - 195</t>
  </si>
  <si>
    <t>Superavit reintegro recursos del crédito</t>
  </si>
  <si>
    <t>Servicio de apoyo para en fomento organizativo de la agricultura campesina, familiar y comunitaria</t>
  </si>
  <si>
    <t>170201700</t>
  </si>
  <si>
    <t>Productores agropecuarios apoyados</t>
  </si>
  <si>
    <t>202000363-0023</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</si>
  <si>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</si>
  <si>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</si>
  <si>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</si>
  <si>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</si>
  <si>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0312 - 2 - 3.2.2.2.9.0.0.0.1702017.91131 - 20</t>
  </si>
  <si>
    <t>Recurso ordinario
Superavit Recurso Ordinario</t>
  </si>
  <si>
    <t>LUIS ALBERTO GOMEZ ROJAS</t>
  </si>
  <si>
    <t>0312 - 2 - 3.2.2.2.9.0.0.0.1702017.91138 - 20</t>
  </si>
  <si>
    <t>0312 - 2 - 3.2.2.2.9.0.0.0.1702017.91131 - 88</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</si>
  <si>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</si>
  <si>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</si>
  <si>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</si>
  <si>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</si>
  <si>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</si>
  <si>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0312 - 2 - 3.2.2.2.9.0.0.0.1702014.91138 - 20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</si>
  <si>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</si>
  <si>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</si>
  <si>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</si>
  <si>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</si>
  <si>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</si>
  <si>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0312 - 2 - 3.2.2.2.9.0.0.0.1702021.91131 - 20</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</si>
  <si>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</si>
  <si>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</si>
  <si>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</si>
  <si>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</si>
  <si>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</si>
  <si>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</si>
  <si>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</si>
  <si>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Apoyo institucional a productores en la participación en mercados
campesinos-Compra y/o adquisición de suministros</t>
  </si>
  <si>
    <t>0312 - 2 - 3.2.2.2.6.0.0.0.1702038.62429 - 20</t>
  </si>
  <si>
    <t xml:space="preserve">Recurso ordinario
Superavit reintegro recursos del crédito
</t>
  </si>
  <si>
    <t>0312 - 2 - 3.2.2.2.6.0.0.0.1702038.62429 - 195</t>
  </si>
  <si>
    <t>170203801</t>
  </si>
  <si>
    <t>Productores apoyados para la participación en mercados campesinos</t>
  </si>
  <si>
    <t>Acompañamiento a las organizaciones de productores formales</t>
  </si>
  <si>
    <t>Documentos de planeación</t>
  </si>
  <si>
    <t>170202301</t>
  </si>
  <si>
    <t>Planes de Desarrollo Agropecuario y Rural elaborados</t>
  </si>
  <si>
    <t>202000363-0022</t>
  </si>
  <si>
    <t>Implementación de procesos de extensión agropecuaria e inocuidad (estatus sanitario, BPA, BPG) alimentaria; en el Departamento del Quindío</t>
  </si>
  <si>
    <t>Formular e Implementar el Plan Departamental de Extensión Agropecuaria PDEA del departamento del Quindío;</t>
  </si>
  <si>
    <t>Formular e Implementar el Plan Departamental de Extensión Agropecuaria PDEA del departamento del Quindío</t>
  </si>
  <si>
    <t>0312 - 2 - 3.2.2.2.9.0.0.0.1702023.91131 - 20</t>
  </si>
  <si>
    <t>Servicios de acompañamiento en la implementación de planes de desarrollo agropecuario y rural</t>
  </si>
  <si>
    <t>170202400</t>
  </si>
  <si>
    <t>Planes de Desarrollo Agropecuario y Rural acompañados</t>
  </si>
  <si>
    <t>Estructurar y ejecutar proyectos integrales agropecuarios, de asistencia técnica y extensión agropecuaria municipales</t>
  </si>
  <si>
    <t>Servicios de acompañamiento en la implementación de Planes de Desarrollo Agropecuario y Rural</t>
  </si>
  <si>
    <t>0312 - 2 - 3.2.2.2.9.0.0.0.1702024.91131 - 20</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</si>
  <si>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</si>
  <si>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</si>
  <si>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</si>
  <si>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</si>
  <si>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</si>
  <si>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</si>
  <si>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</si>
  <si>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</si>
  <si>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0312 - 2 - 3.2.2.2.9.0.0.0.1702025.91131 - 20</t>
  </si>
  <si>
    <t>Servicios financieros y gestión del riesgo para las actividades agropecuarias y rurales. "Tú y yo con un campo protegido"</t>
  </si>
  <si>
    <t>Servicio de apoyo a la implementación de mecanismos y herramientas para en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</si>
  <si>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</si>
  <si>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</si>
  <si>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</si>
  <si>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</si>
  <si>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</si>
  <si>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</si>
  <si>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</si>
  <si>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0312 - 2 - 3.2.2.2.9.0.0.0.1703013.91138 - 20</t>
  </si>
  <si>
    <t>0312 - 2 - 3.2.2.2.9.0.0.0.1703013.91138 - 195</t>
  </si>
  <si>
    <t>Ordenamiento social y uso productivo del territorio rural. "Tú y yo con un campo planificado"</t>
  </si>
  <si>
    <t>170400203</t>
  </si>
  <si>
    <t>Documentos de lineamientos para en ordenamiento social y productivo elaborados</t>
  </si>
  <si>
    <t>202000363-0025</t>
  </si>
  <si>
    <t>Implementación de procesos de ordenamiento productivo y social territorial</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</si>
  <si>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</si>
  <si>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</si>
  <si>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</si>
  <si>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0312 - 2 - 3.2.2.2.9.0.0.0.1704002.91131 - 20</t>
  </si>
  <si>
    <t>Servicio de apoyo para el fomento de la formalidad</t>
  </si>
  <si>
    <t>170401700</t>
  </si>
  <si>
    <t xml:space="preserve">Personas sensibilizadas en la formalización </t>
  </si>
  <si>
    <t>Formular e implementar programas y proyectos agropecuarios integrales, sostenibles, de reconversión productiva</t>
  </si>
  <si>
    <t>Acompañamiento en el proceso de formalización de la propiedad rural</t>
  </si>
  <si>
    <t>0312 - 2 - 3.2.2.2.9.0.0.0.1704017.91131 - 20</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</si>
  <si>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</si>
  <si>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</si>
  <si>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</si>
  <si>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</si>
  <si>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</si>
  <si>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</si>
  <si>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</si>
  <si>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</si>
  <si>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eventos nacionales e internacionales</t>
  </si>
  <si>
    <t>0312 - 2 - 3.2.2.2.9.0.0.0.1706004.91138 - 20</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</si>
  <si>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</si>
  <si>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</si>
  <si>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</si>
  <si>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</si>
  <si>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</si>
  <si>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</si>
  <si>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</si>
  <si>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</si>
  <si>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</si>
  <si>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0312 - 2 - 3.2.2.2.9.0.0.0.1707069.91138 - 20</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</si>
  <si>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</si>
  <si>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</si>
  <si>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</si>
  <si>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</si>
  <si>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</si>
  <si>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</si>
  <si>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agropecuarios y agroindustriales y
de desarrollo rural integral</t>
  </si>
  <si>
    <t>Apoyo coordinación puesta en marcha de proyectos de CTI</t>
  </si>
  <si>
    <t>0312 - 2 - 3.2.2.2.9.0.0.0.1708016.91131 - 20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</si>
  <si>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</si>
  <si>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</si>
  <si>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</si>
  <si>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</si>
  <si>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</si>
  <si>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0312 - 2 - 3.2.2.2.9.0.0.0.1708051.91131 - 20</t>
  </si>
  <si>
    <t>Infraestructura productiva y comercialización. "Tú y yo con agro competitivo"</t>
  </si>
  <si>
    <t>Centros logísticos agropecuarios adecuados</t>
  </si>
  <si>
    <t>170901900</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</si>
  <si>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</si>
  <si>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</si>
  <si>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</si>
  <si>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</si>
  <si>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agroindustriales.</t>
  </si>
  <si>
    <t>0312 - 2 - 3.2.1.1.3.2.5.0.1709019.44516 - 20</t>
  </si>
  <si>
    <t>Infraestructura de pos cosecha adecuada</t>
  </si>
  <si>
    <t>170903400</t>
  </si>
  <si>
    <t>Mejorar la Infraestructura de pos cosecha</t>
  </si>
  <si>
    <t>Realización de acciones de diseño, acompañamiento para adecuación de
infraestructura de pos cosecha</t>
  </si>
  <si>
    <t>0312 - 2 - 3.2.2.2.9.0.0.0.1709034.91131 - 20</t>
  </si>
  <si>
    <t>0312 - 2 - 3.2.2.2.9.0.0.0.1709034.91138 - 20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</si>
  <si>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</si>
  <si>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</si>
  <si>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</si>
  <si>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</si>
  <si>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t>
  </si>
  <si>
    <t>0312 - 2 - 3.2.1.1.3.2.5.0.1709093.44516 - 20</t>
  </si>
  <si>
    <t>Comercio, Industria y Turismo</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</si>
  <si>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</si>
  <si>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</si>
  <si>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</si>
  <si>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</si>
  <si>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</si>
  <si>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</si>
  <si>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</si>
  <si>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</si>
  <si>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</si>
  <si>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0312 - 2 - 3.2.2.2.9.0.0.0.3502017.91131 - 20</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</si>
  <si>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</si>
  <si>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</si>
  <si>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</si>
  <si>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</si>
  <si>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0312 - 2 - 3.2.2.2.9.0.0.0.3502007.91119 - 20</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</si>
  <si>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</si>
  <si>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</si>
  <si>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</si>
  <si>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</si>
  <si>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</si>
  <si>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</si>
  <si>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</si>
  <si>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</si>
  <si>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0312 - 2 - 3.2.2.2.9.0.0.0.3201013.94900 - 20</t>
  </si>
  <si>
    <t>MIGUEL ANGEL MEJIA DIAZ</t>
  </si>
  <si>
    <t>Servicio de vigilancia de la calidad del aire</t>
  </si>
  <si>
    <t>Campaña de monitoreo de calidad del aire realizadas</t>
  </si>
  <si>
    <t>Realización de Campaña de monitoreo de calidad del aire realizadas</t>
  </si>
  <si>
    <t>0312 - 2 - 3.2.2.2.9.0.0.0.3201008.94900 - 20</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</si>
  <si>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</si>
  <si>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</si>
  <si>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</si>
  <si>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</si>
  <si>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</si>
  <si>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</si>
  <si>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</si>
  <si>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ripiaros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</si>
  <si>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</si>
  <si>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en servicios de restauración de ecosistemas</t>
  </si>
  <si>
    <t>0312 - 2 - 3.2.2.2.9.0.0.0.3202005.94900 - 20</t>
  </si>
  <si>
    <t>0312 - 2 - 3.2.2.1.3.0.0.0.3202005.32690 - 20</t>
  </si>
  <si>
    <t>0312 - 2 - 3.2.2.2.6.0.0.0.3202005.64119 - 20</t>
  </si>
  <si>
    <t>Servicio de recuperación de cuerpos de agua lénticos y lóticos</t>
  </si>
  <si>
    <t>Bosque ripario recuperado</t>
  </si>
  <si>
    <t>320203704</t>
  </si>
  <si>
    <t>Desarrollo de actividades de recuperación del Bosque ripario recuperado</t>
  </si>
  <si>
    <t>0312 - 2 - 3.2.2.2.9.0.0.0.32020371.94900 - 20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</si>
  <si>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</si>
  <si>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</si>
  <si>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</si>
  <si>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</si>
  <si>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0312 - 2 - 3.2.2.2.9.0.0.0.32020372.94900 - 88</t>
  </si>
  <si>
    <t>0312 - 2 - 3.2.2.2.9.0.0.0.32020372.94900 - 20</t>
  </si>
  <si>
    <t>31/12/2021.</t>
  </si>
  <si>
    <t>0312 - 2 - 3.2.2.2.6.0.0.0.32020372.64119 - 20</t>
  </si>
  <si>
    <t>Servicio apoyo financiero para la implementación de esquemas de pago por servicio ambientales</t>
  </si>
  <si>
    <t xml:space="preserve">Esquemas de Pago por Servicio ambientales implementados </t>
  </si>
  <si>
    <t>Esquemas de Pago por Servicio ambientales</t>
  </si>
  <si>
    <t>0312 - 2 - 3.2.2.2.9.0.0.0.3202043.94900 - 20</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</si>
  <si>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</si>
  <si>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</si>
  <si>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</si>
  <si>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</si>
  <si>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202000363-0028</t>
  </si>
  <si>
    <t xml:space="preserve"> 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</si>
  <si>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</si>
  <si>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</si>
  <si>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asesoría y asistencia técnica en la formulación, estructuración e implementación de Estrategia para la protección y bienestar de los animales domésticos y silvestres adoptada</t>
  </si>
  <si>
    <t>0312 - 2 - 3.2.2.2.9.0.0.0.32020141.94900 - 20</t>
  </si>
  <si>
    <t>0312 - 2 - 3.2.2.2.6.0.0.0.32020141.63391 - 20</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</si>
  <si>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</si>
  <si>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</si>
  <si>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</si>
  <si>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</si>
  <si>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</si>
  <si>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</si>
  <si>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ecosistémicos</t>
  </si>
  <si>
    <t>0312 - 2 - 3.2.2.2.9.0.0.0.32020142.94900 - 20</t>
  </si>
  <si>
    <t>0312 - 2 - 3.2.2.1.3.0.0.0.32020142.94900 - 20</t>
  </si>
  <si>
    <t>0312 - 2 - 3.2.2.1.3.0.0.0.32020142.32690 - 20</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</si>
  <si>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</si>
  <si>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</si>
  <si>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</si>
  <si>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</si>
  <si>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</si>
  <si>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</si>
  <si>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</si>
  <si>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</si>
  <si>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suministro de bienes y servicios de apoyo en la implementación de proyectos de Emprendimientos Verdes.</t>
  </si>
  <si>
    <t>0312 - 2 - 3.2.2.2.9.0.0.0.3204012.94900 - 20</t>
  </si>
  <si>
    <t>3205009</t>
  </si>
  <si>
    <t>Barreras rompe vientos recuperadas</t>
  </si>
  <si>
    <t>320500900</t>
  </si>
  <si>
    <t>Barreras rompe vientos</t>
  </si>
  <si>
    <t>202000363-0030</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</si>
  <si>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</si>
  <si>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</si>
  <si>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</si>
  <si>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</si>
  <si>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0312 - 2 - 3.2.2.2.9.0.0.0.3205009.94900 - 20</t>
  </si>
  <si>
    <t>3205014</t>
  </si>
  <si>
    <t>Obras para el control de erosión</t>
  </si>
  <si>
    <t>320501400</t>
  </si>
  <si>
    <t xml:space="preserve">Área reforestada </t>
  </si>
  <si>
    <t>Desarrollar eficientemente obras para el control de erosión</t>
  </si>
  <si>
    <t>Desarrollar acciones de siembra de arboles donde hay erosión</t>
  </si>
  <si>
    <t>0312 - 2 - 3.2.2.2.9.0.0.0.3205014.94900 - 20</t>
  </si>
  <si>
    <t>Desarrollar eficientemente obras para estabilización de taludes</t>
  </si>
  <si>
    <t>Diseño de trinchos</t>
  </si>
  <si>
    <t>0312 - 2 - 3.2.2.2.9.0.0.0.3205010.94900 - 20</t>
  </si>
  <si>
    <t>Gestión del cambio climático para un desarrollo bajo en carbono y resiliente al clima. "Tú y yo preparados para en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</si>
  <si>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</si>
  <si>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</si>
  <si>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</si>
  <si>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</si>
  <si>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</si>
  <si>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</si>
  <si>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</si>
  <si>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</si>
  <si>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</si>
  <si>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0312 - 2 - 3.2.2.2.9.0.0.0.3206005.94900 - 20</t>
  </si>
  <si>
    <t>Servicio de producción de plántulas en viveros</t>
  </si>
  <si>
    <t>320601400</t>
  </si>
  <si>
    <t>Plántulas producidas</t>
  </si>
  <si>
    <t>Apoyo a la producción de plántulas</t>
  </si>
  <si>
    <t>0312 - 2 - 3.2.2.2.9.0.0.0.3206014.94900 - 20</t>
  </si>
  <si>
    <t>Estufas ecoeficientes</t>
  </si>
  <si>
    <t>3206015</t>
  </si>
  <si>
    <t>320601500</t>
  </si>
  <si>
    <t>Estufas ecoeficientes instaladas y en operación</t>
  </si>
  <si>
    <t>Operatividad de la estufas ecoeficientes</t>
  </si>
  <si>
    <t>0312 - 2 - 3.2.1.1.3.1.4.0.3206015.43410 - 20</t>
  </si>
  <si>
    <t>SEGUIMIENTO PLAN DE ACCIÓN SECRETARÍA ADMINISTRATIVA      
JUNIO 30- 2021</t>
  </si>
  <si>
    <t>SEGUIMIENTO PLAN DE ACCIÓN
PLAN DE DESARROLLO 2020-2023 "TÚ Y YO SOMOS QUINDIO" 
 INSTITUTO DEPARTAMENTAL DE TRANSITO DEL QUINDÍO  
A  JUNIO 30 DE 2021</t>
  </si>
  <si>
    <t>FECHA DE INICIO
(dd/mm/aaaa)</t>
  </si>
  <si>
    <t>FECHA DE TERMINACIÓN
(dd/mm/aaaa)</t>
  </si>
  <si>
    <t>VALOR (EN PESOS)</t>
  </si>
  <si>
    <t>RUBRO PRESUPUESTAL</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</si>
  <si>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</si>
  <si>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</si>
  <si>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</si>
  <si>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</si>
  <si>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</si>
  <si>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</si>
  <si>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</si>
  <si>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</si>
  <si>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</si>
  <si>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</si>
  <si>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2.3.5.02.09.01</t>
  </si>
  <si>
    <t>Otros recursos (Propios de  IDTQ)</t>
  </si>
  <si>
    <t>Raul Augusto Perez Ospina</t>
  </si>
  <si>
    <t>Fernando Baena Villareal</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</si>
  <si>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</si>
  <si>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</si>
  <si>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</si>
  <si>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</si>
  <si>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</si>
  <si>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2.3.5.02.09.02</t>
  </si>
  <si>
    <t>Formular e Implementar un programa de control, prevención y atención del tránsito y en transporte en los municipios y vías de jurisdicción del IDTQ.</t>
  </si>
  <si>
    <t>Programa de control y atención del tránsito y en transporte formulado e implementado</t>
  </si>
  <si>
    <t>Documentos de planeación realizados</t>
  </si>
  <si>
    <t>Programa de control y atención del tránsito y el transporte implementado</t>
  </si>
  <si>
    <t>2.3.5.02.09.03</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</si>
  <si>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</si>
  <si>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</si>
  <si>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</si>
  <si>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</si>
  <si>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</si>
  <si>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2.3.5.02.09.04</t>
  </si>
  <si>
    <t>Presupuesto</t>
  </si>
  <si>
    <t>%</t>
  </si>
  <si>
    <t>Definitivo</t>
  </si>
  <si>
    <t>Compromisos</t>
  </si>
  <si>
    <t>Obligaciones</t>
  </si>
  <si>
    <t>Saldo Disponible</t>
  </si>
  <si>
    <t>SEGUIMIENTO PLAN DE ACCIÓN 
SECRETARIA DE FAMILIA
A JUNIO 30 DE  2021</t>
  </si>
  <si>
    <t>O8</t>
  </si>
  <si>
    <t xml:space="preserve">PROYECTO </t>
  </si>
  <si>
    <t xml:space="preserve">NOMBRE </t>
  </si>
  <si>
    <t>META FISICA</t>
  </si>
  <si>
    <t>PESO DE LA META %</t>
  </si>
  <si>
    <t xml:space="preserve">VALOR PROYECTO (EN PESOS) </t>
  </si>
  <si>
    <t xml:space="preserve">VALOR ACTIVIDAD 
(EN PESOS) </t>
  </si>
  <si>
    <t>Adolescencia  (15 - 19 años)</t>
  </si>
  <si>
    <t>INCLUSION SOCIAL Y EQUIDAD</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</si>
  <si>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</si>
  <si>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</si>
  <si>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</si>
  <si>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</si>
  <si>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</si>
  <si>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</si>
  <si>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</si>
  <si>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</si>
  <si>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0316 - 2 - 3.2.2.2.9.0.0.0.19050212.91119 - 20</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</si>
  <si>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</si>
  <si>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</si>
  <si>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</si>
  <si>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 xml:space="preserve">Servicio de gestión del riesgo en temas de trastornos mentales </t>
  </si>
  <si>
    <t>Campañas de gestión del riesgo en temas de trastornos mentales implementadas</t>
  </si>
  <si>
    <t>Diseño, implementación y seguimiento de una estrategia de prevención y mitigación del consumo de SPA en el departamento del Quindío</t>
  </si>
  <si>
    <t>0316 - 2 - 3.2.2.2.9.0.0.0.1905022.91119 - 20</t>
  </si>
  <si>
    <t>Consolidación de redes de apoyo para la prevención y/o mitigación de consumo de SPA</t>
  </si>
  <si>
    <t>Pendón, plegables. Folletos, manillas, cartillas, etc.</t>
  </si>
  <si>
    <t>0316 - 2 - 3.2.2.1.3.0.0.0.1905022.32690 - 20</t>
  </si>
  <si>
    <t>Logística y sonido</t>
  </si>
  <si>
    <t>0316 - 2 - 3.2.2.2.7.0.0.0.001905022.73290 - 20</t>
  </si>
  <si>
    <t xml:space="preserve">Refrigerios y almuerzos </t>
  </si>
  <si>
    <t>0316 - 2 - 3.2.2.2.6.0.0.0.001905022.63391 - 20</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</si>
  <si>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</si>
  <si>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</si>
  <si>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</si>
  <si>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</si>
  <si>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</si>
  <si>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</si>
  <si>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</si>
  <si>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0316 - 2 - 3.2.2.2.9.0.0.0.3301051.91119 - 20</t>
  </si>
  <si>
    <t>MANUEL ALEJANDRO PATIÑO BUITRAGO- JEFE DE JUVENTUD</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</si>
  <si>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</si>
  <si>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</si>
  <si>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</si>
  <si>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</si>
  <si>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202000363-0099</t>
  </si>
  <si>
    <t>Diseño e implementación de un  Modelo de  atención integral a la primera infancia  a través de las Rutas Integrales de Atención  RIA en el Departamento del  Quindío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</si>
  <si>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</si>
  <si>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</si>
  <si>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</si>
  <si>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0316 - 2 - 3.2.2.2.9.0.0.0.41020351.91119 - 20</t>
  </si>
  <si>
    <t>NATALIA ALVAREZ RUALES- JEFE DE FAMILIA</t>
  </si>
  <si>
    <t>0316 - 2 - 3.2.2.2.9.0.0.0.41020351.91119 - 88</t>
  </si>
  <si>
    <t>Superávit Ordinario</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</si>
  <si>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</si>
  <si>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</si>
  <si>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</si>
  <si>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</si>
  <si>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</si>
  <si>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0316 - 2 - 3.2.2.2.9.0.0.0.41020011.91119 - 20</t>
  </si>
  <si>
    <t xml:space="preserve">Apoyar la socialización de las rutas integrales de atención, en marco de los comités y consejos que así lo requieran, del orden Departamental y municipal. </t>
  </si>
  <si>
    <t>0316 - 2 - 3.2.2.2.9.0.0.0.41020011.91119 - 88</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</si>
  <si>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</si>
  <si>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</si>
  <si>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</si>
  <si>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</si>
  <si>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410204300</t>
  </si>
  <si>
    <t>Familias atendidas</t>
  </si>
  <si>
    <t>202000363-0100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</si>
  <si>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</si>
  <si>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</si>
  <si>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</si>
  <si>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Política Publica  de Familia</t>
  </si>
  <si>
    <t>0316 - 2 - 3.2.2.2.9.0.0.0.41020432.91119 - 20</t>
  </si>
  <si>
    <t>Apoyar con el seguimiento,  monitoreo y evaluación de la política publica de familia</t>
  </si>
  <si>
    <t xml:space="preserve">Diseñar y desarrollar estrategias, programas y/o proyectos para la protección y fortalecimiento de las familias del departamento </t>
  </si>
  <si>
    <t xml:space="preserve">Logística operativa </t>
  </si>
  <si>
    <t>0316 - 2 - 3.2.2.2.9.0.0.0.41020432.73290 - 20</t>
  </si>
  <si>
    <t xml:space="preserve">refrigerios y almuerzos </t>
  </si>
  <si>
    <t>0316 - 2 - 3.2.2.2.6.0.0.0.41020432.63391 - 20</t>
  </si>
  <si>
    <t>servicio de transporte</t>
  </si>
  <si>
    <t>0316 - 2 - 3.2.2.2.6.0.0.0.41020432.64119 - 20</t>
  </si>
  <si>
    <t>Revisar, ajustar e implementar  la política pública de primera infancia, infancia y adolescencia</t>
  </si>
  <si>
    <t xml:space="preserve">ND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</si>
  <si>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</si>
  <si>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</si>
  <si>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</si>
  <si>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 xml:space="preserve"> 202000363-0101</t>
  </si>
  <si>
    <t xml:space="preserve"> Revisión ,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</si>
  <si>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</si>
  <si>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</si>
  <si>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</si>
  <si>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0316 - 2 - 3.2.2.2.9.0.0.0.41020352.91119 - 20</t>
  </si>
  <si>
    <t>Implementar  la política pública de primera infancia, infancia y adolescencia</t>
  </si>
  <si>
    <t>4102043</t>
  </si>
  <si>
    <t>Servicio de promoción de temas de dinámica relacional y desarrollo autónomo</t>
  </si>
  <si>
    <t xml:space="preserve">Política Pública de Primera Infancia, Infancia y Adolescencia implementada. </t>
  </si>
  <si>
    <t>Niños, niñas y adolescentes atendidos</t>
  </si>
  <si>
    <t>Apoyar con el seguimiento al Plan de Acción de la Política Publica  de primera infancia, infancia y adolescencia del departamento</t>
  </si>
  <si>
    <t>0316 - 2 - 3.2.2.2.9.0.0.0.41020431.91119 - 20</t>
  </si>
  <si>
    <t>Apoyo en los espacios de participación tales como: Consejo de Política Social, Comité Departamental e Interinstitucional  para la Primera Infancia, Infancia y Adolescencia y Familia, CIETI, Mesa de Participación de Niños, Niñas y Adolescentes</t>
  </si>
  <si>
    <t>Apoyo a programas que conlleven a la  implementación de la Política publica de primera infancia, infancia y adolescencia en el Departamento del Quindío</t>
  </si>
  <si>
    <t>0316 - 2 - 3.2.2.2.9.0.0.0.41020431.91119 - 88</t>
  </si>
  <si>
    <t>Brindar asistencia técnica a los municipios del departamento, que así lo requieran en temas relacionados con el seguimiento e implementación de la política publica de primera infancia, infancia y adolescencia del departamento</t>
  </si>
  <si>
    <t>Ejecución de medios (Radio, prensa, revista, televisión, portal web, redes sociales, ooh)</t>
  </si>
  <si>
    <t>0316 - 2 - 3.2.2.2.6.0.0.0.41020431.63391 - 20</t>
  </si>
  <si>
    <t xml:space="preserve">Logística  </t>
  </si>
  <si>
    <t>0316 - 2 - 3.2.2.2.9.0.0.0.41020431.73290 - 20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</si>
  <si>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</si>
  <si>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</si>
  <si>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</si>
  <si>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</si>
  <si>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</si>
  <si>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</si>
  <si>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</si>
  <si>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</si>
  <si>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0316 - 2 - 3.2.2.2.9.0.0.0.41020381.91119 - 20</t>
  </si>
  <si>
    <t>MANUEL ALEJANDRO PATIÑO BUITRAGO - JEFE DE JUVENTUD</t>
  </si>
  <si>
    <t xml:space="preserve">Seguimiento a los indicadores de cumplimiento del plan de acción de la política publica de juventud </t>
  </si>
  <si>
    <t>Fomento y fortalecimiento de organizaciones de base social para la participación y empoderamiento juvenil</t>
  </si>
  <si>
    <t xml:space="preserve">Dinamización de espacios para la participación juvenil </t>
  </si>
  <si>
    <t>0316 - 2 - 3.2.2.2.6.0.0.0.41020381.63391 - 20</t>
  </si>
  <si>
    <t>0316 - 2 - 3.2.2.2.7.0.0.0.41020381.73290 - 20</t>
  </si>
  <si>
    <t xml:space="preserve">ferretería, papelería e insumos entre otros </t>
  </si>
  <si>
    <t>0316 - 2 - 3.2.2.1.4.0.0.0.041020381.42999 - 20</t>
  </si>
  <si>
    <t>Volantes, pendones, afiches, manillas, etc.</t>
  </si>
  <si>
    <t>0316 - 2 - 3.2.2.1.3.0.0.0.41020381.32690 - 20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</si>
  <si>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</si>
  <si>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</si>
  <si>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</si>
  <si>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</si>
  <si>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</si>
  <si>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</si>
  <si>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</si>
  <si>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vínculos familiares</t>
  </si>
  <si>
    <t>Articulación con Gremios (comerciantes, taxistas, Supermercados y Tenderos ) para la socialización, promoción e implementación de las Rutas Integrales de Atención en Violencia Intrafamiliar y de Género</t>
  </si>
  <si>
    <t>0316 - 2 - 3.2.2.2.9.0.0.0.4102042.91119 - 20</t>
  </si>
  <si>
    <t xml:space="preserve">Socialización y promoción de Rutas Integrales de Atención en Violencia Intrafamiliar y de Género </t>
  </si>
  <si>
    <t>0316 - 2 - 3.2.2.1.3.0.0.0.4102042.32690 - 20</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</si>
  <si>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</si>
  <si>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</si>
  <si>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</si>
  <si>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202000363-0033</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</si>
  <si>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</si>
  <si>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</si>
  <si>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</si>
  <si>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</si>
  <si>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0316 - 2 - 3.2.2.2.9.0.0.0.41020012.91119 - 20</t>
  </si>
  <si>
    <t>Articulación interinstitucional para el desarrollo de la estrategia para la protección de los NN</t>
  </si>
  <si>
    <t xml:space="preserve">Implementación de estrategia de protección para los NN </t>
  </si>
  <si>
    <t>0316 - 2 - 3.2.2.2.9.0.0.0.41020012.91119 - 88</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</si>
  <si>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</si>
  <si>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</si>
  <si>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</si>
  <si>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</si>
  <si>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la promoción, prevención y garantía de Derechos de NNA.</t>
  </si>
  <si>
    <t>0316 - 2 - 3.2.2.2.9.0.0.0.4102046.91119 - 20</t>
  </si>
  <si>
    <t>Servicios dirigidos a la atención de niños, niñas, adolescentes y jóvenes, con enfoque pedagógico y restaurativo encaminados a la inclusión social</t>
  </si>
  <si>
    <t>202000363-0034</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</si>
  <si>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</si>
  <si>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</si>
  <si>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</si>
  <si>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</si>
  <si>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0316 - 2 - 3.2.2.2.9.0.0.0.41020382.91119 - 20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</si>
  <si>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</si>
  <si>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</si>
  <si>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</si>
  <si>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</si>
  <si>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</si>
  <si>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</si>
  <si>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</si>
  <si>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</si>
  <si>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</si>
  <si>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</si>
  <si>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</si>
  <si>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0316 - 2 - 3.2.2.2.9.0.0.0.4103059.91119 - 20</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</si>
  <si>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</si>
  <si>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</si>
  <si>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</si>
  <si>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</si>
  <si>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</si>
  <si>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</si>
  <si>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</si>
  <si>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0316 - 2 - 3.2.2.2.9.0.0.0.41030523.91119 - 20</t>
  </si>
  <si>
    <t>CLAUDIA MILENA GIRALDO CARDENAS - JEFE DE POBLACIONES</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</si>
  <si>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</si>
  <si>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</si>
  <si>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</si>
  <si>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</si>
  <si>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</si>
  <si>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</si>
  <si>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0316 - 2 - 3.2.2.2.9.0.0.0.4103050.91119 - 20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</si>
  <si>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</si>
  <si>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</si>
  <si>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</si>
  <si>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</si>
  <si>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</si>
  <si>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</si>
  <si>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</si>
  <si>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0316 - 2 - 3.2.2.2.9.0.0.0.4103058.91119 - 20</t>
  </si>
  <si>
    <t>LIZ BELCKA CASTRO JARAMILLO- DIRECTORA DESARROLLO HUMANO Y FAMILIA</t>
  </si>
  <si>
    <t>Fomentar el emprendimiento y el empleo para cuidadores y PCD en el Departamento</t>
  </si>
  <si>
    <t>0316 - 2 - 3.2.2.2.9.0.0.0.4103058.91119 - 88</t>
  </si>
  <si>
    <t xml:space="preserve">Ferretería, papelería e insumos entre otros </t>
  </si>
  <si>
    <t>0316 - 2 - 3.2.2.1.4.0.0.0.410358.42999 - 20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</si>
  <si>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</si>
  <si>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</si>
  <si>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</si>
  <si>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</si>
  <si>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</si>
  <si>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</si>
  <si>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</si>
  <si>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</si>
  <si>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</si>
  <si>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0316 - 2 - 3.2.2.2.9.0.0.0.41030601.91119 - 20</t>
  </si>
  <si>
    <t>BRIAN ARANGO TRUJILLO- DIRECTOR DE POBLACIONES</t>
  </si>
  <si>
    <t>Formulación e Implementación de los Planes de Vida de los Cabildos Indígenas</t>
  </si>
  <si>
    <t xml:space="preserve">Servicio de transporte </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</si>
  <si>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</si>
  <si>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</si>
  <si>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</si>
  <si>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0316 - 2 - 3.2.2.2.9.0.0.0.41030602.91119 - 20</t>
  </si>
  <si>
    <t>Formulación e Implementación de los Planes de Vida de los Resguardos Indígenas</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</si>
  <si>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</si>
  <si>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</si>
  <si>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</si>
  <si>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</si>
  <si>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</si>
  <si>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</si>
  <si>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</si>
  <si>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0316 - 2 - 3.2.2.2.9.0.0.0.41030521.91119 - 20</t>
  </si>
  <si>
    <t>0316 - 2 - 3.2.2.2.9.0.0.0.41030521.91119 - 88</t>
  </si>
  <si>
    <t>0316 - 2 - 3.2.2.2.6.0.0.0.41030521.63391 - 20</t>
  </si>
  <si>
    <t xml:space="preserve">Logística Operativa </t>
  </si>
  <si>
    <t>0316 - 2 - 3.2.2.2.7.0.0.0.41030521.73290 - 20</t>
  </si>
  <si>
    <t>Atención integral de población en situación permanente de desprotección social y/o familiar "Tú y yo con atención integral"</t>
  </si>
  <si>
    <t>rubro</t>
  </si>
  <si>
    <t>Servicios de atención integral a población en condición de discapacidad</t>
  </si>
  <si>
    <t xml:space="preserve">Personas atendidas con servicios integrales de atención </t>
  </si>
  <si>
    <t>Personas con discapacidad atendidas con servicios integrales</t>
  </si>
  <si>
    <t>202000363-0035</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</si>
  <si>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</si>
  <si>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</si>
  <si>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</si>
  <si>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</si>
  <si>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0316 - 2 - 3.2.2.2.9.0.0.0.4104020.91119 - 20</t>
  </si>
  <si>
    <t>LIZ BELCKA CASTRO JARAMILLO- DIRECTORA DE ADULTO MAYOR Y DISCAPACIDAD</t>
  </si>
  <si>
    <t xml:space="preserve">Estrategia de rehabilitación basada en la comunidad implementada en los municipios  </t>
  </si>
  <si>
    <t>Acompañamiento a  las personas con discapacidad,  familias y comunidad en la implementación del programa RBC</t>
  </si>
  <si>
    <t>0316 - 2 - 3.2.2.2.9.0.0.0.4104020.91119 - 88</t>
  </si>
  <si>
    <t>Realizar  capacitaciones en agentes comunitarios en RBC</t>
  </si>
  <si>
    <t>Conformación y fortalecimiento a las redes de apoyo de la estrategia RBC</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</si>
  <si>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</si>
  <si>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</si>
  <si>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</si>
  <si>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</si>
  <si>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</si>
  <si>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</si>
  <si>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</si>
  <si>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</si>
  <si>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</si>
  <si>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0316 - 2 - 3.2.2.2.9.0.0.0.4104027.91119 - 20</t>
  </si>
  <si>
    <t>0316 - 2 - 3.2.2.2.6.0.0.0.4104027.63391 - 20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</si>
  <si>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</si>
  <si>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</si>
  <si>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</si>
  <si>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</si>
  <si>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</si>
  <si>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</si>
  <si>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</si>
  <si>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</si>
  <si>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Municipales</t>
  </si>
  <si>
    <t>0316 - 2 - 3.2.2.2.9.0.0.0.4104015.91119 - 20</t>
  </si>
  <si>
    <t>Dinamización  del Consejo Departamental del  adulto mayor</t>
  </si>
  <si>
    <t xml:space="preserve">Realizar acompañamiento a los grupos de adultos mayores del depto, a través de deporte, cultura, recreación y motivación </t>
  </si>
  <si>
    <t>Celebraciones y eventos donde se resalte la importancia del rol del adulto mayor y su trayectoria de vida en la familia y la sociedad</t>
  </si>
  <si>
    <t>Logística Operativa, Sonido, refrigerios, Etc.</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</si>
  <si>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</si>
  <si>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</si>
  <si>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</si>
  <si>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</si>
  <si>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Centros de Bienestar del Adulto Mayor (CBA)</t>
  </si>
  <si>
    <t>0316 - 2 - 3.3.1.2.0.0.0.0.4104008.91119.13 - 06</t>
  </si>
  <si>
    <t>ESTAMPILLA PROADULTO MAYOR</t>
  </si>
  <si>
    <t>0316 - 2 - 3.3.1.2.0.0.0.0.4104008.91119.13 - 84</t>
  </si>
  <si>
    <t>SUPERAVIT ESTAMPILLA PRO-ADULTO MAYOR</t>
  </si>
  <si>
    <t>0316 - 2 - 3.3.1.2.0.0.0.0.4104008.91119.96 - 06</t>
  </si>
  <si>
    <t>0316 - 2 - 3.3.1.2.0.0.0.0.4104008.91119.96 - 84</t>
  </si>
  <si>
    <t>0316 - 2 - 3.3.1.2.0.0.0.0.4104008.91119.167 - 06</t>
  </si>
  <si>
    <t>0316 - 2 - 3.3.1.2.0.0.0.0.4104008.91119.167 - 84</t>
  </si>
  <si>
    <t>0316 - 2 - 3.3.1.2.0.0.0.0.4104008.91119.226 - 06</t>
  </si>
  <si>
    <t>0316 - 2 - 3.3.1.2.0.0.0.0.4104008.91119.226 - 84</t>
  </si>
  <si>
    <t>0316 - 2 - 3.3.1.2.0.0.0.0.4104008.91119.233 - 06</t>
  </si>
  <si>
    <t>0316 - 2 - 3.3.1.2.0.0.0.0.4104008.91119.233 - 84</t>
  </si>
  <si>
    <t>0316 - 2 - 3.3.1.2.0.0.0.0.4104008.91119.244 - 06</t>
  </si>
  <si>
    <t>0316 - 2 - 3.3.1.2.0.0.0.0.4104008.91119.244 - 84</t>
  </si>
  <si>
    <t>0316 - 2 - 3.3.1.2.0.0.0.0.4104008.91119.284 - 06</t>
  </si>
  <si>
    <t>0316 - 2 - 3.3.1.2.0.0.0.0.4104008.91119.284 - 84</t>
  </si>
  <si>
    <t>0316 - 2 - 3.3.1.2.0.0.0.0.4104008.91119.303 - 06</t>
  </si>
  <si>
    <t>0316 - 2 - 3.3.1.2.0.0.0.0.4104008.91119.303 - 84</t>
  </si>
  <si>
    <t>0316 - 2 - 3.3.1.2.0.0.0.0.4104008.91119.372 - 06</t>
  </si>
  <si>
    <t>0316 - 2 - 3.3.1.2.0.0.0.0.4104008.91119.372 - 84</t>
  </si>
  <si>
    <t>0316 - 2 - 3.3.1.2.0.0.0.0.4104008.91119.412 - 06</t>
  </si>
  <si>
    <t>0316 - 2 - 3.3.1.2.0.0.0.0.4104008.91119.412 - 84</t>
  </si>
  <si>
    <t>0316 - 2 - 3.3.1.2.0.0.0.0.4104008.91119.470 - 06</t>
  </si>
  <si>
    <t>0316 - 2 - 3.3.1.2.0.0.0.0.4104008.91119.470 - 84</t>
  </si>
  <si>
    <t>0316 - 2 - 3.3.1.2.0.0.0.0.4104008.91119.882 - 06</t>
  </si>
  <si>
    <t>0316 - 2 - 3.3.1.2.0.0.0.0.4104008.91119.882 - 84</t>
  </si>
  <si>
    <t>CENTROS VIDA (cv)</t>
  </si>
  <si>
    <t xml:space="preserve">PRODUCTIVIDAD Y COMPETITIVIDAD </t>
  </si>
  <si>
    <t>Inclusión productiva de pequeños productores rurales. "Tú y yo con oportunidades para el pequeño campesino"</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</si>
  <si>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</si>
  <si>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</si>
  <si>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</si>
  <si>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</si>
  <si>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</si>
  <si>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</si>
  <si>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</si>
  <si>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</si>
  <si>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0316 - 2 - 3.2.2.2.9.0.0.0.1702011.91119 - 20</t>
  </si>
  <si>
    <t>VALENTINA LOPEZ MADRID- JEFE DE LA MUJER Y LA EQUIDAD</t>
  </si>
  <si>
    <t>Articular y realizar seguimiento a las organizaciones existentes para fortalecer el empoderamiento de la Mujer.</t>
  </si>
  <si>
    <t>Trabajo</t>
  </si>
  <si>
    <t>Derechos fundamentales del trabajo y fortalecimiento del diálogo social. "Tú y yo con una niñez protegida"</t>
  </si>
  <si>
    <t>Servicio de educación informal para la prevención integral del trabajo infantil</t>
  </si>
  <si>
    <t>360400600</t>
  </si>
  <si>
    <t>Personas capacitadas</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</si>
  <si>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</si>
  <si>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</si>
  <si>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</si>
  <si>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</si>
  <si>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0316 - 2 - 3.2.2.2.9.0.0.0.3604006.91119 - 20</t>
  </si>
  <si>
    <t>0316 - 2 - 3.2.2.2.9.0.0.0.3604006.91119 - 88</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</si>
  <si>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</si>
  <si>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</si>
  <si>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</si>
  <si>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LIDERAZGO GOBERNABILILIDAD Y TRANSPARENCIA</t>
  </si>
  <si>
    <t>Gobierno Territorial</t>
  </si>
  <si>
    <t>DN</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</si>
  <si>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</si>
  <si>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</si>
  <si>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</si>
  <si>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</si>
  <si>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</si>
  <si>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Desarrollar estrategias de liderazgo para la Promoción de la participación de la Mujer en escenarios sociales y políticos </t>
  </si>
  <si>
    <t>0316 - 2 - 3.2.2.2.9.0.0.0.45020016.91119 - 20</t>
  </si>
  <si>
    <t>VALENTINA LOPEZ MADRID- JEFE DE OFICINA DE LA MUJER Y LA EQUIDAD</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</si>
  <si>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</si>
  <si>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</si>
  <si>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</si>
  <si>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</si>
  <si>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</si>
  <si>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</si>
  <si>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</si>
  <si>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 xml:space="preserve">Apropiación jurídica  por parte de la población e institucionalidad sobre las rutas de atención existentes.
</t>
  </si>
  <si>
    <t>Implementación de la  Política Publica de Equidad de Género para la Mujer</t>
  </si>
  <si>
    <t>0316 - 2 - 3.2.2.2.9.0.0.0.45020382.91119 - 20</t>
  </si>
  <si>
    <t>Seguimiento al cumplimiento de los planes de acción de la Política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</si>
  <si>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</si>
  <si>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</si>
  <si>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</si>
  <si>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0316 - 2 - 3.2.2.2.6.0.0.0.045020382.63391 - 20</t>
  </si>
  <si>
    <t>0316 - 2 - 3.2.2.2.7.0.0.0.045020382.73290 - 20</t>
  </si>
  <si>
    <t>Implementar  la política  pública de diversidad sexual e identidad de género</t>
  </si>
  <si>
    <t>Política pública de diversidad sexual e identidad de género implementada.</t>
  </si>
  <si>
    <t>Estrategias de promoción de la garantía de derechos</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</si>
  <si>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</si>
  <si>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</si>
  <si>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</si>
  <si>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</si>
  <si>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Implementación y seguimiento al cumplimiento del plan de acción  de la política publica de diversidad sexual e identidad de genero</t>
  </si>
  <si>
    <t>0316 - 2 - 3.2.2.2.9.0.0.0.45020381.91119 - 20</t>
  </si>
  <si>
    <t>Desarrollar estrategias, programas y/o proyectos que promuevan la garantía de derechos a la población sexualmente diversa</t>
  </si>
  <si>
    <t>Desarrollo programas, campañas, talleres relacionados con la promoción de derechos de población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</si>
  <si>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</si>
  <si>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</si>
  <si>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Pendón, plegables. Folletos, manillas, etc.</t>
  </si>
  <si>
    <t>0316 - 2 - 3.2.2.1.3.0.0.0.45020381.32690 - 20</t>
  </si>
  <si>
    <t>Logística Operativa</t>
  </si>
  <si>
    <t>0316 - 2 - 3.2.2.2.7.0.0.0.045020381.73290 - 20</t>
  </si>
  <si>
    <t>Servicio de apoyo para la implementación de medidas en derechos humanos y derecho internacional humanitario</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</si>
  <si>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</si>
  <si>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</si>
  <si>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</si>
  <si>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</si>
  <si>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</si>
  <si>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</si>
  <si>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0316 - 2 - 3.2.2.2.9.0.0.0.45020241.91119 - 20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</si>
  <si>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</si>
  <si>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</si>
  <si>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</si>
  <si>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</si>
  <si>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</si>
  <si>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</si>
  <si>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</si>
  <si>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0316 - 2 - 3.2.2.2.9.0.0.0.45020242.91119 - 20</t>
  </si>
  <si>
    <t>Articulación de base social y comunitario para la protección de la Mujer</t>
  </si>
  <si>
    <t>Realizar procesos continuos y formativos para el aumento de mujeres protegidas y protectoras.</t>
  </si>
  <si>
    <t>Fortalecimiento a la gestión y dirección de la administración pública territorial "Quindío con una administración al servicio de la ciudadanía"</t>
  </si>
  <si>
    <t xml:space="preserve">Formular e implementar la política pública de adulto mayor </t>
  </si>
  <si>
    <t>4599019</t>
  </si>
  <si>
    <t xml:space="preserve">Documentos de planeación </t>
  </si>
  <si>
    <t xml:space="preserve">Política Pública de Adulto Mayor  formulada e implementada </t>
  </si>
  <si>
    <t>459901900</t>
  </si>
  <si>
    <t>202000363-0150</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</si>
  <si>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</si>
  <si>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</si>
  <si>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Apoyar la elaboración, seguimiento y evaluación de los planes de acción de los municipios y depto. de la Política Publica de envejecimiento y vejez</t>
  </si>
  <si>
    <t>Formulación de la  política pública de Envejecimiento y vejez</t>
  </si>
  <si>
    <t>0316 - 2 - 3.2.2.2.9.0.0.0.45990192.91119 - 20</t>
  </si>
  <si>
    <t>LIZ BELCKA CASTRO JARAMILLO- DIRECTORA ADULTO MAYOR Y DISCAPACIDAD</t>
  </si>
  <si>
    <t>Desarrollar acciones que permitan garantizar el cumplimiento y reconocimiento de los derechos de las personas mayores.</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</si>
  <si>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</si>
  <si>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</si>
  <si>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</si>
  <si>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</si>
  <si>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Mejorar la articulación frente a la implementación de las políticas públicas de equidad y género</t>
  </si>
  <si>
    <t>Revisión y ajuste a la Política Pública de Equidad de Género para la Mujer</t>
  </si>
  <si>
    <t>0316 - 2 - 3.2.2.2.9.0.0.0.45990191.91119 - 20</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</si>
  <si>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</si>
  <si>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</si>
  <si>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</si>
  <si>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</si>
  <si>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</si>
  <si>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Generar procesos sociales orientados a la incidencia en la toma de decisiones públicas para la inclusión de las personas con discapacidad.</t>
  </si>
  <si>
    <t>Servicio de Intérpretes de lengua de señas que permita la inclusión y acceso de las personas con discapacidad.</t>
  </si>
  <si>
    <t>0316 - 2 - 3.2.2.2.9.0.0.0.45990193.91119 - 20</t>
  </si>
  <si>
    <t xml:space="preserve">Formación de cuidadores para el adecuado manejo de la Discapacidad a Cuidadoras, Cuidadores y Familias </t>
  </si>
  <si>
    <t>0316 - 2 - 3.2.2.2.9.0.0.0.45990193.91119 - 88</t>
  </si>
  <si>
    <t>Elaboración ,seguimiento y evaluación de los planes de acción de los municipios y depto. de la Política Publica de discapacidad.</t>
  </si>
  <si>
    <t>Asistencia técnica a los municipios para la adecuada apropiación de la Política Pública de Discapacidad</t>
  </si>
  <si>
    <t>Acciones y actividades para la implementacion de la Politica Publica de Discapacidad "Capacidad sin limites" del Departamento del Quindío</t>
  </si>
  <si>
    <t xml:space="preserve">Eventos de participación e integración de la población con discapacidad </t>
  </si>
  <si>
    <t>SEGUIMIENTO PLAN DE ACCIÓN 
SECRETARIA  CULTURA
A JUNIO 30 DE 2021</t>
  </si>
  <si>
    <t xml:space="preserve">F-PLA-07  </t>
  </si>
  <si>
    <t>PLAN DE DESARROLLO DEPARTAMENTAL:  "TÚ Y YO SOMOS QUINDÍO"</t>
  </si>
  <si>
    <t>FECHA DE INICIO 
(dd/mm/aaaa)</t>
  </si>
  <si>
    <t>META FISICA 
PROGRAMADA</t>
  </si>
  <si>
    <t xml:space="preserve">VALOR ACTIVIDAD (EN PESOS) </t>
  </si>
  <si>
    <t>INCLUSIÓN SOCIAL Y EQUIDAD</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</si>
  <si>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</si>
  <si>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</si>
  <si>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</si>
  <si>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</si>
  <si>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</si>
  <si>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Formación artística y cultural</t>
  </si>
  <si>
    <t>0310 - 2 - 3.2.2.2.9.0.0.0.3301087.91119 - 20</t>
  </si>
  <si>
    <t xml:space="preserve"> RECURSO ORDINARIO</t>
  </si>
  <si>
    <t xml:space="preserve">
20
34
39 
41
</t>
  </si>
  <si>
    <t xml:space="preserve">Recursos Ordinarios
Estampilla procultura 50% concertacion 
ESTAMPILLA PRO-CULTRA 10% ESTIMULOS
</t>
  </si>
  <si>
    <t xml:space="preserve">* Juan Manuel Rodriguez Brito 
* Arles Lopez Espinosa 
* Monica  Andrea Rodriguez 
</t>
  </si>
  <si>
    <t>Juan Manuel Rodriguez Brito. 
Secretario de Cultura</t>
  </si>
  <si>
    <t>0310 - 2 - 3.2.2.2.9.0.0.0.3301087.91119 - 88</t>
  </si>
  <si>
    <t>SUPERÁVIT RECURSO ORDINARIO</t>
  </si>
  <si>
    <t>Apoyo técnico y logístico formación artística y cultural</t>
  </si>
  <si>
    <t>RECURSO ORDINARIO</t>
  </si>
  <si>
    <t>Servicio de circulación artística y cultural</t>
  </si>
  <si>
    <t>Producciones artísticas en circulación</t>
  </si>
  <si>
    <t xml:space="preserve">Actualizar los parámetros de participación y criterios de evaluación referentes planeas y políticas y culturales </t>
  </si>
  <si>
    <t>Fortalecimiento del sector artístico y cultural</t>
  </si>
  <si>
    <t>0310 - 2 - 3.2.2.2.9.0.0.0.3301073.91119 - 20</t>
  </si>
  <si>
    <t xml:space="preserve">apoyo a la realización y participación de artistas y/o grupos artísticos en eventos </t>
  </si>
  <si>
    <t>Apoyo técnico logístico circulación artística y cultural</t>
  </si>
  <si>
    <t xml:space="preserve">Apoyo técnico en la coordinación del programa concertación </t>
  </si>
  <si>
    <t>0310 - 2 - 3.2.2.2.9.0.0.0.3301073.91119 - 39</t>
  </si>
  <si>
    <t>ESTAMPILLA PRO-CULTURA 50% CONCERTACION</t>
  </si>
  <si>
    <t>Convocatoria y apoyo logístico de proyectos concertados</t>
  </si>
  <si>
    <t>Evaluación y Seguimiento de proyectos concertados</t>
  </si>
  <si>
    <t>Cofinanciación de proyectos</t>
  </si>
  <si>
    <t>0310 - 2 - 3.2.2.2.9.0.0.0.3301073.91119 - 83</t>
  </si>
  <si>
    <t>SUPERÁVIT ESTAMPILLA PRO CULTURA 50% CONCERTACIÓN</t>
  </si>
  <si>
    <t xml:space="preserve">Apoyo técnico en la coordinación del programa estímulos </t>
  </si>
  <si>
    <t>0310 - 2 - 3.2.2.2.9.0.0.0.3301073.91119 - 41</t>
  </si>
  <si>
    <t>ESTAMPILLA PRO-CULTRA 10% ESTIMULOS</t>
  </si>
  <si>
    <t>Convocatoria y apoyo logístico de proyectos programa departamental de estímulos</t>
  </si>
  <si>
    <t>Evaluación y Seguimiento de proyectos programa departamental de estímulos</t>
  </si>
  <si>
    <t>Cofinanciación de proyectos programa departamental de estímulos</t>
  </si>
  <si>
    <t>Formulación e implementación del Plan de Cultura</t>
  </si>
  <si>
    <t xml:space="preserve">Documentos de lineamientos técnicos </t>
  </si>
  <si>
    <t>Plan Decenal de cultura formulado e implementado</t>
  </si>
  <si>
    <t>Abrir espacios de formación en las áreas artísticas y culturales</t>
  </si>
  <si>
    <t>Apoyo técnico en la formulación e implementación del plan decenal de cultura</t>
  </si>
  <si>
    <t>0310 - 2 - 3.2.2.2.9.0.0.0.3301070.91119 - 20</t>
  </si>
  <si>
    <t xml:space="preserve">Servicio de información para el sector artístico y cultural </t>
  </si>
  <si>
    <t>Sistema de información del sector artístico cultural en operación</t>
  </si>
  <si>
    <t xml:space="preserve">Realizar programas de promoción de la producción artística </t>
  </si>
  <si>
    <t xml:space="preserve">Caracterización en sede de artistas cultores y gestores de cada uno de los municipios del departamento del Quindío. </t>
  </si>
  <si>
    <t>0310 - 2 - 3.2.2.2.9.0.0.0.3301099.91119 - 20</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</si>
  <si>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</si>
  <si>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</si>
  <si>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</si>
  <si>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</si>
  <si>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0310 - 2 - 3.2.2.1.3.0.0.0.3301052.32690 - 20</t>
  </si>
  <si>
    <t>Servicios bibliotecarios</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</si>
  <si>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</si>
  <si>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</si>
  <si>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</si>
  <si>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</si>
  <si>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</si>
  <si>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Procesos de formación literaria y actividades de promoción de lectura.</t>
  </si>
  <si>
    <t>0310 - 2 - 3.2.2.2.9.0.0.0.3301085.91119 - 34</t>
  </si>
  <si>
    <t>ESTAMPILLA PRO-CULTURA 10% BIBLIOTECAS</t>
  </si>
  <si>
    <t xml:space="preserve">34
</t>
  </si>
  <si>
    <t xml:space="preserve">Estampilla Pro cultura 10% biblitecas 
</t>
  </si>
  <si>
    <t xml:space="preserve">* Arles Lopez Espinosa </t>
  </si>
  <si>
    <t>Juan Manuel Rodriguez Brito 
Secretario de Cultura</t>
  </si>
  <si>
    <t>0310 - 2 - 3.2.2.2.9.0.0.0.3301085.91119 - 83</t>
  </si>
  <si>
    <t>SUPERÁVIT ESTAMPILLA PRO CULTURA 10% BIBLIOTECAS</t>
  </si>
  <si>
    <t>0310 - 2 - 3.2.2.1.3.0.0.0.3301085.32210 - 20</t>
  </si>
  <si>
    <t xml:space="preserve">RECURSOS ORDINARIO </t>
  </si>
  <si>
    <t>Fortalecimiento y dotación de bibliotecas</t>
  </si>
  <si>
    <t>Coordinación y apoyo de la Red Departamental de Bibliotecas.</t>
  </si>
  <si>
    <t>Servicio de divulgación y publicaciones</t>
  </si>
  <si>
    <t>330110000</t>
  </si>
  <si>
    <t>Publicaciones realizadas</t>
  </si>
  <si>
    <t>Brindar un mayor acceso a programas y actividades de promoción, circulación y difusión literarios</t>
  </si>
  <si>
    <t xml:space="preserve">Publicación, divulgación y circulación de obras literarias y escritores locales. </t>
  </si>
  <si>
    <t>0310 - 2 - 3.2.2.1.3.0.0.0.3301100.32210 - 34</t>
  </si>
  <si>
    <t>0310 - 2 - 3.2.2.2.9.0.0.0.3301100.91119 - 20</t>
  </si>
  <si>
    <t>0310 - 2 - 3.2.2.1.3.0.0.0.3301100.32210 - 83</t>
  </si>
  <si>
    <t>Servicio de asistencia técnica en gestión artística y cultural</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</si>
  <si>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</si>
  <si>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</si>
  <si>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</si>
  <si>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</si>
  <si>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</si>
  <si>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Giros anuales al fondo de pensiones Colpensiones de acuerdo al recaudo y comportamiento de la estampilla procultura</t>
  </si>
  <si>
    <t>0310 - 2 - 3.2.2.2.9.0.0.0.3301095.91119 - 33</t>
  </si>
  <si>
    <t>ESTAMPILLA PRO-CULTURA 10% SEGURIDAD SOCIAL</t>
  </si>
  <si>
    <t>SUPERÁVIT ESTAMPILLA PRO CULTURA 10% Beps</t>
  </si>
  <si>
    <t>0310 - 2 - 3.2.2.2.9.0.0.0.3301095.91119 - 20</t>
  </si>
  <si>
    <t>0310 - 2 - 3.2.2.2.9.0.0.0.3301095.91119 - 83</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</si>
  <si>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</si>
  <si>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</si>
  <si>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</si>
  <si>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</si>
  <si>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</si>
  <si>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</si>
  <si>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</si>
  <si>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</si>
  <si>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0310 - 2 - 3.2.2.2.9.0.0.0.3302042.91119 - 20</t>
  </si>
  <si>
    <t xml:space="preserve">Recurso Ordinario </t>
  </si>
  <si>
    <t xml:space="preserve">* Monica Andrea Rodriguez </t>
  </si>
  <si>
    <t>Juan Manuel Rodriguez Brito  
Secretario de Cultura</t>
  </si>
  <si>
    <t>Investigación, divulgación y publicación del patrimonio cultural</t>
  </si>
  <si>
    <t>330207000</t>
  </si>
  <si>
    <t>Suficientes declaratorias de bienes de interés patrimonial material e inmaterial.</t>
  </si>
  <si>
    <t>0310 - 2 - 3.2.2.2.9.0.0.0.3302070.91119 - 20</t>
  </si>
  <si>
    <t>0310 - 2 - 3.2.2.1.3.0.0.0.3302070.32210 - 47</t>
  </si>
  <si>
    <t>IVA TELEFONIA MOVIL</t>
  </si>
  <si>
    <t>0310 - 2 - 3.2.2.2.9.0.0.0.3302070.91119 - 47</t>
  </si>
  <si>
    <t>0310 - 2 - 3.2.2.2.9.0.0.0.3302070.91119 - 93</t>
  </si>
  <si>
    <t>Superavit Iva Telefonía móvil</t>
  </si>
  <si>
    <t>SEGUIMIENTO PLAN DE ACCIÓN 
PROMOTORA DE VIVIENDA
A JUNIO 30 DE 2021</t>
  </si>
  <si>
    <t>1 de 1</t>
  </si>
  <si>
    <t>COMPROMISOS</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</si>
  <si>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</si>
  <si>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</si>
  <si>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</si>
  <si>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</si>
  <si>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</si>
  <si>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</si>
  <si>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</si>
  <si>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construcción y/o adecuación de escenarios deportivos en el departamento del Quindío.</t>
  </si>
  <si>
    <t>2.3.2.02.02.005.4301004.54</t>
  </si>
  <si>
    <t xml:space="preserve">Claudia Andrea Londoño Celis </t>
  </si>
  <si>
    <t xml:space="preserve"> Pablo César Herrera Correa </t>
  </si>
  <si>
    <t>Realizar Infraestructuras  deportivas y/o recreativas.</t>
  </si>
  <si>
    <t>Apoyo para el fortalecimiento del componente y asistencia técnica a nivel departamental.</t>
  </si>
  <si>
    <t>2.3.2.02.02.008.4301004.83</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</si>
  <si>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</si>
  <si>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</si>
  <si>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</si>
  <si>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</si>
  <si>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</si>
  <si>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</si>
  <si>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</si>
  <si>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</si>
  <si>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2.3.2.02.02.005.2201062.54</t>
  </si>
  <si>
    <t>Mejorar y/o reforzar y/o realizar mantenimiento a la infraestructura educativa existente en los municipios del departamento del Quindío.</t>
  </si>
  <si>
    <t xml:space="preserve">Apoyo para el fortalecimiento de componente y asistencia técnica a nivel departamental </t>
  </si>
  <si>
    <t>2.3.2.02.02.008.2201062.83</t>
  </si>
  <si>
    <t xml:space="preserve">TERRITORIO AMBIENTE Y DESARROLLO SOSTENIBLE </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</si>
  <si>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</si>
  <si>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</si>
  <si>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</si>
  <si>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</si>
  <si>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</si>
  <si>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</si>
  <si>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</si>
  <si>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2.3.2.02.02.005.2402041.54</t>
  </si>
  <si>
    <t>Impuesto al Registro</t>
  </si>
  <si>
    <t>Construir vías en pro de la interconexión entre los municipios y veredas del departamento mejorando la accesibilidad de las poblaciones alejadas del departamento</t>
  </si>
  <si>
    <t xml:space="preserve">Apoyo para el fortalecimiento del componente y asistencia técnica a nivel departamental. </t>
  </si>
  <si>
    <t>2.3.2.02.02.008.2402041.82</t>
  </si>
  <si>
    <t>2.3.2.02.02.008.2402041.83</t>
  </si>
  <si>
    <t xml:space="preserve">                                                        -  </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</si>
  <si>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</si>
  <si>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</si>
  <si>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</si>
  <si>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</si>
  <si>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</si>
  <si>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técnicamente a las entidades</t>
  </si>
  <si>
    <t>2.3.2.02.02.005.4001001.54</t>
  </si>
  <si>
    <t>Estampilla Pro Desarroll</t>
  </si>
  <si>
    <t xml:space="preserve">Viviendas de Interés Prioritario urbanas construidas </t>
  </si>
  <si>
    <t>Viviendas de Interés Prioritario urbanas construidas</t>
  </si>
  <si>
    <t>2.3.2.02.02.005.4001017.54</t>
  </si>
  <si>
    <t>2.3.2.02.02.008.4001017.82</t>
  </si>
  <si>
    <t>2.3.2.02.02.008.4001017.83</t>
  </si>
  <si>
    <t xml:space="preserve">Viviendas de Interés Prioritario urbanas mejoradas </t>
  </si>
  <si>
    <t>Viviendas de Interés Prioritario urbanas mejoradas</t>
  </si>
  <si>
    <t>2.3.2.02.02.005.4001018.54</t>
  </si>
  <si>
    <t>2.3.2.02.02.008.4001018.83</t>
  </si>
  <si>
    <t>Estudios de preinversión e inversión</t>
  </si>
  <si>
    <t>Realizar programación de asistencias técnicas a la entidades territoriales</t>
  </si>
  <si>
    <t>2.3.2.02.02.005.4001030.54</t>
  </si>
  <si>
    <t>Servicio de apoyo financiero para adquisición de vivienda</t>
  </si>
  <si>
    <t>Equipamientos construidos</t>
  </si>
  <si>
    <t>Equipamientos mejorados mantenidos y/o construidos</t>
  </si>
  <si>
    <t>2.3.2.02.02.005.4001031.54</t>
  </si>
  <si>
    <t>Impuesto al Registr</t>
  </si>
  <si>
    <t>2.3.2.02.02.008.4001031.82</t>
  </si>
  <si>
    <t>2.3.2.02.02.008.4001031.83</t>
  </si>
  <si>
    <t>Viviendas de Interés Social urbanas construidas</t>
  </si>
  <si>
    <t>2.3.2.02.02.005.4001014.54</t>
  </si>
  <si>
    <t>2.3.2.02.02.008.4001014.83</t>
  </si>
  <si>
    <t>2.3.2.02.02.005.4001015.54</t>
  </si>
  <si>
    <t>2.3.2.02.02.008.4001015.83</t>
  </si>
  <si>
    <t>SEGUIMIENTO PLAN DE ACCIÓN 
SECRETARIA  DE TECNOLOGIAS DE LA INFORMACION Y LAS COMUNICACIONES 
JUNIO 30/2021</t>
  </si>
  <si>
    <t xml:space="preserve">F-PLA-07   </t>
  </si>
  <si>
    <t>PLAN DE DESARROLLO DEPARTAMENTAL: TU Y YO SOMO QUNDIO</t>
  </si>
  <si>
    <t xml:space="preserve">CONTRATOS </t>
  </si>
  <si>
    <t xml:space="preserve">No. DE CONTRATOS </t>
  </si>
  <si>
    <t xml:space="preserve">FUENTE DE LOS RECURSOS </t>
  </si>
  <si>
    <t>CÓDIGO</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</si>
  <si>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</si>
  <si>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</si>
  <si>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</si>
  <si>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</si>
  <si>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202000363-0038</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</si>
  <si>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</si>
  <si>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</si>
  <si>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</si>
  <si>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</si>
  <si>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0324 - 2 - 3.2.2.2.8.0.0.0.2301024.84290 - 20</t>
  </si>
  <si>
    <t>Carlos Fernando Benitez Zapata</t>
  </si>
  <si>
    <t>Secretaria TIC</t>
  </si>
  <si>
    <t>Garantizar el servicio de conectividad en los centros de acceso comunitario en el departamento del Quindio.</t>
  </si>
  <si>
    <t>0324 - 2 - 3.2.2.2.8.0.0.0.2301024.84222 - 20</t>
  </si>
  <si>
    <t>Mantenimiento de mobiliario, equipos y locaciones de los centros de acceso comunitario en el departamento del Quindio.</t>
  </si>
  <si>
    <t>0324 - 2 - 3.2.2.2.8.0.0.0.2301024.83132 - 20</t>
  </si>
  <si>
    <t>Soluciones de conectividad en instituciones públicas instaladas</t>
  </si>
  <si>
    <t>Apoyo técnico y/o profesional en la estructuracion, direccionamiento y transición del protocolo IPV6 en instituciones públicas en el departamento del Quindío.</t>
  </si>
  <si>
    <t>Adquisición de equipos de infraestructura tecnológica que permitan la modernizacion, con el fin de apoyar la transicion hacia el protocolo IPV6 en instituciones publicas del departamento del Quindío.</t>
  </si>
  <si>
    <t>0324 - 2 - 3.2.1.1.3.3.2.0.2301024.45261 - 20</t>
  </si>
  <si>
    <t>Modernización tecnológica del edificio de la Gobernación</t>
  </si>
  <si>
    <t>0324 - 2 - 3.2.1.1.3.3.2.0.2301024.45250 - 20</t>
  </si>
  <si>
    <t>0324 - 2 - 3.2.1.1.3.3.2.0.2301024.45250 - 88</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</si>
  <si>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</si>
  <si>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</si>
  <si>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</si>
  <si>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</si>
  <si>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</si>
  <si>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</si>
  <si>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0324 - 2 - 3.2.2.2.8.0.0.0.2301079.83132 - 20</t>
  </si>
  <si>
    <t>Adquisición e implantación de infraestructura tecnológica necesaria para la puesta en funcionamiento de las zonas wifi.</t>
  </si>
  <si>
    <t>0324 - 2 - 3.2.2.2.8.0.0.0.2301079.83159 - 20</t>
  </si>
  <si>
    <t>Apoyo técnico y/o profesional en la sensibilización del uso responsable de las zonas wifi.</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</si>
  <si>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</si>
  <si>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</si>
  <si>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</si>
  <si>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Adquisición de terminales de computo</t>
  </si>
  <si>
    <t>0324 - 2 - 3.2.2.2.8.0.0.0.2301062.83159 - 20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</si>
  <si>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</si>
  <si>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</si>
  <si>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</si>
  <si>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</si>
  <si>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</si>
  <si>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</si>
  <si>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0324 - 2 - 3.2.2.2.8.0.0.0.2301035.83132 - 20</t>
  </si>
  <si>
    <t>20
88</t>
  </si>
  <si>
    <t>Ordinario
Superavit recurso ordinario</t>
  </si>
  <si>
    <t>Carlos Fernando Benitez Zapata  /   Jhon Mario Lievano Fernandez</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</si>
  <si>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</si>
  <si>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</si>
  <si>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</si>
  <si>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</si>
  <si>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0324 - 2 - 3.2.2.2.8.0.0.0.2301015.83132 - 20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</si>
  <si>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</si>
  <si>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</si>
  <si>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</si>
  <si>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</si>
  <si>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0324 - 2 - 3.2.2.2.8.0.0.0.2301030.83132 - 20</t>
  </si>
  <si>
    <t>0324 - 2 - 3.2.2.2.8.0.0.0.2301030.83132 - 88</t>
  </si>
  <si>
    <t>Desarrollo de convenios con instituciones publicas y/o privadas para el fortalecimiento de procesos de formación TI en el departamento del Quindío.</t>
  </si>
  <si>
    <t xml:space="preserve"> Documentos de planeación</t>
  </si>
  <si>
    <t>Documentos de planeación elaborados</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</si>
  <si>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</si>
  <si>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</si>
  <si>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0324 - 2 - 3.2.2.2.8.0.0.0.2301004.83132 - 20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</si>
  <si>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</si>
  <si>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</si>
  <si>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</si>
  <si>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Diseño y/o Adquisición para el desarrollo de infraestructura tecnológica necesaria para la implementación de un sistema de alertas tempranas en el departamento del Quindío.</t>
  </si>
  <si>
    <t>0324 - 2 - 3.2.2.2.8.0.0.0.2301042.83159 - 20</t>
  </si>
  <si>
    <t>Servicio técnico y/o profesional en la implantación, seguimiento, sensibilización y puesta en funcionamiento de un sistema de alertas tempranas en el departamento del Quindío</t>
  </si>
  <si>
    <t>0324 - 2 - 3.2.2.2.8.0.0.0.2301042.83132 - 20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</si>
  <si>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</si>
  <si>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</si>
  <si>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</si>
  <si>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</si>
  <si>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</si>
  <si>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</si>
  <si>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Apoyo profesional en la asistencia tecnica a empresas relacionadas con la industria TI del departamento</t>
  </si>
  <si>
    <t>0324 - 2 - 3.2.2.2.8.0.0.0.2302022.83132 - 20</t>
  </si>
  <si>
    <t>Servicio de promoción de la industria de tecnologías de la información</t>
  </si>
  <si>
    <t xml:space="preserve">Eventos para  promoción  de productos y Servicio de la industria TI realizados </t>
  </si>
  <si>
    <t>Apoyar en la creación de ferias o eventos de TI en el Departamento del Quindío.</t>
  </si>
  <si>
    <t>Apoyo tecnico y/o profesional en el diseño y realización de evento o ferias tecnológicas en el departamento del Quindío</t>
  </si>
  <si>
    <t>0324 - 2 - 3.2.2.2.8.0.0.0.2302042.83132 - 20</t>
  </si>
  <si>
    <t>Logística operativa (alimentación, transporte, sonido, materialpublicitario, entre otros) para la organización de foros, talleres, eventos y/o actividades</t>
  </si>
  <si>
    <t>0324 - 2 - 3.2.2.2.8.0.0.0.2302042.85962 - 20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</si>
  <si>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</si>
  <si>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</si>
  <si>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</si>
  <si>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</si>
  <si>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0324 - 2 - 3.2.2.2.8.0.0.0.2302058.83132 - 20</t>
  </si>
  <si>
    <t>Servicio de asistencia técnica a emprendedores y empresas</t>
  </si>
  <si>
    <t>Emprendedores y empresas asistidas técnicamente</t>
  </si>
  <si>
    <t>Asistir técnicamente por medio de las TIC, a empresas y emprendedores en el Departamento del Quindío.</t>
  </si>
  <si>
    <t>Apoyo tecnico y/o profesional en la asistencia tecnica a emprendedores y empresas a traves de las tecnologias de la información</t>
  </si>
  <si>
    <t>0324 - 2 - 3.2.2.2.8.0.0.0.2302021.83132 - 20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</si>
  <si>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</si>
  <si>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</si>
  <si>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</si>
  <si>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Apoyo tecnico y/o profesional en la formación de personas con competencias TI en el departamento del Quindío</t>
  </si>
  <si>
    <t>0324 - 2 - 3.2.2.2.8.0.0.0.2302068.83132 - 20</t>
  </si>
  <si>
    <t>LIDERAZGO, GOBERNABILIDAD Y TRANSPARENCIA</t>
  </si>
  <si>
    <t>Desarrollos digitales</t>
  </si>
  <si>
    <t>Productos digitales desarrollados</t>
  </si>
  <si>
    <t>202000363-0141</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</si>
  <si>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</si>
  <si>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</si>
  <si>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</si>
  <si>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Apoyo técnico y/o profesional en la creación y/o desarrollo de productos digitales</t>
  </si>
  <si>
    <t>0324 - 2 - 3.2.2.2.8.0.0.0.2302003.83132 - 20</t>
  </si>
  <si>
    <t>Adquisiciòn  de productos digitales</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</si>
  <si>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</si>
  <si>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</si>
  <si>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</si>
  <si>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Apoyo tecnico y/o profesional para brindar capacitaciones informales de la estrategia de gobierno digital</t>
  </si>
  <si>
    <t>0324 - 2 - 3.2.2.2.8.0.0.0.2302033.83132 - 20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</si>
  <si>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</si>
  <si>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</si>
  <si>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</si>
  <si>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Apoyo técnico y/o profesional para brindar capacitaciones en gestión TI y seguridad y privacidad de la información</t>
  </si>
  <si>
    <t>0324 - 2 - 3.2.2.2.8.0.0.0.2302066.83132 - 20</t>
  </si>
  <si>
    <t>Documentos de evaluación</t>
  </si>
  <si>
    <t>Documentos de evaluación de programas enfocados en generar competencias TIC</t>
  </si>
  <si>
    <t>Generar documentos de evaluación de programas enfocados a generar competencias TIC.</t>
  </si>
  <si>
    <t xml:space="preserve"> Apoyo técnico y/o profesional que genere la documentación y planificación necesaria entorno a generar competencias TIC en el departamento del Quindío</t>
  </si>
  <si>
    <t>0324 - 2 - 3.2.2.2.8.0.0.0.2302004.83132 - 20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</si>
  <si>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</si>
  <si>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</si>
  <si>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</si>
  <si>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</si>
  <si>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0324 - 2 - 3.2.2.2.8.0.0.0.2302007.83132 - 20</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</si>
  <si>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</si>
  <si>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</si>
  <si>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0324 - 2 - 3.2.2.2.8.0.0.0.2302083.83132 - 20</t>
  </si>
  <si>
    <t>Ciencia, Tecnolgía e Innovación</t>
  </si>
  <si>
    <t xml:space="preserve">Desarrollo tecnológico e innovación para el crecimiento empresarial </t>
  </si>
  <si>
    <t>Servicio de apoyo para la transferencia de conocimiento y tecnología</t>
  </si>
  <si>
    <t>Nuevas tecnologías adoptadas</t>
  </si>
  <si>
    <t>202000363-0140</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</si>
  <si>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</si>
  <si>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</si>
  <si>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</si>
  <si>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</si>
  <si>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0324 - 2 - 3.2.2.2.8.0.0.0.3903005.83132 - 20</t>
  </si>
  <si>
    <t xml:space="preserve">Ordinario </t>
  </si>
  <si>
    <t>Start up generadas</t>
  </si>
  <si>
    <t>Apoyo técnico, profesional y/o institucional en la creación de estrategias para la implementacion de Satart up</t>
  </si>
  <si>
    <t>Conocimiento tecnológico adquirido</t>
  </si>
  <si>
    <t>Apoyo técnico, profesional y/o institucional de estrategias que permitan generar conocimiento tecnológico</t>
  </si>
  <si>
    <t>0324 - 2 - 3.2.2.2.8.0.0.0.3903005.83117 - 20</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</si>
  <si>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</si>
  <si>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</si>
  <si>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</si>
  <si>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202000363-0040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</si>
  <si>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</si>
  <si>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</si>
  <si>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</si>
  <si>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</si>
  <si>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0324 - 2 - 3.2.2.2.8.0.0.0.3904018.83132 - 20</t>
  </si>
  <si>
    <t xml:space="preserve">
SEGUIMIENTO PLAN DE ACCIÓN 
SECRETARIA  DE URISMO, INDUSTRIA Y COMERCIO
JUNIO 30/2021</t>
  </si>
  <si>
    <t>PLAN DE DESARROLLO DEPARTAMENTAL: ¨TU Y YO SOMOS, QUINDIO¨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</si>
  <si>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</si>
  <si>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</si>
  <si>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</si>
  <si>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</si>
  <si>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</si>
  <si>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</si>
  <si>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</si>
  <si>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</si>
  <si>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0311 - 2 - 3.2.2.2.9.0.0.0.3502006.91119 - 20</t>
  </si>
  <si>
    <t>Néstor Iván Paéz Tovar</t>
  </si>
  <si>
    <t>Secretario de Turismo Industria y Comercio</t>
  </si>
  <si>
    <t>Servicio de asistencia técnica para el desarrollo de iniciativas Clústers</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</si>
  <si>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</si>
  <si>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</si>
  <si>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0311 - 2 - 3.2.2.2.9.0.0.0.3502007.91119 - 20</t>
  </si>
  <si>
    <t>0311 - 2 - 3.2.2.2.9.0.0.0.3502007.91138 - 20</t>
  </si>
  <si>
    <t>Apoyo para la implementaciòn  y ejecuciòn de los planes de acciòn de los clùsters</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</si>
  <si>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</si>
  <si>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</si>
  <si>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</si>
  <si>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</si>
  <si>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</si>
  <si>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</si>
  <si>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</si>
  <si>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</si>
  <si>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0311 - 2 - 3.2.2.2.9.0.0.0.3502022.91138 - 20</t>
  </si>
  <si>
    <t>Aunar esfuerzos para desarrollar proyectos  y/o actividades direccionadas a promover el acceso a nuevos mercados  para las Mipymes del departamento</t>
  </si>
  <si>
    <t>0311 - 2 - 3.2.2.2.9.0.0.0.3502022.91119 - 20</t>
  </si>
  <si>
    <t>350204700</t>
  </si>
  <si>
    <t>0.7</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</si>
  <si>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</si>
  <si>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 xml:space="preserve"> Elaboración de estudios, diagnósticos y/o investigación para la formulación del Plan de Internacionalización del departamento del Quindío.</t>
  </si>
  <si>
    <t>0311 - 2 - 3.2.2.2.9.0.0.0.3502047.91136 - 20</t>
  </si>
  <si>
    <t>Servicio de asistencia técnica a los entes territoriales para el desarrollo turístico</t>
  </si>
  <si>
    <t>350203900</t>
  </si>
  <si>
    <t>202000363-0076</t>
  </si>
  <si>
    <t xml:space="preserve"> Mejoramiento de la competitividad del  departamento como destino turístico  sostenible y de calidad .</t>
  </si>
  <si>
    <t>Fortalecer la coordinación interinstitucional</t>
  </si>
  <si>
    <t>0311 - 2 - 3.2.2.2.9.0.0.0.3502039.91119 - 20</t>
  </si>
  <si>
    <t xml:space="preserve">Ordinario 
Superávit Recurso Ordinario </t>
  </si>
  <si>
    <t>Sandra Mantilla Q
Monica A Rodriguez G</t>
  </si>
  <si>
    <t>documentos de planeación elaborados</t>
  </si>
  <si>
    <t>0311 - 2 - 3.2.2.2.9.0.0.0.3502047.91119 - 20</t>
  </si>
  <si>
    <t>Proyectos de infraestructura turística apoyados</t>
  </si>
  <si>
    <t>Estudios y/o diseños para proyectos de infraestructura turística</t>
  </si>
  <si>
    <t>Fortalecimiento de la infraestructura de soporte para la actividad turística</t>
  </si>
  <si>
    <t>0311 - 2 - 3.4.2.4.0.0.0.0.003502039.54129.884 - 20</t>
  </si>
  <si>
    <t>0311 - 2 - 3.4.2.4.0.0.0.0.003502039.54129.884 - 88</t>
  </si>
  <si>
    <t xml:space="preserve">Superávit Recurso Ordinario </t>
  </si>
  <si>
    <t>Servicio de promoción turística</t>
  </si>
  <si>
    <t>Campañas realizadas</t>
  </si>
  <si>
    <t>202000363-0077</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</si>
  <si>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</si>
  <si>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</si>
  <si>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</si>
  <si>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Apoyo a la promociòn nacional e internaciònal del departamento del Quindìo como destino turìstico</t>
  </si>
  <si>
    <t>0311 - 2 - 3.2.2.2.9.0.0.0.3502046.91136 - 52</t>
  </si>
  <si>
    <t>Turismo y Cultura 4%</t>
  </si>
  <si>
    <t>0311 - 2 - 3.2.2.2.9.0.0.0.3502046.91136 - 94</t>
  </si>
  <si>
    <t>Suparávit  Turismo y Cultura 4%</t>
  </si>
  <si>
    <t>Logìstica y transporte para realizar  labores institucionales</t>
  </si>
  <si>
    <t>0311 - 2 - 3.2.1.1.3.3.2.0.3502046.45250 - 52</t>
  </si>
  <si>
    <t>0311 - 2 - 3.2.2.2.9.0.0.0.003502046.64119 - 52</t>
  </si>
  <si>
    <t>Servicios de catering para cubrir los diferentes eventos y actividades</t>
  </si>
  <si>
    <t>0311 - 2 - 3.2.2.2.9.0.0.0.003502046.63391 - 52</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</si>
  <si>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</si>
  <si>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</si>
  <si>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</si>
  <si>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</si>
  <si>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</si>
  <si>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</si>
  <si>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</si>
  <si>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</si>
  <si>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</si>
  <si>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0311 - 2 - 3.2.2.2.8.0.0.0.3602018.83117 - 20</t>
  </si>
  <si>
    <t>Hernando A. Garcia A.</t>
  </si>
  <si>
    <t>Servicio de asesoría técnica para el emprendimiento.</t>
  </si>
  <si>
    <t>360203201</t>
  </si>
  <si>
    <t>Emprendimientos fortalecidos</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</si>
  <si>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</si>
  <si>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</si>
  <si>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0311 - 2 - 3.2.2.2.9.0.0.0.3602032.91138 - 20</t>
  </si>
  <si>
    <t>Aunar esfuerzos para desarrolar proyectos  a travès delos cuales se fortalezcan las capacidades de los emprendedores del departamento</t>
  </si>
  <si>
    <t>0311 - 2 - 3.2.2.2.9.0.0.0.3602032.91119 - 20</t>
  </si>
  <si>
    <t>Servicio de asistencia técnica para la generación y formalización del empleo</t>
  </si>
  <si>
    <t>Talleres de oferta institucional realizados</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</si>
  <si>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</si>
  <si>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</si>
  <si>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0311 - 2 - 3.2.2.2.9.0.0.0.3602029.91119 - 20</t>
  </si>
  <si>
    <t>Logistica, impresiones maaterial  y refrigerios para adelantar los talleres de oferta institucional</t>
  </si>
  <si>
    <t>0311 - 2 - 3.2.2.2.9.0.0.0.003602029.63391 - 20</t>
  </si>
  <si>
    <t>Servicio de información y monitoreo del mercado de trabajo</t>
  </si>
  <si>
    <t>360203000</t>
  </si>
  <si>
    <t>Reportes realizados</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</si>
  <si>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</si>
  <si>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</si>
  <si>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0311 - 2 - 3.2.2.2.9.0.0.0.3602030.91119 - 20</t>
  </si>
  <si>
    <t>Aunuar esfuerzos para fortalecer los procesos enmarcados en el mercado laboral del departamento</t>
  </si>
  <si>
    <t>Logistica, impresiones maaterial  y refrigerios para adelantar los procesos de monitoreo del mercado de tarabajo,</t>
  </si>
  <si>
    <t>0311 - 2 - 3.2.2.2.9.0.0.0.3602030.63391 - 20</t>
  </si>
  <si>
    <t xml:space="preserve">TOTAL: </t>
  </si>
  <si>
    <t>SEGUIMIENTO PLAN DE ACCIÓN 
SECRETARIA DE SALUD
A  JUNIO 30 DE 2021</t>
  </si>
  <si>
    <t>PLAN DE DESARROLLO DEPARTAMENTAL: TÚ Y YO SOMOS QUINDÍO 2020-2023</t>
  </si>
  <si>
    <t>VALOR ACTIVIDADES
(EN PESOS )</t>
  </si>
  <si>
    <t xml:space="preserve"> INCLUSION SOCIAL Y EQUIDAD</t>
  </si>
  <si>
    <t xml:space="preserve">Inspección, vigilancia y control. "Tú y yo con salud certificada" </t>
  </si>
  <si>
    <t>Servicio de concepto sanitario</t>
  </si>
  <si>
    <t>Servicio de registro sanitario</t>
  </si>
  <si>
    <t>Conceptos sanitarios expedidos</t>
  </si>
  <si>
    <t>Registros sanitarios expedidos</t>
  </si>
  <si>
    <t>202000363-0116</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</si>
  <si>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</si>
  <si>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</si>
  <si>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</si>
  <si>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</si>
  <si>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1803 - 2 - 3.2.2.2.9.0.0.0.1903009.91122 - 61</t>
  </si>
  <si>
    <t>SGP Salud Pública</t>
  </si>
  <si>
    <t>61 - 63</t>
  </si>
  <si>
    <t>SGP SALUD PUBLICA - FONDO DE ESTUPEFACIENTES</t>
  </si>
  <si>
    <t>LILIANA VALDES MEJÍA - DIRECTORA PVC</t>
  </si>
  <si>
    <t>Yenny Alexandra Trujillo Alzate
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</si>
  <si>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</si>
  <si>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</si>
  <si>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</si>
  <si>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Informes de evento generados en la vigencia</t>
  </si>
  <si>
    <t>Activar y Mantener 100 COVECOM en 12  municipios del Departamento.</t>
  </si>
  <si>
    <t>1803 - 2 - 3.2.2.2.9.0.0.0.1903031.91122 - 61</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</si>
  <si>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</si>
  <si>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12 municipios del Departamento del Quindío.</t>
  </si>
  <si>
    <t>Servicio de asistencia técnica en inspección, vigilancia y control</t>
  </si>
  <si>
    <t>Asistencias técnica en Inspección, Vigilancia y Control realizadas</t>
  </si>
  <si>
    <t>Visitas de seguimiento y asistencia técnica a sistemas potabilización de agua y fuentes de abastecimiento</t>
  </si>
  <si>
    <t>1803 - 2 - 3.2.2.2.9.0.0.0.1903023.91122 - 61</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</si>
  <si>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</si>
  <si>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</si>
  <si>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</si>
  <si>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</si>
  <si>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</si>
  <si>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</si>
  <si>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a los objetos de interés sanitario a los objetos de interés sanitario relacionados con las sustancias químicas.</t>
  </si>
  <si>
    <t>1803 - 2 - 3.2.2.2.9.0.0.0.1903050.91122 - 61</t>
  </si>
  <si>
    <t>Realizar seguimiento en la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</si>
  <si>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</si>
  <si>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</si>
  <si>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</si>
  <si>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</si>
  <si>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</si>
  <si>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Municipios categorías 4,5 y 6 que formulen y ejecuten real y efectivamente acciones de promoción, prevención, vigilancia  y control de vectores y zoonosis  realizados</t>
  </si>
  <si>
    <t>Articular los sistemas de vigilancia relacionados al control sanitario</t>
  </si>
  <si>
    <t>Realizar acciones de seguimientos a objetos de Inspección, Vigilancia y Control de establecimientos cosméticos y afines en el Departamento del Quindío.</t>
  </si>
  <si>
    <t>1803 - 2 - 3.2.2.2.9.0.0.0.19030381.91122 - 61</t>
  </si>
  <si>
    <t>Implementar sistema de información que permita programar y priorizar las acciones de Inspección, Vigilancia y Control con enfoque de riesgo en establecimientos cosméticos y afines en el Departamento del Quindío.</t>
  </si>
  <si>
    <t>Realizar seguimiento a los objetos de inspección  vigilancia y control para verificar las condiciones técnicas, higiénico sanitarias locativas y de calidad a los establecimientos farmacéuticos en los 12 municipios del departamento del Quindío.</t>
  </si>
  <si>
    <t>1803 - 2 - 3.2.2.2.9.0.0.0.19030381.91122 - 63</t>
  </si>
  <si>
    <t>Fondo de Estuperfacientes</t>
  </si>
  <si>
    <t>1803 - 2 - 3.2.2.1.3.0.0.0.19030381.91122 - 99</t>
  </si>
  <si>
    <t xml:space="preserve">Desarrollo de acciones de apoyo legal en la aplicación del modelo IVC y PAGO DE REGENTES DE NOMINA </t>
  </si>
  <si>
    <t>1803 - 2 - 3.2.2.2.9.0.0.0.19030381.91122 - 99</t>
  </si>
  <si>
    <t xml:space="preserve">Suministrar medicamentos de programas de control especial - monopolio del estado a los establecimientos farmacéuticos autorizados o IPS´s que lo requieran. </t>
  </si>
  <si>
    <t>1803 - 2 - 3.2.2.1.3.0.0.0.19030381.35261 - 63</t>
  </si>
  <si>
    <t>Realizar seguimiento a los eventos que se presenten por intoxicaciones por sustancias químicas (medicamentos ) de los vasos notificados al Sivigila por las unidades notificadoras municipales</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</si>
  <si>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</si>
  <si>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</si>
  <si>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para el monopolio del Estado con el Fondo Nacional de Estupefacientes de conformidad  con los índices de consumo </t>
  </si>
  <si>
    <t xml:space="preserve">Adquirir recetarios y los medicamentos monopolio del estado con el fondo nacional de estupefacientes de conformidad  con los índices de consumo </t>
  </si>
  <si>
    <t>1803 - 2 - 3.2.2.1.3.0.0.0.19030381.35261 - 99</t>
  </si>
  <si>
    <t>Municipios categorías 4, 5 y 6 qué formulen y ejecuten real y efectivamente acciones de promoción, prevención, vigilancia y control de vectores y zoonosis realizados</t>
  </si>
  <si>
    <t>Realizar  acciones de intervención comunitaria  en el marco de la implementación de las estrategias de gestión integral para mitigar las contingencias y daños producidos por enfermedades transmisibles, zoonosis y vectores.</t>
  </si>
  <si>
    <t>1803 - 2 - 3.2.2.2.9.0.0.0.19030382.91122 - 61</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</si>
  <si>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</si>
  <si>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</si>
  <si>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</si>
  <si>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1803 - 2 - 3.2.2.2.9.0.0.0.1903027.91122 - 61</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</si>
  <si>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</si>
  <si>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</si>
  <si>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</si>
  <si>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1803 - 2 - 3.2.2.2.9.0.0.0.19030111.91122 - 61</t>
  </si>
  <si>
    <t xml:space="preserve">Realizar seguimiento a los objetos inspección  vigilancia y control   de las condiciones sanitarias y protocolos de bioseguridad en los establecimientos  con actividad económica de estética ornamental , salas de belleza y peluquerías </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</si>
  <si>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</si>
  <si>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</si>
  <si>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</si>
  <si>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</si>
  <si>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</si>
  <si>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</si>
  <si>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1803 - 2 - 3.2.2.2.9.0.0.0.1903001.9122 - 61</t>
  </si>
  <si>
    <t>SGP SALUD PUBLICA</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</si>
  <si>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</si>
  <si>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</si>
  <si>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</si>
  <si>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</si>
  <si>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</si>
  <si>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</si>
  <si>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en los 12 municipios.</t>
  </si>
  <si>
    <t>1803 - 2 - 3.2.2.2.9.0.0.0.1903015.91122 - 61</t>
  </si>
  <si>
    <t>Brindar apoyo en el monitoreo de las metas del registro de localización y caracterización de personas con discapacidad en los 12 municipios.</t>
  </si>
  <si>
    <t xml:space="preserve">Brindar asistencia técnica sobre la resolución 113 de 2020  y el proceso de certificación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</si>
  <si>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</si>
  <si>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</si>
  <si>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eliminación de barreras en salud y Resolución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</si>
  <si>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</si>
  <si>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</si>
  <si>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</si>
  <si>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</si>
  <si>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</si>
  <si>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</si>
  <si>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</si>
  <si>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Servicio de análisis de laboratorio</t>
  </si>
  <si>
    <t>Análisis realizados</t>
  </si>
  <si>
    <t>202000363-0118</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</si>
  <si>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</si>
  <si>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</si>
  <si>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 publica y la Vigilancia y Control Sanitario</t>
  </si>
  <si>
    <t xml:space="preserve">Compra de reactivos, insumos y medios </t>
  </si>
  <si>
    <t>1803 - 2 - 3.2.2.2.8.0.0.0.1903012.87154 - 61</t>
  </si>
  <si>
    <t>61  - 88 - 184</t>
  </si>
  <si>
    <t>SGP SALUD PUBLICA (61 - 88) Superavit Resolución 626 de 2020 COVID- 19 (184)</t>
  </si>
  <si>
    <t>1803 - 2 - 3.2.2.1.3.0.0.0.1903012.35442 - 61</t>
  </si>
  <si>
    <t>Compra de equipos de laboratorio</t>
  </si>
  <si>
    <t>1803 - 2 - 3.2.1.1.3.6.1.0.1903012.48150 - 61</t>
  </si>
  <si>
    <t>1803 - 2 - 3.2.1.1.3.6.1.0.1903012.48150 - 184</t>
  </si>
  <si>
    <t>Superàvit Resolucion 626 de 2020 COVID-19</t>
  </si>
  <si>
    <t>0318 - 2 - 3.2.2.2.9.0.0.0.001903012.48150 - 88</t>
  </si>
  <si>
    <t>Realizar análisis de muestras de alimentos, aguas, bebidas alcohólicas  que llegan al laboratorio en cumplimiento de la programación y las muestras para ETAS Y  vigilancia que lleguen al laboratorio</t>
  </si>
  <si>
    <t>1803 - 2 - 3.2.2.2.9.0.0.0.1903012.93195 - 61</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</si>
  <si>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</si>
  <si>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</si>
  <si>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</si>
  <si>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</si>
  <si>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</si>
  <si>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</si>
  <si>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1803 - 2 - 3.2.2.2.9.0.0.0.1903016.91122 - 61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</si>
  <si>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</si>
  <si>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</si>
  <si>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</si>
  <si>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</si>
  <si>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1803 - 2 - 3.2.2.2.9.0.0.0.19030112.91122 - 61</t>
  </si>
  <si>
    <t>Realizar la calibración de los equipos del laboratorio</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</si>
  <si>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</si>
  <si>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</si>
  <si>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</si>
  <si>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</si>
  <si>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</si>
  <si>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</si>
  <si>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0318 - 2 - 3.2.2.2.9.0.0.0.1903034.91122 - 20</t>
  </si>
  <si>
    <t>N/A</t>
  </si>
  <si>
    <t>ELAYNE LOAIZA JURADO - DIRECTORA CPS</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</si>
  <si>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</si>
  <si>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</si>
  <si>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</si>
  <si>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</si>
  <si>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</si>
  <si>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</si>
  <si>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</si>
  <si>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</si>
  <si>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</si>
  <si>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0318 - 2 - 3.2.2.2.9.0.0.0.1903045.91122 - 20</t>
  </si>
  <si>
    <t>Realizar capacitación del recurso humano de las ESES, IPS y EPS Tema del PAMEC, indicadores de calidad y circular 012 de 2016</t>
  </si>
  <si>
    <t>0318 - 2 - 3.2.2.2.9.0.0.0.1903001.91122 - 20</t>
  </si>
  <si>
    <t>Servicio de certificaciones en buenas prácticas</t>
  </si>
  <si>
    <t>Certificaciones expedidas</t>
  </si>
  <si>
    <t>Evaluación del PAMEC en su condición de compradores de servicios de salud para población pobre no afiliada, mediante  auditoría externa a los prestadores.</t>
  </si>
  <si>
    <t>0318 - 2 - 3.2.2.2.9.0.0.0.1903010.91122 - 20</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</si>
  <si>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</si>
  <si>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</si>
  <si>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</si>
  <si>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</si>
  <si>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0318 - 2 - 3.2.2.2.9.0.0.0.1903011.91122 - 20</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</si>
  <si>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</si>
  <si>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</si>
  <si>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</si>
  <si>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</si>
  <si>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</si>
  <si>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</si>
  <si>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 xml:space="preserve">Incrementar la operatividad e integración de los procesos administrativos misionales y estratégicos de la secretaria de salud
</t>
  </si>
  <si>
    <t>Definir mecanismos para la gestión de la información en la S.D.S</t>
  </si>
  <si>
    <t>1804 - 2 - 3.2.2.2.9.0.0.0.1903047.91122 - 72</t>
  </si>
  <si>
    <t>Rentas cedidas subcuenta otros gastos en salud</t>
  </si>
  <si>
    <t>ELEANA ANDREA CAICEDO ARIAS - DIRECTORA GEAS</t>
  </si>
  <si>
    <t>Servicio del ejercicio del procedimiento administrativo sancionatorio</t>
  </si>
  <si>
    <t xml:space="preserve">Procesos con aplicación del procedimiento administrativo sancionatorio tramitados </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</si>
  <si>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</si>
  <si>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1804 - 2 - 3.2.2.2.9.0.0.0.1903019.91122 - 72</t>
  </si>
  <si>
    <t>Servicio de gestión de peticiones, quejas, reclamos y denuncias</t>
  </si>
  <si>
    <t>Preguntas Quejas Reclamos y Denuncias Gestionadas</t>
  </si>
  <si>
    <t>Establecer mecanismos eficientes de respuesta al usuario</t>
  </si>
  <si>
    <t>1804 - 2 - 3.2.2.2.9.0.0.0.1903028.91122 - 72</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</si>
  <si>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</si>
  <si>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</si>
  <si>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</si>
  <si>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1804 - 2 - 3.2.2.2.9.0.0.0.1903025.91122 - 72</t>
  </si>
  <si>
    <t>Realizar actividades de planeación para la S.D.S aplicando los lineamientos normativos vigentes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</si>
  <si>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</si>
  <si>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</si>
  <si>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</si>
  <si>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</si>
  <si>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</si>
  <si>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</si>
  <si>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t>
  </si>
  <si>
    <t>1803 - 2 - 3.2.2.2.9.0.0.0.1905028.91122 - 61</t>
  </si>
  <si>
    <t>LILIANA VALDES MEJIA  - DIRECTORA PVC</t>
  </si>
  <si>
    <t>Realizar acciones de inspección vigilancia y control en establecimientos gastronómicos del departamento del Quindío.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</si>
  <si>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</si>
  <si>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</si>
  <si>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</si>
  <si>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</si>
  <si>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</si>
  <si>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</si>
  <si>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1803 - 2 - 3.2.2.2.9.0.0.0.19050315.91122 - 61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</si>
  <si>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</si>
  <si>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Resolución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</si>
  <si>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</si>
  <si>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</si>
  <si>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</si>
  <si>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</si>
  <si>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</si>
  <si>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</si>
  <si>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</si>
  <si>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</si>
  <si>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1803 - 2 - 3.2.2.2.9.0.0.0.1905019.91122 - 61</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</si>
  <si>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</si>
  <si>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</si>
  <si>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</si>
  <si>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</si>
  <si>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Realizar seguimiento semestral  a las coberturas de las actividades de PEDT en el marco de las intervenciones de las RIAS, así como el seguimiento a la gestión del riesgo individual en salud.</t>
  </si>
  <si>
    <t>1803 - 2 - 3.2.2.2.9.0.0.0.19050311.91122 - 61</t>
  </si>
  <si>
    <t>Realizar acciones de fortalecimiento en la intervenciones de protección especifica y detección temprana con los diferentes actores del sistema (EAPB,IPS,PLANES LOCALES DE SALUD )</t>
  </si>
  <si>
    <t>Formular en Plan de Fortalecimiento de Capacidades en Salud Ambiental en coordinación con el Consejo Territorial de Salud Ambiental COTSA</t>
  </si>
  <si>
    <t xml:space="preserve"> Plan de Fortalecimiento de Capacidades en Salud Ambiental FORMULADO </t>
  </si>
  <si>
    <t>Planes de salud pública elaborados</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</si>
  <si>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</si>
  <si>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</si>
  <si>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1803 - 2 - 3.2.2.2.9.0.0.0.19050154.91122 - 61</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</si>
  <si>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</si>
  <si>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</si>
  <si>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</si>
  <si>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</si>
  <si>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</si>
  <si>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e identificar sus factores determinantes</t>
  </si>
  <si>
    <t>1803 - 2 - 3.2.2.2.9.0.0.0.19050242.91122 - 61</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</si>
  <si>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</si>
  <si>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</si>
  <si>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</si>
  <si>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</si>
  <si>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Plan Departamental en Salud Ambiental de adaptación al cambio climático implementado</t>
  </si>
  <si>
    <t xml:space="preserve">Definición de situación actual del departamento en salud ambiental por problemáticas por cambio climático </t>
  </si>
  <si>
    <t>1803 - 2 - 3.2.2.2.9.0.0.0.19050155.91122 - 61</t>
  </si>
  <si>
    <t>Generar  espacios  intersectoriales para la implementación del plan de adaptación de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</si>
  <si>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</si>
  <si>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</si>
  <si>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</si>
  <si>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1803 - 2 - 3.2.2.2.9.0.0.0.19050243.91122 - 61</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</si>
  <si>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</si>
  <si>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</si>
  <si>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</si>
  <si>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Personas atendidas con campañas de gestión del riesgo para abordar situaciones de salud relacionadas con condiciones ambientales</t>
  </si>
  <si>
    <t>Educación y comunicación en la promoción de conocimientos, practicas y hábitos para la circulación y el transito seguro en la vía publica.</t>
  </si>
  <si>
    <t>1803 - 2 - 3.2.2.2.9.0.0.0.19050241.91122 - 61</t>
  </si>
  <si>
    <t xml:space="preserve">Intervención en los entornos de vivienda, educativo y comunitario con caracterización y análisis de actores involucrados, y factores de riesgo asociados a las comunidades en cuanto a  movilidad. </t>
  </si>
  <si>
    <t>202000363-0124</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</si>
  <si>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</si>
  <si>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</si>
  <si>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</si>
  <si>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</si>
  <si>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1803 - 2 - 3.2.2.2.9.0.0.0.19050212.91122 - 61</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</si>
  <si>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</si>
  <si>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</si>
  <si>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</si>
  <si>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</si>
  <si>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</si>
  <si>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</si>
  <si>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</si>
  <si>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</si>
  <si>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</si>
  <si>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</si>
  <si>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</si>
  <si>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</si>
  <si>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</si>
  <si>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</si>
  <si>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 xml:space="preserve">Realizar seguimiento y control a la realización del TSH neonatal  por parte de los Aseguradores y Prestadores , a todos los recién nacidos institucionalizados y no institucionalizados en el departamento del Quindío. </t>
  </si>
  <si>
    <t>1803 - 2 - 3.2.2.2.9.0.0.0.19050211.91122 - 61</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</si>
  <si>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</si>
  <si>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</si>
  <si>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Quindío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</si>
  <si>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</si>
  <si>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</si>
  <si>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</si>
  <si>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</si>
  <si>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</si>
  <si>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</si>
  <si>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</si>
  <si>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</si>
  <si>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</si>
  <si>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</si>
  <si>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</si>
  <si>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</si>
  <si>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</si>
  <si>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1803 - 2 - 3.2.2.2.9.0.0.0.1905020.91122 - 61</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</si>
  <si>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</si>
  <si>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</si>
  <si>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</si>
  <si>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</si>
  <si>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</si>
  <si>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1803 - 2 - 3.2.2.2.9.0.0.0.1905022.91122 - 61</t>
  </si>
  <si>
    <t>Seguimiento a la gestión del riesgo en los casos notificados por el SIVIGILA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</si>
  <si>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</si>
  <si>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</si>
  <si>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</si>
  <si>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Política pública en Salud Mental adaptada e Implementada  </t>
  </si>
  <si>
    <t xml:space="preserve">
190501501</t>
  </si>
  <si>
    <t>Articular las políticas públicas de reducción de la oferta y reducción de la demanda de sustancias psicoactivas licitas e ilícitas.</t>
  </si>
  <si>
    <t xml:space="preserve">Asesoría y asistencia Técnica para la formulación e implementación el los doce (12) municipios del Plan Integral de Drogas. (Plan Departamental de la Reducción del Consumo de Sustancias Psicoactivas SPA), en el marco de la política publica de salud mental </t>
  </si>
  <si>
    <t>1803 - 2 - 3.2.2.2.9.0.0.0.19050151.91122 - 61</t>
  </si>
  <si>
    <t xml:space="preserve">Realizar formulación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</si>
  <si>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</si>
  <si>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</si>
  <si>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</si>
  <si>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</si>
  <si>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</si>
  <si>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</si>
  <si>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</si>
  <si>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</si>
  <si>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</si>
  <si>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</si>
  <si>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</si>
  <si>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1803 - 2 - 3.2.2.2.9.0.0.0.1905023.91122 - 61</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</si>
  <si>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</si>
  <si>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</si>
  <si>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</si>
  <si>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implementación de la estrategia "CERS" ciudades entornos ruralistas saludables.</t>
  </si>
  <si>
    <t>Aumentar detección e identificación temprana de enfermedades crónicas</t>
  </si>
  <si>
    <t>Verificar el nivel de cumplimiento  de la ley 1335 de 2009 enfocada en espacios libres de humo</t>
  </si>
  <si>
    <t>1803 - 2 - 3.2.2.2.9.0.0.0.19050313.91122 - 61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</si>
  <si>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</si>
  <si>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</si>
  <si>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</si>
  <si>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202000363-0127</t>
  </si>
  <si>
    <t>Fortalecimiento de acciones de promoción, prevención y protección específica para la población infantil en el Departamento del Quindío.</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</si>
  <si>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</si>
  <si>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</si>
  <si>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</si>
  <si>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1803 - 2 - 3.2.2.2.9.0.0.0.1905012.91122 - 61</t>
  </si>
  <si>
    <t>Brindar asistencia técnica que garantice la cadena de frio, el manejo de biológicos y los demás insumos del programa PAI</t>
  </si>
  <si>
    <t>Realizar la consolidación de la información generada por el Programa Ampliado de Inmunizaciones</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</si>
  <si>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</si>
  <si>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</si>
  <si>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</si>
  <si>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</si>
  <si>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</si>
  <si>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1803 - 2 - 3.2.2.2.9.0.0.0.19050262.91122 - 61</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</si>
  <si>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</si>
  <si>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</si>
  <si>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</si>
  <si>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</si>
  <si>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verificación y cumplimiento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</si>
  <si>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</si>
  <si>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</si>
  <si>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</si>
  <si>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1803 - 2 - 3.2.2.2.9.0.0.0.1905027.91122 - 61</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</si>
  <si>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</si>
  <si>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</si>
  <si>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</si>
  <si>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Formulación e implementación del plan departamental en salud Ambiental de adaptación al cambio climático.</t>
  </si>
  <si>
    <t xml:space="preserve">
1905015</t>
  </si>
  <si>
    <t xml:space="preserve">
190501500</t>
  </si>
  <si>
    <t>202000363-0128</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</si>
  <si>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</si>
  <si>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</si>
  <si>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 transmisión endemo-epidemicas de las ETV</t>
  </si>
  <si>
    <t xml:space="preserve">Promover a nivel comunitario la tenencia responsable de animales de compañía y la promoción de la vacunación antirrábica. </t>
  </si>
  <si>
    <t>1803 - 2 - 3.2.2.2.9.0.0.0.19050156.91122 - 61</t>
  </si>
  <si>
    <t>61  - 111 - 20</t>
  </si>
  <si>
    <t xml:space="preserve">SGP SALUD PUBLICA - Res. 781/15 Prev. y Control Enfermedades por Vectores - Recurso Ordinario </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</si>
  <si>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</si>
  <si>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</si>
  <si>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</si>
  <si>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</si>
  <si>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</si>
  <si>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Disminuir en la propagación e intensificación de enfermedades transmisibles</t>
  </si>
  <si>
    <t>Realizar el monitoreo y evaluación a las acciones de gestión del riesgo, adherencia a guías y protocolos en las EAPB y Empresas Sociales del Estado</t>
  </si>
  <si>
    <t>1803 - 2 - 3.2.2.2.9.0.0.0.19050261.91122 - 61</t>
  </si>
  <si>
    <t>0318 - 2 - 3.2.2.2.9.0.0.0.19050264.91122 - 20</t>
  </si>
  <si>
    <t>1803 - 2 - 3.2.2.2.9.0.0.0.1905026.91122 - 111</t>
  </si>
  <si>
    <t xml:space="preserve">Res. 781/15 Prev. y Ccontrol Enfermedades por Vect </t>
  </si>
  <si>
    <t>Realizar inspección vigilancia y control de focos de reproducción de vectores en establecimientos de interés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</si>
  <si>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</si>
  <si>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adecuación al entorno.</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</si>
  <si>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</si>
  <si>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</si>
  <si>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</si>
  <si>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</si>
  <si>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Quindío.</t>
  </si>
  <si>
    <t>1803 - 2 - 3.2.2.2.9.0.0.0.1905014.91122 - 61</t>
  </si>
  <si>
    <t>61 - 113 - 114</t>
  </si>
  <si>
    <t>SGP SALUD PUBLICA - Res. 1029/16 Camp y Ccontrol Anti Tuberculosis Quindío - Res.1030/2016 Campaña Control Lepra Quindío</t>
  </si>
  <si>
    <t>Servicio de gestión del riesgo para enfermedades emergentes, reemergentes y desatendidas.</t>
  </si>
  <si>
    <t>Implementar campañas de prevención y atención integral en afectados por tuberculosis</t>
  </si>
  <si>
    <t>Realizar asistencia técnica y capacitaciones al personal asistencial de las IPS en el programa de tuberculosis y lepra en el departamento.</t>
  </si>
  <si>
    <t>1803 - 2 - 3.2.2.2.9.0.0.0.1905026.91122 - 113</t>
  </si>
  <si>
    <t>Res. 1029/16 Camp y Ccontrol Anti Tuberculosis Quindìo</t>
  </si>
  <si>
    <t>1803 - 2 - 3.2.2.2.9.0.0.0.1905026.91122 - 114</t>
  </si>
  <si>
    <t>Res.1030/2016 Campaña Control Lepra Quindìo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</si>
  <si>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</si>
  <si>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</si>
  <si>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</si>
  <si>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</si>
  <si>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</si>
  <si>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análisis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</si>
  <si>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</si>
  <si>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202000363-0130</t>
  </si>
  <si>
    <t xml:space="preserve">Implementación de acciones para la contención de la pandemia Tú y Yo contra COVID </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</si>
  <si>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</si>
  <si>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</si>
  <si>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</si>
  <si>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0318 - 2 - 3.2.2.2.9.0.0.0.19050263.91122 - 20</t>
  </si>
  <si>
    <t>20 - 88</t>
  </si>
  <si>
    <t>RECURSO ORDINARIO -SUPERAVIT RECURSO ORDINARIO</t>
  </si>
  <si>
    <t>Fortalecimiento del talento Humano para la verificación del cumplimiento de lineamientos expedidos para la emergencia</t>
  </si>
  <si>
    <t>Fortalecimiento de apoyo logístico, tecnológico, adquisición de equipos y mantenimiento para el afianzamiento de los procesos de Vigilancia, PRASS y vacunación.</t>
  </si>
  <si>
    <t>0318 - 2 - 3.2.2.2.9.0.0.0.19050263.91122 - 88</t>
  </si>
  <si>
    <t>Servicios de atención en salud pública en situaciones de emergencias y desastres</t>
  </si>
  <si>
    <t>Personas en capacidad de ser atendidas</t>
  </si>
  <si>
    <t>202000363-0131</t>
  </si>
  <si>
    <t xml:space="preserve"> Prevención, preparación, contingencia, mitigación y superación de emergencias y contingencias por eventos relacionados con la salud pública en el Departamento del Quindío.</t>
  </si>
  <si>
    <t>Coordinar acciones  para la gestión integral  del riesgo en  situaciones de emergencias y desastres  en las IPS y autoridad sanitaria del departamento</t>
  </si>
  <si>
    <t>Incrementar la Seguridad y capacidad de respuesta hospitalaria en momentos de emergencias y desastres</t>
  </si>
  <si>
    <t xml:space="preserve">Realizar verificación de la aplicación de protocolos y planes de emergencia hospitalaria a las eses publicas </t>
  </si>
  <si>
    <t>1803 - 2 - 3.2.2.2.9.0.0.0.1905030.91122 - 61</t>
  </si>
  <si>
    <t xml:space="preserve">Realizar seguimiento a factores de riesgo en las fuentes abastecedoras como tanques de abastecimiento de agua y manejo de residuos solidos en eventos de emergencias y desastres </t>
  </si>
  <si>
    <t>Servicio de gestión del riesgo para abordar situaciones prevalentes de origen laboral</t>
  </si>
  <si>
    <t>Campañas de gestión del riesgo para abordar situaciones prevalentes de origen laboral implementadas</t>
  </si>
  <si>
    <t>202000363-0132</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</si>
  <si>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</si>
  <si>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</si>
  <si>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</si>
  <si>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</si>
  <si>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1803 - 2 - 3.2.2.2.9.0.0.0.1905025.91122 - 61</t>
  </si>
  <si>
    <t xml:space="preserve">Realizar la Identificación, caracterización y capacitación de las mujeres trabajadoras y población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</si>
  <si>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</si>
  <si>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</si>
  <si>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categoría, del departamento del Quindío.</t>
  </si>
  <si>
    <t>Realizar asistencia técnica  a los prestadores de primer nivel, para verificar el cumplimiento del Sistema de Gestión de la Seguridad y Salud en el Trabajo.</t>
  </si>
  <si>
    <t xml:space="preserve">Documentos de planeación en epidemiología y demografía elaborados </t>
  </si>
  <si>
    <t>202000363-0133</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</si>
  <si>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</si>
  <si>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</si>
  <si>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</si>
  <si>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</si>
  <si>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1803 - 2 - 3.2.2.2.9.0.0.0.19050152.91122 - 61</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</si>
  <si>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</si>
  <si>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</si>
  <si>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</si>
  <si>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</si>
  <si>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</si>
  <si>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</si>
  <si>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</si>
  <si>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</si>
  <si>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</si>
  <si>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</si>
  <si>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</si>
  <si>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</si>
  <si>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</si>
  <si>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</si>
  <si>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</si>
  <si>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</si>
  <si>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</si>
  <si>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</si>
  <si>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</si>
  <si>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</si>
  <si>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0318 - 2 - 3.2.2.2.9.0.0.0.1905009.91122 - 20</t>
  </si>
  <si>
    <t xml:space="preserve">20 - 88 </t>
  </si>
  <si>
    <t>0318 - 2 - 3.2.2.2.9.0.0.0.1905009.91122 - 88</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</si>
  <si>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</si>
  <si>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</si>
  <si>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</si>
  <si>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</si>
  <si>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</si>
  <si>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</si>
  <si>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</si>
  <si>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</si>
  <si>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Aumentar la cobertura de las acciones de intervenciones colectivas</t>
  </si>
  <si>
    <t>Realizar intervenciones de manera integrada e integral en los diferentes entornos definidos en la norma</t>
  </si>
  <si>
    <t>1803 - 2 - 3.2.2.2.9.0.0.0.19050314.91122 - 61</t>
  </si>
  <si>
    <t xml:space="preserve">61 - 98 </t>
  </si>
  <si>
    <t>SGP SALUD PUBLICA - SUPERAVIT SGP SALUD PUBLICA</t>
  </si>
  <si>
    <t>1803 - 2 - 3.2.2.2.9.0.0.0.19050314.91122 - 98</t>
  </si>
  <si>
    <t>Superávit SGP salud pública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</si>
  <si>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</si>
  <si>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</si>
  <si>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</si>
  <si>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</si>
  <si>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</si>
  <si>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</si>
  <si>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 xml:space="preserve">Realizar acciones, intervenciones y procedimientos colectivos en fomento de la actividad física y la dieta sana </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</si>
  <si>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</si>
  <si>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</si>
  <si>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</si>
  <si>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</si>
  <si>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</si>
  <si>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Aumentar índices en los procesos de afiliación de la población en el Departamento</t>
  </si>
  <si>
    <t>Realizar acciones de promoción en las afiliaciones de la población en el sistema general de seguridad social en salud</t>
  </si>
  <si>
    <t>ADRES SIN SITUACION DE FONDOS</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</si>
  <si>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</si>
  <si>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</si>
  <si>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</si>
  <si>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</si>
  <si>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Gestión de recursos para cofinanciación de la afiliación a los municipios y lugares de afiliación. </t>
  </si>
  <si>
    <t>1801 - 2 - 3.3.1.2.0.0.0.0.19060232.91122.13 - 154</t>
  </si>
  <si>
    <t>Adres sin situación de fondos</t>
  </si>
  <si>
    <t>1801 - 2 - 3.3.1.2.0.0.0.0.19060232.91122.96 - 154</t>
  </si>
  <si>
    <t>1801 - 2 - 3.3.1.2.0.0.0.0.19060232.91122.167 - 154</t>
  </si>
  <si>
    <t>1801 - 2 - 3.3.1.2.0.0.0.0.19060232.91122.226 - 154</t>
  </si>
  <si>
    <t>1801 - 2 - 3.3.1.2.0.0.0.0.19060232.91122.233 - 154</t>
  </si>
  <si>
    <t>1801 - 2 - 3.3.1.2.0.0.0.0.19060232.91122.244 - 154</t>
  </si>
  <si>
    <t>1801 - 2 - 3.3.1.2.0.0.0.0.19060232.91122.284 - 154</t>
  </si>
  <si>
    <t>1801 - 2 - 3.3.1.2.0.0.0.0.19060232.91122.303 - 154</t>
  </si>
  <si>
    <t>1801 - 2 - 3.3.1.2.0.0.0.0.19060232.91122.372 - 154</t>
  </si>
  <si>
    <t>1801 - 2 - 3.3.1.2.0.0.0.0.19060232.91122.412 - 154</t>
  </si>
  <si>
    <t>1801 - 2 - 3.3.1.2.0.0.0.0.19060232.91122.470 - 154</t>
  </si>
  <si>
    <t>1801 - 2 - 3.3.1.2.0.0.0.0.19060232.91122.882 - 154</t>
  </si>
  <si>
    <t>Realizar auditorias a los procesos de régimen subsidiado en los 12 municipios, de acuerdo a lo establecido en la Circular 006 de 2011.</t>
  </si>
  <si>
    <t>Servicio de apoyo con tecnologías para prestación de servicios en salud</t>
  </si>
  <si>
    <t>Población inimputable atendida</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</si>
  <si>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</si>
  <si>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</si>
  <si>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</si>
  <si>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</si>
  <si>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</si>
  <si>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1802 - 2 - 3.2.2.2.9.0.0.0.19060231.91122 - 110</t>
  </si>
  <si>
    <t>Res.  971/2016 Programa Inimputables</t>
  </si>
  <si>
    <t>35 - 58 - 110 - 155 - 171</t>
  </si>
  <si>
    <t>RECURSOS DESTINADOS DEL MONOPOLIO - RENTAS CEDIDAS SALUD - RES. 971/2016/2016 PROGRAMA INIMPUTABLES - IVA CEDIDO SOBRE LICORES ART. 32 LEY 1816 - SUBSIDIO A LA OFERTA</t>
  </si>
  <si>
    <t>1804 - 2 - 3.2.2.2.9.0.0.0.19060231.91122 - 155</t>
  </si>
  <si>
    <t>IVA Cedido sobre Licores Art. 32 Ley 1816</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</si>
  <si>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</si>
  <si>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</si>
  <si>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</si>
  <si>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</si>
  <si>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Realizar el seguimiento, supervisión y los actos administrativos para la transferencia de los recursos mediante el cumplimiento de metas</t>
  </si>
  <si>
    <t>0318 - 2 - 3.3.5.9.45.0.0.0.19060252.71344 - 35</t>
  </si>
  <si>
    <t>Recursos destinados del Monopolio</t>
  </si>
  <si>
    <t>1802 - 2 - 3.3.5.9.45.0.0.0.019060252.91122 - 171</t>
  </si>
  <si>
    <t>Subsidio a la oferta</t>
  </si>
  <si>
    <t>Servicios de reconocimientos de deuda</t>
  </si>
  <si>
    <t>Porcentaje de recursos pagados</t>
  </si>
  <si>
    <t>Realizar los pagos de los servicios y tecnologías NO UPC del Régimen Subsidiado.</t>
  </si>
  <si>
    <t>1802 - 2 - 3.3.5.9.45.0.0.0.19060252.71344 - 58</t>
  </si>
  <si>
    <t>Rentas Cedidas Salud</t>
  </si>
  <si>
    <t>1802 - 2 - 3.3.5.9.45.0.0.0.19060251.71344 - 58</t>
  </si>
  <si>
    <t>0318 - 2 - 3.3.5.9.45.0.0.0.19060251.91122 - 91</t>
  </si>
  <si>
    <t>SUPERÁVIT MONOPOLIO DESTINADO</t>
  </si>
  <si>
    <t>1801 - 2 - 3.3.5.9.45.0.0.0.19060251.91122 - 191</t>
  </si>
  <si>
    <t>SUPERÁVIT RENTAS CEDIDAS SUBCUENTA RÉGIMEN SUBSIDIADO</t>
  </si>
  <si>
    <t>1802 - 2 - 3.3.5.9.45.0.0.0.19060251.91122 - 97</t>
  </si>
  <si>
    <t>SUPERÁVIT SGP SALUD PRESTACION DE SERVICIOS</t>
  </si>
  <si>
    <t>1802 - 2 - 3.3.5.9.45.0.0.0.19060251.91122 - 192</t>
  </si>
  <si>
    <t xml:space="preserve">SUPERÁVIT SGP SUBSIDIO DE LA OFERTA </t>
  </si>
  <si>
    <t>1802 - 2 - 3.3.5.9.45.0.0.0.19060251.91122 - 193</t>
  </si>
  <si>
    <t>SUPERÁVIT RENTAS CEDIDAS PRESTACIÓN DE SERVICIOS</t>
  </si>
  <si>
    <t>1802 - 2 - 3.3.5.9.45.0.0.0.19060251.91122 - 194</t>
  </si>
  <si>
    <t>SUPERÁVIT EXCEDENTES APORTES PATRONALES E.S.E DEL DPTO.</t>
  </si>
  <si>
    <t>1804 - 2 - 3.3.5.9.45.0.0.0.19060251.91122 - 96</t>
  </si>
  <si>
    <t>SUPERAVIT RENTAS CEDIDAS SALUD</t>
  </si>
  <si>
    <t>0318 - 2 - 3.3.5.9.45.0.0.0.19060251.71344 - 88</t>
  </si>
  <si>
    <t>SUPERAVIT RECURSO ORDINARIO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</si>
  <si>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</si>
  <si>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</si>
  <si>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</si>
  <si>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</si>
  <si>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</si>
  <si>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</si>
  <si>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</si>
  <si>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0318 - 2 - 3.2.2.2.9.0.0.0.1906029.91122 - 20</t>
  </si>
  <si>
    <t>RECURSOS ORDINARIO</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</si>
  <si>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</si>
  <si>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</si>
  <si>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</si>
  <si>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</si>
  <si>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</si>
  <si>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1804 - 2 - 3.2.2.2.9.0.0.0.1906029.91122 - 198</t>
  </si>
  <si>
    <t>Superavit fondo de salvamento y grant para la salud fonsaet</t>
  </si>
  <si>
    <t>1804 - 2 - 3.2.2.2.9.0.0.0.1906029.91122 - 180</t>
  </si>
  <si>
    <t>ministerio de salud res. 1616 de 2020 discapacidad</t>
  </si>
  <si>
    <t>Apoyo al seguimiento de afiliaciones al régimen contributivo del Sistema General de Seguridad Social de las personas con capacidad de pago</t>
  </si>
  <si>
    <t>0318 - 2 - 3.2.2.2.9.0.0.0.1906032.91122 - 20</t>
  </si>
  <si>
    <t>Hospitales de primer nivel de atención dotados</t>
  </si>
  <si>
    <t>Aumentar la eficiencia en recursos para la prestación de servicios de salud en el departamento</t>
  </si>
  <si>
    <t>Dotación a los Hospitales de primer nivel de atención dotados</t>
  </si>
  <si>
    <t>0318 - 2 - 3.2.1.1.3.6.1.0.1906005.48150 - 20</t>
  </si>
  <si>
    <t>Servicio de apoyo a la prestación del servicio de transporte de pacientes</t>
  </si>
  <si>
    <t>Entidades de la red pública en salud apoyadas en la adquisición de ambulancias</t>
  </si>
  <si>
    <t>Dotación ambulancias para la prestación del servicio de transporte de pacientes</t>
  </si>
  <si>
    <t>0318 - 2 - 3.2.1.1.3.7.1.0.1906022.49113 - 20</t>
  </si>
  <si>
    <t>Pacientes atendidos</t>
  </si>
  <si>
    <t>Pacientes atendidos con medicamentos en salud financiados con cargo a los recursos de la UPC del Régimen Subsidiado</t>
  </si>
  <si>
    <t>Dotación en servicio de apoyo con tecnologías para prestación de servicios en salud</t>
  </si>
  <si>
    <t>0318 - 2 - 3.2.2.2.9.0.0.0.19060231.91122 - 20</t>
  </si>
  <si>
    <t>SEGUIMIENTO PLAN DE ACCIÓN 
SECRETARIA DE EDUCACIÓN 
JUNIO 30 DE 2021</t>
  </si>
  <si>
    <t xml:space="preserve">Código:  </t>
  </si>
  <si>
    <t xml:space="preserve">Versión: </t>
  </si>
  <si>
    <t xml:space="preserve">Fecha: </t>
  </si>
  <si>
    <t>Pagina:</t>
  </si>
  <si>
    <t>PLAN DE DESARROLLO DEPARTAMENTAL: TÚ YO SOMOS QUINDIO 2020-2023</t>
  </si>
  <si>
    <t>FECHA DE TERMINACIÓN 
(dd/mm/aaaa)</t>
  </si>
  <si>
    <t>VALOR 
(EN PESOS)</t>
  </si>
  <si>
    <t xml:space="preserve">Víctimas </t>
  </si>
  <si>
    <t>Calidad, cobertura y fortalecimiento de la educación inicial, prescolar, básica y media." Tú y yo con educación y de calidad"</t>
  </si>
  <si>
    <t>2201030</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</si>
  <si>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</si>
  <si>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</si>
  <si>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</si>
  <si>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</si>
  <si>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</si>
  <si>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</si>
  <si>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</si>
  <si>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1404 - 2 - 3.2.2.2.9.0.0.0.2201030.92102 - 25</t>
  </si>
  <si>
    <t>SGP</t>
  </si>
  <si>
    <t xml:space="preserve">
25
81
20</t>
  </si>
  <si>
    <t xml:space="preserve">
SGP Educación
Transferencias de la nación por alimentación PAE
Ordinario</t>
  </si>
  <si>
    <t>Ana Maria Giraldo Martinez</t>
  </si>
  <si>
    <t>Secretaría de Educación</t>
  </si>
  <si>
    <t>1404 - 2 - 3.2.2.2.9.0.0.0.2201030.92200 - 25</t>
  </si>
  <si>
    <t>1404 - 2 - 3.2.2.2.9.0.0.0.2201030.92310 - 25</t>
  </si>
  <si>
    <t>1404 - 2 - 3.2.2.2.9.0.0.0.2201030.92330 - 25</t>
  </si>
  <si>
    <t>Servicio de fomento para la permanencia en programas de educación formal</t>
  </si>
  <si>
    <t>Personas beneficiarias de estrategias de permanencia</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</si>
  <si>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</si>
  <si>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</si>
  <si>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0314 - 2 - 3.2.2.2.9.0.0.0.2201033.92102 - 20</t>
  </si>
  <si>
    <t>0314 - 2 - 3.2.2.2.9.0.0.0.2201033.92200 - 20</t>
  </si>
  <si>
    <t>0314 - 2 - 3.2.2.2.9.0.0.0.2201033.92310 - 20</t>
  </si>
  <si>
    <t>0314 - 2 - 3.2.2.2.9.0.0.0.2201033.92330 - 20</t>
  </si>
  <si>
    <t>Servicio de alfabetización</t>
  </si>
  <si>
    <t xml:space="preserve">Personas beneficiarias con modelos de alfabetización </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</si>
  <si>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</si>
  <si>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</si>
  <si>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0314 - 2 - 3.2.2.2.9.0.0.0.2201032.92102 - 20</t>
  </si>
  <si>
    <t>0314 - 2 - 3.2.2.2.9.0.0.0.2201032.92200 - 20</t>
  </si>
  <si>
    <t>0314 - 2 - 3.2.2.2.9.0.0.0.2201032.92310 - 20</t>
  </si>
  <si>
    <t>0314 - 2 - 3.2.2.2.9.0.0.0.2201032.92330 - 20</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</si>
  <si>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</si>
  <si>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</si>
  <si>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 Fortalecer, los estándares mínimos de atención en el servicio educativo a la población en condición SRPA. </t>
  </si>
  <si>
    <t>1404 - 2 - 3.2.2.2.9.0.0.0.2201055.92200 - 25</t>
  </si>
  <si>
    <t>1404 - 2 - 3.2.2.2.9.0.0.0.2201055.92310 - 25</t>
  </si>
  <si>
    <t>1404 - 2 - 3.2.2.2.9.0.0.0.2201055.92330 - 25</t>
  </si>
  <si>
    <t>Servicio de apoyo para el fortalecimiento de escuelas de padres</t>
  </si>
  <si>
    <t>Escuelas de padres apoyadas</t>
  </si>
  <si>
    <t>* Fortalecer la conformación y la participación activa de las escuelas de padres en los Establecimientos Educativos Oficiales urbanos o rurales del Departamento del Quindío.</t>
  </si>
  <si>
    <t>0314 - 2 - 3.2.2.2.9.0.0.0.2201067.92102 - 20</t>
  </si>
  <si>
    <t>0314 - 2 - 3.2.2.2.9.0.0.0.2201067.92200 - 20</t>
  </si>
  <si>
    <t>0314 - 2 - 3.2.2.2.9.0.0.0.2201067.92310 - 20</t>
  </si>
  <si>
    <t>0314 - 2 - 3.2.2.2.9.0.0.0.2201067.92330 - 20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</si>
  <si>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</si>
  <si>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</si>
  <si>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</si>
  <si>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</si>
  <si>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1404 - 2 - 3.2.2.2.6.0.0.0.2201028.63320 - 81</t>
  </si>
  <si>
    <t>Transferencias de la nacion por alimentacion PAE</t>
  </si>
  <si>
    <t>0314 - 2 - 3.2.2.2.6.0.0.0.2201028.63320 - 20</t>
  </si>
  <si>
    <t>0314 - 2 - 3.2.2.2.6.0.0.0.2201028.63320 - 186</t>
  </si>
  <si>
    <t>Extracción minera</t>
  </si>
  <si>
    <t>1404 - 2 - 3.2.2.2.6.0.0.0.2201028.63320 - 137</t>
  </si>
  <si>
    <t>Superávit PAE Educación</t>
  </si>
  <si>
    <t>0314 - 2 - 3.2.2.2.6.0.0.0.2201028.63320 -88</t>
  </si>
  <si>
    <t>2201029</t>
  </si>
  <si>
    <t>Servicio de apoyo a la permanencia con transporte escolar</t>
  </si>
  <si>
    <t>Beneficiarios de transporte escolar</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</si>
  <si>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</si>
  <si>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0314 - 2 - 3.4.2.4.0.0.0.0.2201029.64114 - 20</t>
  </si>
  <si>
    <t>Infraestructura de Instituciones Educativas con procesos constructivos, mejorados, ampliados, mantenidos, y/o reforzados.</t>
  </si>
  <si>
    <t xml:space="preserve">Sedes mantenidas </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</si>
  <si>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</si>
  <si>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</si>
  <si>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0314 - 2 - 3.2.2.2.5.0.0.0.2201062.54129 - 20</t>
  </si>
  <si>
    <t>Estudios de preinversión</t>
  </si>
  <si>
    <t>Estudios o diseños realizados</t>
  </si>
  <si>
    <t>*Asistencia, seguimiento y elaboración de estudios de pre factibilidad, factibilidad y definitivos.</t>
  </si>
  <si>
    <t>0314 - 2 - 3.2.2.2.9.0.0.0.2201063.91121 - 20</t>
  </si>
  <si>
    <t>Infraestructura educativa dotada</t>
  </si>
  <si>
    <t>Sedes dotadas</t>
  </si>
  <si>
    <t>* Adquirir y dotar de Mobiliario Escolar los diferentes ambientes escolares de los Establecimientos Educativos Oficiales urbanos o rurales del Departamento del Quindío.</t>
  </si>
  <si>
    <t>1404 - 2 - 3.2.1.1.4.1.1.4.2201069.38111 - 21</t>
  </si>
  <si>
    <t>Rendimientos Financieros SGP Educación</t>
  </si>
  <si>
    <t>0314 - 2 - 3.2.1.1.4.1.1.4.2201069.38111 - 20</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</si>
  <si>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</si>
  <si>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</si>
  <si>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</si>
  <si>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</si>
  <si>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</si>
  <si>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</si>
  <si>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</si>
  <si>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0314 - 2 - 3.2.2.2.9.0.0.0.2201018.92102 - 20</t>
  </si>
  <si>
    <t>Servicio de atención integral para la primera infancia</t>
  </si>
  <si>
    <t>Instituciones educativas oficiales que implementan en nivel preescolar en el marco de la atención integral</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</si>
  <si>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</si>
  <si>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</si>
  <si>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0314 - 2 - 3.2.2.2.9.0.0.0.2201037.92102 - 20</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</si>
  <si>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</si>
  <si>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</si>
  <si>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</si>
  <si>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</si>
  <si>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</si>
  <si>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</si>
  <si>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 Acompañamiento a los Establecimientos Educativos Oficiales urbanos o rurales para la presentación de las  pruebas externas y la medición de la calidad educativa de los estudiantes.</t>
  </si>
  <si>
    <t>0314 - 2 - 3.2.2.2.9.0.0.0.2201073.92102 - 20</t>
  </si>
  <si>
    <t>Claudia Marcela Oviedo</t>
  </si>
  <si>
    <t>0314 - 2 - 3.2.2.2.9.0.0.0.2201073.92200 - 20</t>
  </si>
  <si>
    <t>0314 - 2 - 3.2.2.2.9.0.0.0.2201073.92310 - 20</t>
  </si>
  <si>
    <t>0314 - 2 - 3.2.2.2.9.0.0.0.2201073.92330 - 20</t>
  </si>
  <si>
    <t>1404 - 2 - 3.2.2.2.9.0.0.0.2201073.92330 - 189</t>
  </si>
  <si>
    <t>Superávit Rendimientos Financieros S.G.P. Educación</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</si>
  <si>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</si>
  <si>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</si>
  <si>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</si>
  <si>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0314 - 2 - 3.2.2.2.9.0.0.0.2201068.92102 - 20</t>
  </si>
  <si>
    <t>0314 - 2 - 3.2.2.2.9.0.0.0.2201068.92200 - 20</t>
  </si>
  <si>
    <t>0314 - 2 - 3.2.2.2.9.0.0.0.2201068.92310 - 20</t>
  </si>
  <si>
    <t>0314 - 2 - 3.2.2.2.9.0.0.0.2201068.92330 - 20</t>
  </si>
  <si>
    <t>2201026</t>
  </si>
  <si>
    <t>Servicio de acondicionamiento de ambientes de aprendizaje</t>
  </si>
  <si>
    <t>Ambientes de aprendizaje en funcionamiento</t>
  </si>
  <si>
    <t>* Fortalecimiento de la gestión educativa mediante la dotación de material didáctico, pedagógico,  y tecnológico para los Establecimientos Educativos Oficiales urbanos o rurales adscritos a la Secretaría de Educación Departamental.</t>
  </si>
  <si>
    <t>1404 - 2 - 3.2.2.1.3.0.0.0.2201026.32210 - 25</t>
  </si>
  <si>
    <t>1404 - 2 - 3.2.2.1.3.0.0.0.2201026.38350 - 25</t>
  </si>
  <si>
    <t>1404 - 2 - 3.2.2.1.3.0.0.0.2201026.38440 - 25</t>
  </si>
  <si>
    <t>1404 - 2 - 3.2.2.1.3.0.0.0.2201026.38590 - 25</t>
  </si>
  <si>
    <t>0314 - 2 - 3.2.2.1.3.0.0.0.2201026.32210 - 20</t>
  </si>
  <si>
    <t>0314 - 2 - 3.2.2.1.3.0.0.0.2201026.38350 - 20</t>
  </si>
  <si>
    <t>0314 - 2 - 3.2.2.1.3.0.0.0.2201026.38440 - 20</t>
  </si>
  <si>
    <t>0314 - 2 - 3.2.2.1.3.0.0.0.2201026.38590 - 20</t>
  </si>
  <si>
    <t>Servicio de fortalecimiento a las capacidades de los docentes de educación inicial, preescolar, básica y media</t>
  </si>
  <si>
    <t>Docentes de educación inicial, preescolar, básica y media beneficiados con estrategias de mejoramiento de sus capacidades</t>
  </si>
  <si>
    <t>Docentes y agentes educativos beneficiarios de Servicio de fortalecimiento a sus capacidades de acuerdo a los referentes nacionales</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</si>
  <si>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</si>
  <si>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0314 - 2 - 3.2.2.2.9.0.0.0.22010741.92102 - 20</t>
  </si>
  <si>
    <t>0314 - 2 - 3.2.2.2.9.0.0.0.22010741.92200 - 20</t>
  </si>
  <si>
    <t>0314 - 2 - 3.2.2.2.9.0.0.0.22010741.92310 - 20</t>
  </si>
  <si>
    <t>0314 - 2 - 3.2.2.2.9.0.0.0.22010741.92330 - 20</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</si>
  <si>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</si>
  <si>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</si>
  <si>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</si>
  <si>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0314 - 2 - 3.2.2.2.9.0.0.0.22010742.92102 - 20</t>
  </si>
  <si>
    <t>Servicio de articulación entre la educación media y en sector productivo.</t>
  </si>
  <si>
    <t xml:space="preserve">Programas y proyectos de educación pertinente articulados con el sector productivo </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</si>
  <si>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</si>
  <si>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</si>
  <si>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0314 - 2 - 3.2.2.2.9.0.0.0.2201035.92330 - 20</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</si>
  <si>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</si>
  <si>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</si>
  <si>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los Establecimientos Educativos Oficiales urbanos o rurales adscritos a la Secretaría de Educación Departamental.</t>
  </si>
  <si>
    <t>0314 - 2 - 3.2.2.2.9.0.0.0.2201046.92102 - 20</t>
  </si>
  <si>
    <t>0314 - 2 - 3.2.2.2.9.0.0.0.2201046.92200 - 20</t>
  </si>
  <si>
    <t>0314 - 2 - 3.2.2.2.9.0.0.0.2201046.92310 - 20</t>
  </si>
  <si>
    <t>0314 - 2 - 3.2.2.2.9.0.0.0.2201046.92330 - 20</t>
  </si>
  <si>
    <t>Servicio de fomento para la prevención de riesgos sociales en entornos escolares</t>
  </si>
  <si>
    <t>Entidades territoriales con estrategias para la prevención de riesgos sociales en los entornos escolares implementadas</t>
  </si>
  <si>
    <t>* Fortalecer las estrategias para la atención y prevención de riesgos sociales de los niños, niñas, adolescentes y jóvenes en los Establecimientos Educativos Oficiales urbanos o rurales del Departamento del Quindío.</t>
  </si>
  <si>
    <t>0314 - 2 - 3.2.2.2.9.0.0.0.2201054.92102 - 20</t>
  </si>
  <si>
    <t>0314 - 2 - 3.2.2.2.9.0.0.0.2201054.92200 - 20</t>
  </si>
  <si>
    <t>0314 - 2 - 3.2.2.2.9.0.0.0.2201054.92310 - 20</t>
  </si>
  <si>
    <t>0314 - 2 - 3.2.2.2.9.0.0.0.2201054.92330 - 20</t>
  </si>
  <si>
    <t>Servicio de apoyo a proyectos pedagógicos productivos</t>
  </si>
  <si>
    <t>Proyectos apoyados</t>
  </si>
  <si>
    <t>* Fortalecimiento de proyectos pedagógicos productivos de los Establecimientos Educativos Oficiales urbanos o rurales adscritos a la Secretaría de Educación Departamental.</t>
  </si>
  <si>
    <t>0314 - 2 - 3.2.2.2.9.0.0.0.2201061.92330 - 20</t>
  </si>
  <si>
    <t>Servicio de orientación vocacional</t>
  </si>
  <si>
    <t>Estudiantes vinculados a procesos de orientación vocacional</t>
  </si>
  <si>
    <t>* Fortalecimiento e implementación de estrategias que permitan identificar las posibles orientaciones vocacionales de los estudiantes para el ingreso a la educacion técnica, tecnológica, profesional ó su vida laboral.</t>
  </si>
  <si>
    <t>0314 - 2 - 3.2.2.2.9.0.0.0.2201066.92330 - 20</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</si>
  <si>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</si>
  <si>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</si>
  <si>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</si>
  <si>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</si>
  <si>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</si>
  <si>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</si>
  <si>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</si>
  <si>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0314 - 2 - 3.2.2.2.9.0.0.0.2201050.92102 - 20</t>
  </si>
  <si>
    <t>0314 - 2 - 3.2.2.2.9.0.0.0.2201050.92200 - 20</t>
  </si>
  <si>
    <t>0314 - 2 - 3.2.2.2.9.0.0.0.2201050.92310 - 20</t>
  </si>
  <si>
    <t>0314 - 2 - 3.2.2.2.9.0.0.0.2201050.92330 - 20</t>
  </si>
  <si>
    <t>Establecimientos educativos conectados a internet</t>
  </si>
  <si>
    <t>* Fortalecimiento de los servicios de conectividad de los Establecimientos Educativos Oficiales urbanos o rurales adscritos a la Secretaría de Educación Departamental.</t>
  </si>
  <si>
    <t>1404 - 2 - 3.2.2.2.9.0.0.0.2201050.92102 - 25</t>
  </si>
  <si>
    <t>1404 - 2 - 3.2.2.2.9.0.0.0.2201050.92200 - 25</t>
  </si>
  <si>
    <t>1404 - 2 - 3.2.2.2.9.0.0.0.2201050.92310 - 25</t>
  </si>
  <si>
    <t>1404 - 2 - 3.2.2.2.9.0.0.0.2201050.92330 - 25</t>
  </si>
  <si>
    <t>Documento para la planeación estratégica en TI</t>
  </si>
  <si>
    <t>Planes de Mejoramiento de los sistemas de información de las secretarías de educación implementados</t>
  </si>
  <si>
    <t>Documentos de planeación para la educación inicial, preescolar, básica y media emitidos</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</si>
  <si>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</si>
  <si>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</si>
  <si>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0314 - 2 - 3.2.2.2.9.0.0.0.22010011.92102 - 20</t>
  </si>
  <si>
    <t>0314 - 2 - 3.2.2.2.9.0.0.0.22010011.92200 - 20</t>
  </si>
  <si>
    <t>0314 - 2 - 3.2.2.2.9.0.0.0.22010011.92310 - 20</t>
  </si>
  <si>
    <t>0314 - 2 - 3.2.2.2.9.0.0.0.22010011.92330 - 20</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</si>
  <si>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</si>
  <si>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</si>
  <si>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</si>
  <si>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</si>
  <si>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0314 - 2 - 3.2.2.2.9.0.0.0.22010012.92102 - 20</t>
  </si>
  <si>
    <t>0314 - 2 - 3.2.2.2.9.0.0.0.22010012.92200 - 20</t>
  </si>
  <si>
    <t>0314 - 2 - 3.2.2.2.9.0.0.0.22010012.92310 - 20</t>
  </si>
  <si>
    <t>0314 - 2 - 3.2.2.2.9.0.0.0.22010012.92330 - 20</t>
  </si>
  <si>
    <t>Servicios de información en materia educativa</t>
  </si>
  <si>
    <t>Observatorio implementado</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</si>
  <si>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</si>
  <si>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</si>
  <si>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0314 - 2 - 3.2.2.2.9.0.0.0.2201048.92102 - 20</t>
  </si>
  <si>
    <t>0314 - 2 - 3.2.2.2.9.0.0.0.2201048.92200 - 20</t>
  </si>
  <si>
    <t>0314 - 2 - 3.2.2.2.9.0.0.0.2201048.92310 - 20</t>
  </si>
  <si>
    <t>0314 - 2 - 3.2.2.2.9.0.0.0.2201048.92330 - 20</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</si>
  <si>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</si>
  <si>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</si>
  <si>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</si>
  <si>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</si>
  <si>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</si>
  <si>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</si>
  <si>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</si>
  <si>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0314 - 2 - 3.2.2.2.9.0.0.0.22010341.92102 - 20</t>
  </si>
  <si>
    <t>0314 - 2 - 3.2.2.2.9.0.0.0.22010341.92200 - 20</t>
  </si>
  <si>
    <t>0314 - 2 - 3.2.2.2.9.0.0.0.22010341.92310 - 20</t>
  </si>
  <si>
    <t>0314 - 2 - 3.2.2.2.9.0.0.0.22010341.92330 - 20</t>
  </si>
  <si>
    <t>Servicios educativos de promoción del bilingüismo</t>
  </si>
  <si>
    <t>Instituciones educativas fortalecidas en competencias comunicativas en un segundo idioma</t>
  </si>
  <si>
    <t>* Fortalecimiento de estrategias que permitan la promoción del bilingüismo en los Establecimientos Educativos Oficiales urbanos o rurales adscritos a la Secretaría de Educación Departamental.</t>
  </si>
  <si>
    <t>0314 - 2 - 3.2.2.2.9.0.0.0.22010342.92102 - 20</t>
  </si>
  <si>
    <t>0314 - 2 - 3.2.2.2.9.0.0.0.22010342.92200 - 20</t>
  </si>
  <si>
    <t>0314 - 2 - 3.2.2.2.9.0.0.0.22010342.92310 - 20</t>
  </si>
  <si>
    <t>0314 - 2 - 3.2.2.2.9.0.0.0.22010342.92330 - 20</t>
  </si>
  <si>
    <t>Servicio educativo de promoción del bilingüismo para docentes</t>
  </si>
  <si>
    <t>Docentes beneficiados con estrategias de promoción del bilingüismo</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</si>
  <si>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</si>
  <si>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0314 - 2 - 3.2.2.2.9.0.0.0.2201060.92102 - 20</t>
  </si>
  <si>
    <t>0314 - 2 - 3.2.2.2.9.0.0.0.2201060.92200 - 20</t>
  </si>
  <si>
    <t>0314 - 2 - 3.2.2.2.9.0.0.0.2201060.92310 - 20</t>
  </si>
  <si>
    <t>0314 - 2 - 3.2.2.2.9.0.0.0.2201060.92330 - 20</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</si>
  <si>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</si>
  <si>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</si>
  <si>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</si>
  <si>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</si>
  <si>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</si>
  <si>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</si>
  <si>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</si>
  <si>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0314 - 2 - 3.2.2.2.9.0.0.0.2201006.92102 - 20</t>
  </si>
  <si>
    <t>20
25
26
35
91
88</t>
  </si>
  <si>
    <t xml:space="preserve">Ordinario
SGP Educación
SGP Educación
Recurso destinado del monopolio
Superávit recurso destinado del monopolio
Superávit Recurso Ordinario </t>
  </si>
  <si>
    <t>Arturo Andrés Londoño</t>
  </si>
  <si>
    <t>0314 - 2 - 3.2.2.2.9.0.0.0.2201006.92200 - 20</t>
  </si>
  <si>
    <t>0314 - 2 - 3.2.2.2.9.0.0.0.2201006.92310 - 20</t>
  </si>
  <si>
    <t>0314 - 2 - 3.2.2.2.9.0.0.0.2201006.92330 - 20</t>
  </si>
  <si>
    <t>Servicio de monitoreo y seguimiento a la gestión del sector educativo</t>
  </si>
  <si>
    <t>Entidades territoriales con seguimiento y evaluación a la gestión.</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</si>
  <si>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</si>
  <si>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</si>
  <si>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0314 - 2 - 3.2.2.2.9.0.0.0.2201015.92102 - 20</t>
  </si>
  <si>
    <t>0314 - 2 - 3.2.2.2.9.0.0.0.2201015.92200 - 20</t>
  </si>
  <si>
    <t>0314 - 2 - 3.2.2.2.9.0.0.0.2201015.92310 - 20</t>
  </si>
  <si>
    <t>0314 - 2 - 3.2.2.2.9.0.0.0.2201015.92330 - 20</t>
  </si>
  <si>
    <t>Servicios de atención psicosocial a estudiantes y docentes</t>
  </si>
  <si>
    <t xml:space="preserve">Personas atendidas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</si>
  <si>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</si>
  <si>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</si>
  <si>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0314 - 2 - 3.2.2.2.9.0.0.0.2201042.92102 - 20</t>
  </si>
  <si>
    <t>0314 - 2 - 3.2.2.2.9.0.0.0.2201042.92200 - 20</t>
  </si>
  <si>
    <t>0314 - 2 - 3.2.2.2.9.0.0.0.2201042.92310 - 20</t>
  </si>
  <si>
    <t>0314 - 2 - 3.2.2.2.9.0.0.0.2201042.92330 - 20</t>
  </si>
  <si>
    <t>2201071</t>
  </si>
  <si>
    <t>Servicio Educativo</t>
  </si>
  <si>
    <t>220107100</t>
  </si>
  <si>
    <t>Establecimientos educativos en operación</t>
  </si>
  <si>
    <t>54</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</si>
  <si>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</si>
  <si>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1401 - 2 - 3.1.1.1.1.1.0.0.2201071.91121 - 25</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</si>
  <si>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</si>
  <si>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</si>
  <si>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</si>
  <si>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</si>
  <si>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</si>
  <si>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</si>
  <si>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</si>
  <si>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</si>
  <si>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</si>
  <si>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</si>
  <si>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</si>
  <si>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</si>
  <si>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</si>
  <si>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</si>
  <si>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</si>
  <si>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</si>
  <si>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</si>
  <si>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</si>
  <si>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</si>
  <si>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</si>
  <si>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</si>
  <si>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</si>
  <si>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</si>
  <si>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</si>
  <si>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</si>
  <si>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</si>
  <si>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1402 - 2 - 3.1.1.2.4.0.0.0.2201071.91121 - 25</t>
  </si>
  <si>
    <t>1402 - 2 - 3.1.1.2.6.0.0.0.2201071.91121 - 25</t>
  </si>
  <si>
    <t>1402 - 2 - 3.1.1.2.7.0.0.0.2201071.91121 - 25</t>
  </si>
  <si>
    <t>1402 - 2 - 3.1.1.2.8.0.0.0.2201071.91121 - 25</t>
  </si>
  <si>
    <t>1402 - 2 - 3.1.1.2.9.0.0.0.2201071.91121 - 25</t>
  </si>
  <si>
    <t>1402 - 2 - 3.2.2.1.3.0.0.0.2201071.91121 - 25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</si>
  <si>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</si>
  <si>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</si>
  <si>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</si>
  <si>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</si>
  <si>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</si>
  <si>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</si>
  <si>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</si>
  <si>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</si>
  <si>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</si>
  <si>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</si>
  <si>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</si>
  <si>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</si>
  <si>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</si>
  <si>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</si>
  <si>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</si>
  <si>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1402 - 2 - 3.1.1.1.1.1.0.0.2201071.91121 - 26</t>
  </si>
  <si>
    <t>SGP E ducación</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</si>
  <si>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</si>
  <si>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</si>
  <si>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</si>
  <si>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</si>
  <si>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</si>
  <si>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</si>
  <si>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</si>
  <si>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</si>
  <si>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 xml:space="preserve">Superávit SGP Educación </t>
  </si>
  <si>
    <t>0314 - 2 - 3.2.2.2.9.0.0.0.2201071.91121 - 91</t>
  </si>
  <si>
    <t xml:space="preserve">Superávit Monopolio </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</si>
  <si>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</si>
  <si>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1400 - 2 - 3.1.1.1.1.1.0.0.2201071.91121 - 25</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</si>
  <si>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</si>
  <si>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</si>
  <si>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</si>
  <si>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</si>
  <si>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</si>
  <si>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</si>
  <si>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</si>
  <si>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</si>
  <si>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</si>
  <si>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</si>
  <si>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</si>
  <si>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</si>
  <si>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</si>
  <si>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</si>
  <si>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</si>
  <si>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</si>
  <si>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</si>
  <si>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</si>
  <si>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</si>
  <si>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</si>
  <si>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1400 - 2 - 3.2.2.1.3.0.0.0.2201071.35130 - 188</t>
  </si>
  <si>
    <t>Exigibles SGP</t>
  </si>
  <si>
    <t>Prestación del Servicio de Aseo y Vigilancia para las Establecimientos Educativos Oficiales del Departamento del Quindío.</t>
  </si>
  <si>
    <t>0314 - 2 - 3.2.2.2.9.0.0.0.2201071.92102 - 35</t>
  </si>
  <si>
    <t>Monopolio</t>
  </si>
  <si>
    <t>0314 - 2 - 3.2.2.2.9.0.0.0.2201071.92200 - 35</t>
  </si>
  <si>
    <t>0314 - 2 - 3.2.2.2.9.0.0.0.2201071.92310 - 35</t>
  </si>
  <si>
    <t>0314 - 2 - 3.2.2.2.9.0.0.0.2201071.92330 - 35</t>
  </si>
  <si>
    <t>0314 - 2 - 3.2.2.2.9.0.0.0.2201071.92200 - 91</t>
  </si>
  <si>
    <t>0314 - 2 - 3.2.2.2.9.0.0.0.2201071.92200 - 88</t>
  </si>
  <si>
    <t xml:space="preserve">Superávit Recuso Ordinario </t>
  </si>
  <si>
    <t>0314 - 2 - 3.2.2.2.9.0.0.0.2201071.92102 - 20</t>
  </si>
  <si>
    <t>0314 - 2 - 3.2.2.2.9.0.0.0.2201071.92200 - 20</t>
  </si>
  <si>
    <t>0314 - 2 - 3.2.2.2.9.0.0.0.2201071.92310 - 20</t>
  </si>
  <si>
    <t>0314 - 2 - 3.2.2.2.9.0.0.0.2201071.92330 - 20</t>
  </si>
  <si>
    <t>Adquisición de bienes y servicios relacionados con bioseguridad, elementos de protección personal, adecuaciones y acciones necesarias para cumplir con las medidas de bioseguridad entre otros para el regreso gradual, progresivo y seguro a la presencialidad en los establecimientos educativos bajo la implementación del esquema de alternancia.</t>
  </si>
  <si>
    <t>1404 - 2 - 3.2.2.2.9.0.0.0.2201071.92102 - 187</t>
  </si>
  <si>
    <t>Superávit transferencias nación FOME</t>
  </si>
  <si>
    <t>1404 - 2 - 3.2.2.2.9.0.0.0.2201071.92200 - 187</t>
  </si>
  <si>
    <t>1404 - 2 - 3.2.2.2.9.0.0.0.2201071.92310 - 187</t>
  </si>
  <si>
    <t>1404 - 2 - 3.2.2.2.9.0.0.0.2201071.92330 - 187</t>
  </si>
  <si>
    <t>Calidad y fomento de la Educación "Tu y yo preparados para la educación superior"</t>
  </si>
  <si>
    <t>Servicio de apoyo para el acceso y la permanencia a la educación superior o terciaria</t>
  </si>
  <si>
    <t>2202006</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</si>
  <si>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</si>
  <si>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</si>
  <si>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</si>
  <si>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</si>
  <si>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</si>
  <si>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</si>
  <si>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</si>
  <si>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0314 - 2 - 3.2.2.2.9.0.0.0.2202006.92330 - 20</t>
  </si>
  <si>
    <t>Generación de una cultura qué valora y gestiona en conocimiento y la innovación</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</si>
  <si>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</si>
  <si>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</si>
  <si>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</si>
  <si>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</si>
  <si>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</si>
  <si>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</si>
  <si>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</si>
  <si>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0314 - 2 - 3.2.2.2.9.0.0.0.3904006.92310 - 20</t>
  </si>
  <si>
    <t>0314 - 2 - 3.2.2.2.9.0.0.0.3904006.92330 - 20</t>
  </si>
  <si>
    <t xml:space="preserve">
SEGUIMIENTO PLAN DE ACCIÓN 
SECRETARIA DEL INTERIOR 
JUNIO 30/2021</t>
  </si>
  <si>
    <t>Promoción al acceso a la justicia."Tú y yo con justicia"</t>
  </si>
  <si>
    <t>Servicio de asistencia técnica para la articulación de los operadores de los Servicios de justicia</t>
  </si>
  <si>
    <t>202000363-0060</t>
  </si>
  <si>
    <t>Implementación  de acciones con los Entes Municipales, para la reducción de los delitos en el Departamento del Quindio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</si>
  <si>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</si>
  <si>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</si>
  <si>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</si>
  <si>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0309 - 2 - 3.2.2.2.9.0.0.0.12020041.91119 - 20</t>
  </si>
  <si>
    <t>Faber Riveros Nicholls</t>
  </si>
  <si>
    <t>Secretario del Interior</t>
  </si>
  <si>
    <t>0309 - 2 - 3.2.2.2.9.0.0.0.12020041.91119 - 88</t>
  </si>
  <si>
    <t xml:space="preserve">Superavit recurso ordinario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</si>
  <si>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</si>
  <si>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</si>
  <si>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</si>
  <si>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0309 - 2 - 3.2.2.2.6.0.0.0.12020042.63391 - 20</t>
  </si>
  <si>
    <t>Servicios de material impresos, publicaciones y/o   comunicaciones de los programas de lasentidades estatales</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</si>
  <si>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</si>
  <si>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</si>
  <si>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</si>
  <si>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</si>
  <si>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</si>
  <si>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</si>
  <si>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</si>
  <si>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</si>
  <si>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</si>
  <si>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</si>
  <si>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0309 - 2 - 3.2.2.2.9.0.0.0.1203002.91119 - 20</t>
  </si>
  <si>
    <t>0309 - 2 - 3.2.2.2.9.0.0.0.1203002.91119 - 88</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</si>
  <si>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</si>
  <si>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</si>
  <si>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</si>
  <si>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</si>
  <si>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</si>
  <si>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</si>
  <si>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</si>
  <si>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</si>
  <si>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</si>
  <si>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0309 - 2 - 3.2.2.2.9.0.0.0.1206005.91119 - 20</t>
  </si>
  <si>
    <t>Programas de fortalecimiento del Sistema de Responsabilidad Penal para adolescentes</t>
  </si>
  <si>
    <t>0309 - 2 - 3.2.2.1.3.0.0.0.1206005.32690 - 20</t>
  </si>
  <si>
    <t>0309 - 2 - 3.2.2.2.6.0.0.0.1206005.63391 - 20</t>
  </si>
  <si>
    <t>Logistica operativa (alimentación, material impreso, otros)</t>
  </si>
  <si>
    <t>202000363-0063</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</si>
  <si>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</si>
  <si>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</si>
  <si>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Generar conocimientos sobre los planes escolares de gestión del riesgo de desastres en las instituciones educativas</t>
  </si>
  <si>
    <t>Actualizacion de los planes escolares de gestion del riesgo</t>
  </si>
  <si>
    <t>0309 - 2 - 3.2.2.2.9.0.0.0.2201068.91119 - 20</t>
  </si>
  <si>
    <t>Cesar Augusto Jaramillo Duran</t>
  </si>
  <si>
    <t>0309 - 2 - 3.2.2.2.9.0.0.0.2201068.91119 - 88</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</si>
  <si>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</si>
  <si>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</si>
  <si>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</si>
  <si>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</si>
  <si>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</si>
  <si>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</si>
  <si>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</si>
  <si>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</si>
  <si>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</si>
  <si>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</si>
  <si>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</si>
  <si>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0309 - 2 - 3.2.2.2.9.0.0.0.4101023.91119 - 20</t>
  </si>
  <si>
    <t>Juana Camila Gomez Zamorano</t>
  </si>
  <si>
    <t>0309 - 2 - 3.2.2.2.9.0.0.0.4101023.91119 - 88</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</si>
  <si>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</si>
  <si>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</si>
  <si>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</si>
  <si>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0309 - 2 - 3.2.2.2.6.0.0.0.4101023.63391 - 20</t>
  </si>
  <si>
    <t>0309 - 2 - 3.2.2.2.6.0.0.0.4101023.63391 - 88</t>
  </si>
  <si>
    <t>Realizar jornadas de prevencion a vulneraciones de DDHH y DIH a victimas en los 12 municipios del Departamento</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</si>
  <si>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</si>
  <si>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</si>
  <si>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</si>
  <si>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0309 - 2 - 3.2.2.1.3.0.0.0.4101023.32690 - 20</t>
  </si>
  <si>
    <t>0309 - 2 - 3.2.2.1.9.0.0.0.4101023.91119 - 88</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</si>
  <si>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</si>
  <si>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</si>
  <si>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</si>
  <si>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</si>
  <si>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</si>
  <si>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0309 - 2 - 3.2.2.2.9.0.0.0.4101025.91119 - 20</t>
  </si>
  <si>
    <t>0309 - 2 - 3.2.2.2.9.0.0.0.4101025.91119 - 88</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</si>
  <si>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</si>
  <si>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</si>
  <si>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</si>
  <si>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</si>
  <si>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</si>
  <si>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</si>
  <si>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</si>
  <si>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0309 - 2 - 3.2.2.2.9.0.0.0.4101038.91119 - 20</t>
  </si>
  <si>
    <t>Garantias para Sesiones plenario mesa departamental de  victimas</t>
  </si>
  <si>
    <t xml:space="preserve">Apoyo al Plan de Trabajo de la mesa Departamental de Victimas </t>
  </si>
  <si>
    <t>0309 - 2 - 3.2.2.1.3.0.0.0.4101038.32690 - 20</t>
  </si>
  <si>
    <t>0309 - 2 - 3.2.2.2.6.0.0.0.4101038.63391 - 20</t>
  </si>
  <si>
    <t>0309 - 2 - 3.2.2.2.6.0.0.0.4101038.91119 - 88</t>
  </si>
  <si>
    <t xml:space="preserve">Procesos de articulación asistencia y atención a los municipios y su población víctima Sesiones de Comites y Subcomites </t>
  </si>
  <si>
    <t>0309 - 2 - 3.2.2.2.9.0.0.0.4101038.91119 - 88</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</si>
  <si>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</si>
  <si>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</si>
  <si>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</si>
  <si>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</si>
  <si>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</si>
  <si>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0309 - 2 - 3.5.1.4.0.0.0.0.4101073.44516 - 20</t>
  </si>
  <si>
    <t>0309 - 2 - 3.5.1.4.0.0.0.0.4101073.44198 - 88</t>
  </si>
  <si>
    <t>0309 - 2 - 3.5.1.4.0.0.0.0.4101073.44198 - 20</t>
  </si>
  <si>
    <t>0309 - 2 - 3.5.1.4.0.0.0.0.4101073.44516 - 88</t>
  </si>
  <si>
    <t>0309 - 2 - 3.5.1.4.0.0.0.0.4101073.44611 - 88</t>
  </si>
  <si>
    <t>0309 - 2 - 3.5.1.4.0.0.0.0.4101073.44611 - 20</t>
  </si>
  <si>
    <t>Servicio de asistencia técnica para la realización de iniciativas de memoria histórica</t>
  </si>
  <si>
    <t>Iniciativas de memoria histórica asistidas técnicamente</t>
  </si>
  <si>
    <t xml:space="preserve">Establecer planes para generr oportunidades para beneficiar a las victimas </t>
  </si>
  <si>
    <t xml:space="preserve">Apoyo a iniciativas que aportan a la memoria historica del departamento </t>
  </si>
  <si>
    <t>0309 - 2 - 3.2.2.1.3.0.0.0.4101011.32690 - 20</t>
  </si>
  <si>
    <t>0309 - 2 - 3.2.2.2.9.0.0.0.4101011.91119 - 88</t>
  </si>
  <si>
    <t>Conmemoracion de fechas de memoria Historica dentro del ambito de la Ley de victimas y restitucion de tierras</t>
  </si>
  <si>
    <t>0309 - 2 - 3.2.2.2.9.0.0.0.4101011.91119 - 20</t>
  </si>
  <si>
    <t>0309 - 2 - 3.2.2.2.6.0.0.0.4101011.63391 - 20</t>
  </si>
  <si>
    <t>Apoyo a municipios priorizados para reparacion colectiva.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</si>
  <si>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</si>
  <si>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</si>
  <si>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</si>
  <si>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</si>
  <si>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</si>
  <si>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Aumentar la cobertura de la población excombatiente atendida con procesos de atención y asistencia en el departamento del Quindío. </t>
  </si>
  <si>
    <t xml:space="preserve">1.Brindar atención a excombatientes del Departamento del Quindío                 2.Brindar capacitación a los excombatientes del
Departamento del Quindío
</t>
  </si>
  <si>
    <t>Atención y asistencia a la poblacion excombatiente del depto</t>
  </si>
  <si>
    <t>0309 - 2 - 3.2.2.1.3.0.0.0.41030522.32690 - 20</t>
  </si>
  <si>
    <t>0309 - 2 - 3.2.1.1.3.2.1.0.041030522.44198 - 20</t>
  </si>
  <si>
    <t>0309 - 2 - 3.2.2.2.9.0.0.0.41030522.91119 - 88</t>
  </si>
  <si>
    <t>Apoyo a la productividad de la poblacion excombatiente</t>
  </si>
  <si>
    <t>0309 - 2 - 3.2.2.2.9.0.0.0.41030522.91119 - 20</t>
  </si>
  <si>
    <t>0309 - 2 - 3.2.2.2.9.0.0.0.41030522.88901 - 20</t>
  </si>
  <si>
    <t>0309 - 2 - 3.2.2.1.4.0.0.0.41030522.44198 - 88</t>
  </si>
  <si>
    <t>0309 - 2 - 3.2.2.1.4.0.0.0.41030522.44611 - 88</t>
  </si>
  <si>
    <t>Jornadas de reconciliacion de la poblacion excombatiente de la sociedad del depto</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</si>
  <si>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</si>
  <si>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</si>
  <si>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</si>
  <si>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</si>
  <si>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 xml:space="preserve">Proyectos de convivencia y seguridad ciudadana apoyados financieramente </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</si>
  <si>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</si>
  <si>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</si>
  <si>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</si>
  <si>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</si>
  <si>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</si>
  <si>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0309 - 2 - 3.2.1.1.3.7.1.0.4501029.49119 - 42</t>
  </si>
  <si>
    <t>Fondo de seguridad  5%</t>
  </si>
  <si>
    <t>Fondo de Seguridad</t>
  </si>
  <si>
    <t>0309 - 2 - 3.2.1.1.3.7.1.0.4501029.49119 - 92</t>
  </si>
  <si>
    <t xml:space="preserve">Superávit Fondo de seguridad </t>
  </si>
  <si>
    <t>Suministro de combustible</t>
  </si>
  <si>
    <t>0309 - 2 - 3.2.2.1.3.0.0.0.4501029.33311 - 42</t>
  </si>
  <si>
    <t>Servicios de apoyo en procesos tecnológicos de seguridad en el departamento</t>
  </si>
  <si>
    <t>0309 - 2 - 3.2.2.2.9.0.0.0.4501029.91134 - 42</t>
  </si>
  <si>
    <t>0309 - 2 - 3.2.2.2.9.0.0.0.4501029.91134 - 92</t>
  </si>
  <si>
    <t>Servicios de apoyo para los procesos de adquisición de bienes y servicios con cargo a los organismos de seguridad del departamento</t>
  </si>
  <si>
    <t>0309 - 2 - 3.2.2.2.9.0.0.0.4501029.91119 - 42</t>
  </si>
  <si>
    <t>Servicios de orden social,  Control y Fiscalización de Sustancias Químicas y Estupefacientes en el departamento</t>
  </si>
  <si>
    <t>Pago fuentes humanas</t>
  </si>
  <si>
    <t>Adquisición de bienes y suministro, para material de intendencia y logística</t>
  </si>
  <si>
    <t>0309 - 2 - 3.2.2.1.3.0.0.0.4501029.32690 - 42</t>
  </si>
  <si>
    <t>Suminstro de Alimentación</t>
  </si>
  <si>
    <t>0309 - 2 - 3.2.2.2.6.0.0.0.4501029.63391 - 42</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</si>
  <si>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</si>
  <si>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</si>
  <si>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Financiación del proyecto de tecnología en seguridad</t>
  </si>
  <si>
    <t xml:space="preserve">Construcción, refacción y/o adecuación de guerniciones militares, estaciones de policía, centros carcelarios y/o centros transitorios de reclusión </t>
  </si>
  <si>
    <t>0309 - 2 - 3.2.2.2.9.0.0.0.4501029.91119 - 92</t>
  </si>
  <si>
    <t>Servicio de asistencia tecnica</t>
  </si>
  <si>
    <t>Instancias territoriales de coordinación institucional asistidas y apoyadas</t>
  </si>
  <si>
    <t>202000363-0068</t>
  </si>
  <si>
    <t xml:space="preserve">Fortalecimiento institucional de la entidades municipales para la cosolidación de la convivencia, el orden público  y la seguridad ciudadana  en el departamento del Quindío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</si>
  <si>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</si>
  <si>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</si>
  <si>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0309 - 2 - 3.2.2.2.9.0.0.0.4501001.91119 - 20</t>
  </si>
  <si>
    <t>0309 - 2 - 3.2.2.2.9.0.0.0.4501001.91119 - 88</t>
  </si>
  <si>
    <t>Servicios promocionales y publicitarios de promocion de la convivencia y seguridad ciudadana</t>
  </si>
  <si>
    <t>0309 - 2 - 3.2.2.2.6.0.0.0.4501001.63391 - 20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</si>
  <si>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</si>
  <si>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</si>
  <si>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</si>
  <si>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</si>
  <si>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</si>
  <si>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</si>
  <si>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</si>
  <si>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0309 - 2 - 3.2.2.2.9.0.0.0.3205002.91119 - 20</t>
  </si>
  <si>
    <t>0309 - 2 - 3.2.2.2.9.0.0.0.3205002.91119 - 88</t>
  </si>
  <si>
    <t>Elaboracion de informe que recopile  las areas vulnerables  identificadas en las visitas tecnicas realizadas</t>
  </si>
  <si>
    <t>Gestión del riesgo de desastres y emergencias."Tú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</si>
  <si>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</si>
  <si>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</si>
  <si>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</si>
  <si>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</si>
  <si>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</si>
  <si>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</si>
  <si>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0309 - 2 - 3.2.2.2.9.0.0.0.4503002.91119 - 20</t>
  </si>
  <si>
    <t>0309 - 2 - 3.2.2.2.9.0.0.0.4503002.91119 - 88</t>
  </si>
  <si>
    <t>Impresos y material didactico</t>
  </si>
  <si>
    <t>0309 - 2 - 3.2.2.1.3.0.0.0.4503002.32690 - 88</t>
  </si>
  <si>
    <t>Logistica y refrigerios para la organización de foros, talleres, eventos y/o actividades</t>
  </si>
  <si>
    <t>0309 - 2 - 3.2.2.2.6.0.0.0.4503002.63391 - 20</t>
  </si>
  <si>
    <t>0309 - 2 - 3.2.2.2.6.0.0.0.4503002.63391 - 88</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</si>
  <si>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</si>
  <si>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</si>
  <si>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</si>
  <si>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0309 - 2 - 3.2.1.1.3.5.2.0.4503003.47223 - 20</t>
  </si>
  <si>
    <t>0309 - 2 - 3.2.2.2.8.0.0.0.4503002.87155 - 88</t>
  </si>
  <si>
    <t>Apoyo en formación y capacitación de gestión del riesgo de desastres</t>
  </si>
  <si>
    <t>0309 - 2 - 3.2.2.2.9.0.0.0.4503003.91119 - 88</t>
  </si>
  <si>
    <t>Servicios para la Atención a PQRS y para el desarrollo de actividades y procesos de gestion del riesgo</t>
  </si>
  <si>
    <t>0309 - 2 - 3.2.2.2.9.0.0.0.4503003.91119 - 20</t>
  </si>
  <si>
    <t>0309 - 2 - 3.2.2.2.6.0.0.0.4503003.64112 - 20</t>
  </si>
  <si>
    <t>0309 - 2 - 3.2.2.2.6.0.0.0.4503003.9119 - 20</t>
  </si>
  <si>
    <t>Formacion y capacitacion en Gestión del Riesgo de Desastres al Sistema Departamental de Gestion del Riesgo de Desastres</t>
  </si>
  <si>
    <t>Apoyo y fortalecimiento a los Consejos Municipales de Gestión del Riesgo</t>
  </si>
  <si>
    <t>0309 - 2 - 3.2.2.2.7.0.0.0.4503003.72252 - 20</t>
  </si>
  <si>
    <t>0309 - 2 - 3.2.2.1.4.0.0.0.4503003.45221- 88</t>
  </si>
  <si>
    <t>0309 - 2 - 3.2.1.1.3.5.2.0.4503003.47223 - 88</t>
  </si>
  <si>
    <t>0309 - 2 - 3.2.2.1.3.0.0.0.4503003.33370 - 88</t>
  </si>
  <si>
    <t>Servicio de Transporte Terrestre</t>
  </si>
  <si>
    <t>0309 - 2 - 3.2.2.2.6.0.0.0.4503003.64112 - 88</t>
  </si>
  <si>
    <t>Apoyo y Fortalecimiento a las instituciones de socorro</t>
  </si>
  <si>
    <t>0309 - 2 - 3.2.2.2.8.0.0.0.4503003.86140 - 88</t>
  </si>
  <si>
    <t>ASuntos de orden público y seguridad</t>
  </si>
  <si>
    <t>0309 - 2 - 3.2.2.2.9.0.0.0.4503003.91290 - 88</t>
  </si>
  <si>
    <t>Apoyo con servicios de publicación y campañas de promocion para la difusion de los procesos de gestion del riesgo</t>
  </si>
  <si>
    <t>Apoyo y fortalecimiento al sistema de alertas tempranas en el departamento del QUindio</t>
  </si>
  <si>
    <t>0309 - 2 - 3.2.1.1.3.5.2.0.4503003.38999 - 20</t>
  </si>
  <si>
    <t>0309 - 2 - 3.2.2.1.4.0.0.0.4503003.46921 - 88</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</si>
  <si>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</si>
  <si>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</si>
  <si>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</si>
  <si>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</si>
  <si>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</si>
  <si>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 xml:space="preserve">Apoyo para la entrega de ayuda humanitaria </t>
  </si>
  <si>
    <t>0309 - 2 - 3.2.2.2.9.0.0.0.4503016.91119 - 20</t>
  </si>
  <si>
    <t>0309 - 2 - 3.2.2.1.3.0.0.0.4503016.32690 - 20</t>
  </si>
  <si>
    <t>0309 - 2 - 3.2.2.1.9.0.0.0.4503016.91290 - 20</t>
  </si>
  <si>
    <t>0309 - 2 - 3.2.2.2.9.0.0.0.4503016.91119 - 88</t>
  </si>
  <si>
    <t>Suministro de Ayuda  Humanitaria</t>
  </si>
  <si>
    <t>0309 - 2 - 3.2.2.2.9.0.0.0.4503016.91290 - 88</t>
  </si>
  <si>
    <t>Medidas implementadas en cumplimiento de las obligaciones internacionales en materia de Derechos Humanos y Derecho Internacional Humanitario</t>
  </si>
  <si>
    <t>202000363-0067</t>
  </si>
  <si>
    <t>Aumentar la cobertura de asistencia a los municipios del departamento de Quindío en los procesos de la garantía y prevención de derechos humanos a través de la actualización, imlementación y socialización en Plan Integral para la prevención a la vulneración de los DDHH.</t>
  </si>
  <si>
    <t>Promocionar y orientar a las personas del departamento en la apropiación de la paz en el territorio.</t>
  </si>
  <si>
    <t>Papeleria impresa</t>
  </si>
  <si>
    <t>0309 - 2 - 3.2.2.1.3.0.0.0.4502024.32690 - 20</t>
  </si>
  <si>
    <t>logistica y refrigerios</t>
  </si>
  <si>
    <t>0309 - 2 - 3.2.2.2.6.0.0.0.4502024.63391 - 20</t>
  </si>
  <si>
    <t xml:space="preserve">Actualización e implementación del plan integral de prevención de vulneración de DDHH  </t>
  </si>
  <si>
    <t>0309 - 2 - 3.2.2.2.9.0.0.0.4502024.91119 - 20</t>
  </si>
  <si>
    <t>0309 - 2 - 3.2.2.2.9.0.0.0.4502024.91119 - 88</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</si>
  <si>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</si>
  <si>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</si>
  <si>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</si>
  <si>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</si>
  <si>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</si>
  <si>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</si>
  <si>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</si>
  <si>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</si>
  <si>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</si>
  <si>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</si>
  <si>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</si>
  <si>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0309 - 2 - 3.2.2.2.9.0.0.0.45020016.91119 - 20</t>
  </si>
  <si>
    <t>0309 - 2 - 3.2.2.2.9.0.0.0.45020016.91119 - 88</t>
  </si>
  <si>
    <t>Servicios de apoyo a la operatividad del consejo de participación ciudadana</t>
  </si>
  <si>
    <t>0309 - 2 - 3.2.1.1.3.3.2.0.45020016.45221 - 20</t>
  </si>
  <si>
    <t xml:space="preserve">Celebración semana de participación </t>
  </si>
  <si>
    <t>0309 - 2 - 3.2.2.2.9.0.0.0.45020016.96290 - 20</t>
  </si>
  <si>
    <t>Apoyo en la realización de eventos para el  fortalecimiento a la participación ciudadana y control social</t>
  </si>
  <si>
    <t>Apoyar las Iniciativas para la promoción de la participación femenina en escenarios sociales y políticos implementada.</t>
  </si>
  <si>
    <t>Servicios de logistica, transporte, regrigerios y material impreso y de publicidad relacionado</t>
  </si>
  <si>
    <t>0309 - 2 - 3.2.2.1.3.0.0.0.45020016.32690 - 20</t>
  </si>
  <si>
    <t>0309 - 2 - 3.2.2.2.6.0.0.0.45020016.63391 - 20</t>
  </si>
  <si>
    <t>Servicios de Apoyo para eventos de formación y capacitación.</t>
  </si>
  <si>
    <t xml:space="preserve">Apoyo a estrategías y/o programas de promoción y fortalecimiento de la participación ciudadana </t>
  </si>
  <si>
    <t>0309 - 2 - 3.2.2.2.9.0.0.0.45020016.91119 -88</t>
  </si>
  <si>
    <t>Servicios de comunicación, publicación y difusion de los mecanismos de participacion</t>
  </si>
  <si>
    <t xml:space="preserve">Adquisición de equipos tecnológicos y/o muebles logísticos para el mejoramiento de la atención al ciudadano
</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</si>
  <si>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</si>
  <si>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</si>
  <si>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</si>
  <si>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</si>
  <si>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</si>
  <si>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0309 - 2 - 3.2.2.2.9.0.0.0.45020015.91119 - 20</t>
  </si>
  <si>
    <t>Desarrollar las actividades propias  de la implementación de la Política Pública de Libertad Religiosa, cultos y conciencia.</t>
  </si>
  <si>
    <t>Servicios de logistica, regrigerios y material impreso y de publicidad relacionado</t>
  </si>
  <si>
    <t>0309 - 2 - 3.2.2.1.3.0.0.0.45020015.32690 - 20</t>
  </si>
  <si>
    <t>0309 - 2 - 3.2.2.2.6.0.0.0.45020015.63391 - 20</t>
  </si>
  <si>
    <t>Fortalecimiento de los organismos  de acción comunal (OAC)  de los doce municipios del Departamento en lo relacionado a sus procesos formativos, participativos, de organización y  gestión.</t>
  </si>
  <si>
    <t xml:space="preserve">Servicio de promoción a la participación ciudadana </t>
  </si>
  <si>
    <t>Municipos con organismos de acción comunal fortalecidos.</t>
  </si>
  <si>
    <t xml:space="preserve">Iniciativas organizativas de participación ciudadana promovidas </t>
  </si>
  <si>
    <t>Servicios como apoyo al fortalecimiento de los organismos  comunales</t>
  </si>
  <si>
    <t>0309 - 2 - 3.2.2.2.9.0.0.0.45020013.91119 - 20</t>
  </si>
  <si>
    <t>0309 - 2 - 3.2.2.2.9.0.0.0.45020013.91119 - 88</t>
  </si>
  <si>
    <t xml:space="preserve">Apoyo a eventos de carácter municipal, departamental   nacional y   Celebración día comunal
</t>
  </si>
  <si>
    <t>0309 - 2 - 3.2.2.2.6.0.0.0.45020013.63391 - 20</t>
  </si>
  <si>
    <t>Desarrollo de actividades de formación y capacitación</t>
  </si>
  <si>
    <t xml:space="preserve">Material pedagogíco y/o .promocional </t>
  </si>
  <si>
    <t>Actividades de promoción, fortalecimiento, desarrollo de proyectos y participación de la Organización Comunal</t>
  </si>
  <si>
    <t>0309 - 2 - 3.2.2.2.6.0.0.0.45020013.91119 - 88</t>
  </si>
  <si>
    <t xml:space="preserve">Formulación de la  Política Pública Departamental para la  Acción Comunal </t>
  </si>
  <si>
    <t>Una Política Pública formulada.</t>
  </si>
  <si>
    <t xml:space="preserve">Planes estratégicos elaborados </t>
  </si>
  <si>
    <t>Fortalecimiento en la estructuración de políticas, programas, legislación, proyectos sociales y desarrollo comunitario.</t>
  </si>
  <si>
    <t xml:space="preserve">Apoyo en la formulación de la  Política Pública Departamental para la  Acción Comunal </t>
  </si>
  <si>
    <t>0309 - 2 - 3.2.2.2.9.0.0.0.4502035.91119 - 20</t>
  </si>
  <si>
    <t>0309 - 2 - 3.2.2.2.9.0.0.0.4502035.91119 - 88</t>
  </si>
  <si>
    <t xml:space="preserve">Material pedagogíco y/o promocional </t>
  </si>
  <si>
    <t>0309 - 2 - 3.2.2.1.3.0.0.0.4502035.32690 - 20</t>
  </si>
  <si>
    <t xml:space="preserve">Servicios de Apoyo para eventos de formación, capacitación, formulación y/o implementación de la  política publica 
</t>
  </si>
  <si>
    <t>0316 - 2 - 3.2.2.2.6.0.0.0.41030602.64119 - 20</t>
  </si>
  <si>
    <t>0316 - 2 - 3.2.2.2.7.0.0.0.41030521.73290 - 88</t>
  </si>
  <si>
    <t>0316 - 2 - 3.2.2.2.7.0.0.0.4104015.73290 - 20</t>
  </si>
  <si>
    <t>0316 - 2 - 3.2.2.2.6.0.0.0.45020381.63391 - 20</t>
  </si>
  <si>
    <t>SEGUIMIENTO PLAN DE ACCIÓN 
INDEPORTES
A JUNIO 30 DE 2021</t>
  </si>
  <si>
    <t>VALOR ACTIVIDAD
(EN PESOS )</t>
  </si>
  <si>
    <t>PRESUPUESTO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</si>
  <si>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</si>
  <si>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</si>
  <si>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</si>
  <si>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</si>
  <si>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</si>
  <si>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Quindío</t>
  </si>
  <si>
    <t>2.3.2.02.02.009.4301007_5</t>
  </si>
  <si>
    <t>30 % CIGARRILLO</t>
  </si>
  <si>
    <t>DORIS JUDITH LOPEZ MARTINEZ</t>
  </si>
  <si>
    <t>2.3.2.02.02.009.4301007_25</t>
  </si>
  <si>
    <t>CIGARRILLOS 30% R.B 2020</t>
  </si>
  <si>
    <t xml:space="preserve">Adquisicion de bienes y/o servicios para el fortalecimiento y desarrollo de los procesos de formacion deportiva </t>
  </si>
  <si>
    <t>2.3.2.02.01.003.4301007_28</t>
  </si>
  <si>
    <t>TASA PRODEPORTE</t>
  </si>
  <si>
    <t>Brindar apoyo y/o seguimiento  a los procesos de formación promoviendo y fortaleciendo hacia el deporte competitivo "escuelas deportivas" como herramienta de convivencia y paz en el departamento</t>
  </si>
  <si>
    <t>2.3.2.02.02.009.4301007_7</t>
  </si>
  <si>
    <t>MINISTERIO</t>
  </si>
  <si>
    <t>2.3.2.02.02.009.4301007_28</t>
  </si>
  <si>
    <t>2.3.2.02.02.009.4301007_12</t>
  </si>
  <si>
    <t>MONOPOLIO</t>
  </si>
  <si>
    <t>Dotación y/o implementación  al programa escuelas deportivas,  Generando una cultura deportiva en la comunidad mediante procesos formativos dirigidos a niños, niñas, adolescentes y jóvenes.</t>
  </si>
  <si>
    <t>2.3.2.01.01.004.01.03.4301007_12</t>
  </si>
  <si>
    <t>2.3.2.01.01.004.01.03.4301007_28</t>
  </si>
  <si>
    <t>2.3.2.02.01.003.4301007_7</t>
  </si>
  <si>
    <t>2.3.2.01.01.004.01.03.4301007_7</t>
  </si>
  <si>
    <t>Servicio de promoción de la actividad física, la recreación y el deporte</t>
  </si>
  <si>
    <t>Municipios vinculados al programa Supérate-Intercolegiados</t>
  </si>
  <si>
    <t>Promover a los  niños, niñas, adolescentes y jóvenes para realizar actividades físicas y deportivas</t>
  </si>
  <si>
    <t>Brindar apoyo y Acompañamiento al fomento y promoción del programa supérate -Intercolegiados en sus diferentes fases departamental y nacional.</t>
  </si>
  <si>
    <t>2.3.2.02.02.009.4301037_12</t>
  </si>
  <si>
    <t>2.3.2.02.02.009.4301037_24</t>
  </si>
  <si>
    <t>CIGARRILLOS 70% R.B 2020</t>
  </si>
  <si>
    <t>2.3.2.02.02.009.4301037_7</t>
  </si>
  <si>
    <t>Adquisición de bienes y servicios  al programa supérate -Intercolegiados  con el fin generar espacios para el aprovechamiento adecuado del tiempo libre</t>
  </si>
  <si>
    <t>2.3.2.02.01.003.4301037_12</t>
  </si>
  <si>
    <t>2.3.2.02.01.003.4301037_7</t>
  </si>
  <si>
    <t>Dotación y/o implantación deportiva para promoción al programa supérate -Intercolegiados.</t>
  </si>
  <si>
    <t>2.3.2.01.01.004.01.03.4301037_7</t>
  </si>
  <si>
    <t>Municipios implementando  programas de recreación, actividad física y deporte social comunitario</t>
  </si>
  <si>
    <t>Crear nuevos programas de actividad física y hábitos saludables de vida</t>
  </si>
  <si>
    <t>Brindar apoyo y/o seguimiento a los programas de recreación, actividad física y deporte social comunitario</t>
  </si>
  <si>
    <t>2.3.2.02.02.009.4301037_4</t>
  </si>
  <si>
    <t>ICLD</t>
  </si>
  <si>
    <t>2.3.2.02.02.009.4301037_28</t>
  </si>
  <si>
    <t>2.3.2.02.02.009.4301037_21</t>
  </si>
  <si>
    <t>IPOCONSUMO R.B 2020</t>
  </si>
  <si>
    <t>2.3.2.02.02.009.4301037_3</t>
  </si>
  <si>
    <t>IPOCONSUMO</t>
  </si>
  <si>
    <t xml:space="preserve">Dotación y/o implementación para el Fomento a la recreación, la actividad física y el deporte. </t>
  </si>
  <si>
    <t>2.3.2.02.01.003.4301037_28</t>
  </si>
  <si>
    <t>2.3.2.01.01.004.01.03.4301037_28</t>
  </si>
  <si>
    <t>2.3.2.01.01.004.01.03.4301037_12</t>
  </si>
  <si>
    <t>Adquisición de bienes y servicios  a los programas de recreación, actividad física y deporte social comunitario</t>
  </si>
  <si>
    <t>2.3.2.02.01.003.4301037_9</t>
  </si>
  <si>
    <t>RENDIMIENTOS FINANCIEROS</t>
  </si>
  <si>
    <t>2.3.2.02.01.003.4301037_3</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</si>
  <si>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</si>
  <si>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</si>
  <si>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</si>
  <si>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</si>
  <si>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Crear nuevos instrumentos de planificación para la formulación de la política publica</t>
  </si>
  <si>
    <t>Formulación, implementación y seguimiento a la política pública para el desarrollo y acceso al deporte, la recreación, la actividad física, la educación física y el uso adecuado del tiempo libre</t>
  </si>
  <si>
    <t>2.3.2.02.02.009.4301006_3</t>
  </si>
  <si>
    <t>2.3.2.02.02.009.4301006_12</t>
  </si>
  <si>
    <t>Servicios Logísticos, alimentos (Almuerzos y refrigerios) y/o suministro de papelería</t>
  </si>
  <si>
    <t>2.3.2.02.01.003.4301006_3</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</si>
  <si>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</si>
  <si>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</si>
  <si>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</si>
  <si>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 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</si>
  <si>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</si>
  <si>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</si>
  <si>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</si>
  <si>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2.3.2.02.02.009.4302075_4</t>
  </si>
  <si>
    <t>DAVID ROJAS</t>
  </si>
  <si>
    <t>2.3.2.02.02.009.4302075_28</t>
  </si>
  <si>
    <t>2.3.2.02.02.009.4302075_22</t>
  </si>
  <si>
    <t>MONOPOLIO R.B 2020</t>
  </si>
  <si>
    <t>2.3.2.02.02.009.4302075_21</t>
  </si>
  <si>
    <t>IPONCONSUMO R.B 2020</t>
  </si>
  <si>
    <t>2.3.2.02.02.009.4302075_3</t>
  </si>
  <si>
    <t>Brindar asistencia  técnica, administrativa, jurídica, biomédica,   y/o metodológica a los procesos deportivos y/o  ligas  del departamento del Quindío.</t>
  </si>
  <si>
    <t>2.3.2.02.02.009.4302075_24</t>
  </si>
  <si>
    <t>2.3.2.02.02.009.4302075_26</t>
  </si>
  <si>
    <t>CIGARRILLOS 70% R.B 2021</t>
  </si>
  <si>
    <t>2.3.2.02.02.009.4302075_12</t>
  </si>
  <si>
    <t>Dotación y/o implementación deportiva para el desarrollo del deporte  con proyección a altos logros.</t>
  </si>
  <si>
    <t>2.3.2.01.01.004.01.03.4302075_4</t>
  </si>
  <si>
    <t>2.3.2.01.01.004.01.03.4302075_28</t>
  </si>
  <si>
    <t>2.3.2.02.01.003.4302075_28</t>
  </si>
  <si>
    <t>2.3.2.01.01.004.01.03.4302075_23</t>
  </si>
  <si>
    <t xml:space="preserve"> 1% ICLD R.B 2020</t>
  </si>
  <si>
    <t>2.3.2.02.01.003.4302075_12</t>
  </si>
  <si>
    <t>Aunar esfuerzos administrativos, técnicos, financieros y/o logísticos, para el fomento y la masificación del deporte en el departamento del Quindío</t>
  </si>
  <si>
    <t>2.3.2.02.01.003.4302075_3</t>
  </si>
  <si>
    <t xml:space="preserve">Suministro de suplementos ergonomicos y/o alimentos para los deportistas elites y con proyeccion a altos logros con el fin de fortalecer y/o mejorar su rendimiento deportivo </t>
  </si>
  <si>
    <t>2.3.2.02.02.007.4302075_28</t>
  </si>
  <si>
    <t xml:space="preserve">Campañas de publicidad y promoción para el posicionamiento del deporte competitivo y de altos logros </t>
  </si>
  <si>
    <t>2.3.2.02.02.009.4302075_23</t>
  </si>
  <si>
    <t>Adquisición de bienes y/o servicios para el fortalecimiento del deporte competitivo y de altos logros</t>
  </si>
  <si>
    <t>2.3.2.02.01.007.4302075_24</t>
  </si>
  <si>
    <t>2.3.2.02.02.007.4302075_23</t>
  </si>
  <si>
    <t>Servicio de organización de eventos deportivos de alto rendimiento</t>
  </si>
  <si>
    <t>Juegos Deportivos Realizados</t>
  </si>
  <si>
    <t>Eventos deportivos de alto rendimiento con sede en Colombia realizados</t>
  </si>
  <si>
    <t xml:space="preserve">Desarrollo de los  XXII JUEGOS DEPORTIVOS NACIONALES Y VI JUEGOS PARANACIONALES   2023 en el Departamento </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</si>
  <si>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</si>
  <si>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Aumentar la asignación de recursos para el deporte formativo y competitivo</t>
  </si>
  <si>
    <t xml:space="preserve">Seguimiento y evaluación a los   procesos deportivos con proyección a altos logros y el estado de la infraestructura deportiva y/o recreativa con miras al desarrollo de los  XXII juegos deportivos nacionales y VI juegos Paranacionales   2023 </t>
  </si>
  <si>
    <t>2.3.2.02.02.009.4302004_4</t>
  </si>
  <si>
    <t>2.3.2.02.02.009.4302004_23</t>
  </si>
  <si>
    <t>Lanzamiento de los  XXII JUEGOS DEPORTIVOS NACIONALES Y VI JUEGOS PARANACIONALES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</si>
</sst>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0_-;\-* #,##0_-;_-* &quot;-&quot;_-;_-@_-"/>
    <numFmt numFmtId="43" formatCode="_-* #,##0.00_-;\-* #,##0.00_-;_-* &quot;-&quot;??_-;_-@_-"/>
    <numFmt numFmtId="164" formatCode="&quot;$&quot;\ #,##0.00_);[Red]\(&quot;$&quot;\ #,##0.00\)"/>
    <numFmt numFmtId="165" formatCode="_(&quot;$&quot;\ * #,##0_);_(&quot;$&quot;\ * \(#,##0\);_(&quot;$&quot;\ * &quot;-&quot;_);_(@_)"/>
    <numFmt numFmtId="166" formatCode="_(&quot;$&quot;\ * #,##0.00_);_(&quot;$&quot;\ * \(#,##0.00\);_(&quot;$&quot;\ * &quot;-&quot;??_);_(@_)"/>
    <numFmt numFmtId="167" formatCode="_(* #,##0.00_);_(* \(#,##0.00\);_(* &quot;-&quot;??_);_(@_)"/>
    <numFmt numFmtId="168" formatCode="_ [$€-2]\ * #,##0.00_ ;_ [$€-2]\ * \-#,##0.00_ ;_ [$€-2]\ * &quot;-&quot;??_ "/>
    <numFmt numFmtId="169" formatCode="dd/mm/yyyy;@"/>
    <numFmt numFmtId="170" formatCode="&quot;$&quot;\ #,##0"/>
    <numFmt numFmtId="171" formatCode="0.0"/>
    <numFmt numFmtId="172" formatCode="_-&quot;$&quot;\ * #,##0.00_-;\-&quot;$&quot;\ * #,##0.00_-;_-&quot;$&quot;\ * &quot;-&quot;_-;_-@_-"/>
    <numFmt numFmtId="173" formatCode="00"/>
    <numFmt numFmtId="174" formatCode="_-&quot;$&quot;\ * #,##0.00_-;\-&quot;$&quot;\ * #,##0.00_-;_-&quot;$&quot;\ * &quot;-&quot;??_-;_-@_-"/>
    <numFmt numFmtId="175" formatCode="_-* #,##0.00_-;\-* #,##0.00_-;_-* &quot;-&quot;_-;_-@_-"/>
    <numFmt numFmtId="176" formatCode="d/mm/yyyy;@"/>
    <numFmt numFmtId="177" formatCode="&quot;$&quot;\ #,##0.00;[Red]\-&quot;$&quot;\ #,##0.00"/>
    <numFmt numFmtId="178" formatCode="&quot;$&quot;\ #,##0;[Red]\-&quot;$&quot;\ #,##0"/>
    <numFmt numFmtId="179" formatCode="_([$$-240A]\ * #,##0.00_);_([$$-240A]\ * \(#,##0.00\);_([$$-240A]\ * &quot;-&quot;??_);_(@_)"/>
    <numFmt numFmtId="180" formatCode="&quot;$&quot;\ #,##0.00"/>
    <numFmt numFmtId="181" formatCode="&quot;$&quot;#,##0.00"/>
    <numFmt numFmtId="182" formatCode="dd/mm/yy;@"/>
    <numFmt numFmtId="183" formatCode="0.0%"/>
    <numFmt numFmtId="184" formatCode="_(&quot;$&quot;\ * #,##0.000_);_(&quot;$&quot;\ * \(#,##0.000\);_(&quot;$&quot;\ * &quot;-&quot;??_);_(@_)"/>
    <numFmt numFmtId="185" formatCode="_-&quot;$&quot;\ * #,##0_-;\-&quot;$&quot;\ * #,##0_-;_-&quot;$&quot;\ * &quot;-&quot;_-;_-@_-"/>
    <numFmt numFmtId="186" formatCode="#,##0.0"/>
    <numFmt numFmtId="187" formatCode="_-* #,##0.000000_-;\-* #,##0.000000_-;_-* &quot;-&quot;_-;_-@_-"/>
    <numFmt numFmtId="188" formatCode="#,##0;[Red]#,##0"/>
  </numFmts>
  <fonts count="39"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sz val="12"/>
      <color theme="1"/>
      <name val="Arial"/>
      <family val="2"/>
    </font>
    <font>
      <b/>
      <sz val="9"/>
      <name val="Calibri"/>
      <family val="2"/>
      <scheme val="minor"/>
    </font>
    <font>
      <b/>
      <sz val="10"/>
      <name val="Arial"/>
      <family val="2"/>
    </font>
    <font>
      <sz val="11"/>
      <color indexed="8"/>
      <name val="Calibri"/>
      <family val="2"/>
    </font>
    <font>
      <b/>
      <sz val="11"/>
      <color indexed="8"/>
      <name val="Arial"/>
      <family val="2"/>
    </font>
    <font>
      <sz val="12"/>
      <name val="Arial"/>
      <family val="2"/>
    </font>
    <font>
      <sz val="12"/>
      <color rgb="FF000000"/>
      <name val="Arial"/>
      <family val="2"/>
    </font>
    <font>
      <sz val="10"/>
      <color theme="1"/>
      <name val="Arial"/>
      <family val="2"/>
    </font>
    <font>
      <b/>
      <sz val="12"/>
      <color indexed="8"/>
      <name val="Arial"/>
      <family val="2"/>
    </font>
    <font>
      <b/>
      <sz val="11"/>
      <color theme="1"/>
      <name val="Arial"/>
      <family val="2"/>
    </font>
    <font>
      <sz val="10"/>
      <name val="Arial"/>
      <family val="2"/>
    </font>
    <font>
      <sz val="11"/>
      <color rgb="FF444444"/>
      <name val="Calibri"/>
      <family val="2"/>
      <scheme val="minor"/>
    </font>
    <font>
      <b/>
      <sz val="12"/>
      <color rgb="FF212121"/>
      <name val="Arial"/>
      <family val="2"/>
    </font>
    <font>
      <sz val="12"/>
      <color rgb="FF212121"/>
      <name val="Arial"/>
      <family val="2"/>
    </font>
    <font>
      <sz val="12"/>
      <color rgb="FF444444"/>
      <name val="Arial"/>
      <family val="2"/>
    </font>
    <font>
      <b/>
      <sz val="11"/>
      <color rgb="FF000000"/>
      <name val="Arial"/>
      <family val="2"/>
    </font>
    <font>
      <b/>
      <sz val="12"/>
      <color rgb="FF000000"/>
      <name val="Arial"/>
      <family val="2"/>
    </font>
    <font>
      <b/>
      <sz val="12"/>
      <color theme="1"/>
      <name val="Calibri"/>
      <family val="2"/>
      <scheme val="minor"/>
    </font>
    <font>
      <b/>
      <sz val="11"/>
      <color rgb="FF6F6F6E"/>
      <name val="Calibri"/>
      <family val="2"/>
      <scheme val="minor"/>
    </font>
    <font>
      <sz val="12"/>
      <color rgb="FF333333"/>
      <name val="Arial"/>
      <family val="2"/>
    </font>
    <font>
      <b/>
      <sz val="11"/>
      <name val="Arial"/>
      <family val="2"/>
    </font>
    <font>
      <sz val="11"/>
      <color rgb="FF000000"/>
      <name val="Arial"/>
      <family val="2"/>
    </font>
    <font>
      <sz val="11"/>
      <color theme="1"/>
      <name val="Arial"/>
      <family val="2"/>
    </font>
    <font>
      <sz val="11"/>
      <color theme="0"/>
      <name val="Arial"/>
      <family val="2"/>
    </font>
    <font>
      <sz val="10"/>
      <color rgb="FF000000"/>
      <name val="Calibri"/>
      <family val="2"/>
    </font>
    <font>
      <sz val="12"/>
      <color rgb="FFFF0000"/>
      <name val="Arial"/>
      <family val="2"/>
    </font>
    <font>
      <b/>
      <sz val="12"/>
      <color rgb="FFFF0000"/>
      <name val="Arial"/>
      <family val="2"/>
    </font>
    <font>
      <sz val="16"/>
      <color theme="1"/>
      <name val="Arial"/>
      <family val="2"/>
    </font>
    <font>
      <sz val="11"/>
      <name val="Calibri"/>
      <family val="2"/>
      <scheme val="minor"/>
    </font>
    <font>
      <b/>
      <sz val="10"/>
      <color theme="1"/>
      <name val="Arial"/>
      <family val="2"/>
    </font>
    <font>
      <b/>
      <sz val="10"/>
      <color indexed="8"/>
      <name val="Arial"/>
      <family val="2"/>
    </font>
    <font>
      <sz val="11"/>
      <name val="Arial"/>
      <family val="2"/>
    </font>
    <font>
      <sz val="11"/>
      <color rgb="FF9C0006"/>
      <name val="Calibri"/>
      <family val="2"/>
      <scheme val="minor"/>
    </font>
    <font>
      <b/>
      <u/>
      <sz val="12"/>
      <name val="Arial"/>
      <family val="2"/>
    </font>
    <font>
      <sz val="11"/>
      <color rgb="FF000000"/>
      <name val="Calibri"/>
      <family val="2"/>
    </font>
  </fonts>
  <fills count="3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D966"/>
        <bgColor indexed="64"/>
      </patternFill>
    </fill>
    <fill>
      <patternFill patternType="solid">
        <fgColor rgb="FFFFFFFF"/>
        <bgColor indexed="64"/>
      </patternFill>
    </fill>
    <fill>
      <patternFill patternType="solid">
        <fgColor rgb="FFACB9CA"/>
        <bgColor indexed="64"/>
      </patternFill>
    </fill>
    <fill>
      <patternFill patternType="solid">
        <fgColor rgb="FF00B0F0"/>
        <bgColor rgb="FF000000"/>
      </patternFill>
    </fill>
    <fill>
      <patternFill patternType="solid">
        <fgColor rgb="FF00B0F0"/>
        <bgColor indexed="64"/>
      </patternFill>
    </fill>
    <fill>
      <patternFill patternType="solid">
        <fgColor rgb="FFFFFFFF"/>
        <bgColor rgb="FF000000"/>
      </patternFill>
    </fill>
    <fill>
      <patternFill patternType="solid">
        <fgColor theme="0"/>
        <bgColor rgb="FF000000"/>
      </patternFill>
    </fill>
    <fill>
      <patternFill patternType="solid">
        <fgColor rgb="FFFFC000"/>
        <bgColor indexed="64"/>
      </patternFill>
    </fill>
    <fill>
      <patternFill patternType="solid">
        <fgColor theme="3" tint="0.59999389629810485"/>
        <bgColor indexed="64"/>
      </patternFill>
    </fill>
    <fill>
      <patternFill patternType="solid">
        <fgColor rgb="FFB4C6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ECECEC"/>
        <bgColor indexed="64"/>
      </patternFill>
    </fill>
    <fill>
      <patternFill patternType="solid">
        <fgColor rgb="FFFFFF00"/>
        <bgColor indexed="64"/>
      </patternFill>
    </fill>
    <fill>
      <patternFill patternType="solid">
        <fgColor rgb="FFACB9CA"/>
        <bgColor rgb="FF000000"/>
      </patternFill>
    </fill>
    <fill>
      <patternFill patternType="solid">
        <fgColor theme="8" tint="0.59999389629810485"/>
        <bgColor rgb="FF000000"/>
      </patternFill>
    </fill>
    <fill>
      <patternFill patternType="solid">
        <fgColor rgb="FFBDD7EE"/>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C7CE"/>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tint="0.59999389629810485"/>
        <bgColor indexed="64"/>
      </patternFill>
    </fill>
  </fills>
  <borders count="8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auto="1"/>
      </right>
      <top style="thin">
        <color indexed="64"/>
      </top>
      <bottom/>
      <diagonal/>
    </border>
    <border>
      <left style="thin">
        <color rgb="FF000000"/>
      </left>
      <right style="thin">
        <color auto="1"/>
      </right>
      <top/>
      <bottom/>
      <diagonal/>
    </border>
    <border>
      <left style="thin">
        <color indexed="64"/>
      </left>
      <right style="thin">
        <color rgb="FF000000"/>
      </right>
      <top/>
      <bottom style="thin">
        <color rgb="FF000000"/>
      </bottom>
      <diagonal/>
    </border>
    <border>
      <left style="thin">
        <color rgb="FF000000"/>
      </left>
      <right style="thin">
        <color auto="1"/>
      </right>
      <top/>
      <bottom style="thin">
        <color auto="1"/>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522B57"/>
      </left>
      <right style="thin">
        <color rgb="FF522B57"/>
      </right>
      <top style="thin">
        <color rgb="FF522B57"/>
      </top>
      <bottom style="thin">
        <color rgb="FF522B57"/>
      </bottom>
      <diagonal/>
    </border>
    <border>
      <left/>
      <right style="thin">
        <color rgb="FF000000"/>
      </right>
      <top style="thin">
        <color auto="1"/>
      </top>
      <bottom style="thin">
        <color indexed="64"/>
      </bottom>
      <diagonal/>
    </border>
    <border>
      <left/>
      <right style="thin">
        <color auto="1"/>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indexed="64"/>
      </top>
      <bottom style="thin">
        <color indexed="64"/>
      </bottom>
      <diagonal/>
    </border>
    <border>
      <left style="thin">
        <color auto="1"/>
      </left>
      <right style="thin">
        <color rgb="FF000000"/>
      </right>
      <top style="thin">
        <color indexed="64"/>
      </top>
      <bottom style="thin">
        <color rgb="FF000000"/>
      </bottom>
      <diagonal/>
    </border>
    <border>
      <left/>
      <right style="thin">
        <color rgb="FF000000"/>
      </right>
      <top/>
      <bottom style="thin">
        <color indexed="64"/>
      </bottom>
      <diagonal/>
    </border>
    <border>
      <left style="thin">
        <color indexed="64"/>
      </left>
      <right/>
      <top style="thin">
        <color rgb="FF000000"/>
      </top>
      <bottom/>
      <diagonal/>
    </border>
    <border>
      <left style="thin">
        <color auto="1"/>
      </left>
      <right style="thin">
        <color auto="1"/>
      </right>
      <top style="thin">
        <color rgb="FF000000"/>
      </top>
      <bottom style="thin">
        <color rgb="FF000000"/>
      </bottom>
      <diagonal/>
    </border>
    <border>
      <left/>
      <right style="thin">
        <color indexed="64"/>
      </right>
      <top style="thin">
        <color rgb="FF000000"/>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auto="1"/>
      </top>
      <bottom style="thin">
        <color rgb="FF000000"/>
      </bottom>
      <diagonal/>
    </border>
    <border>
      <left/>
      <right/>
      <top style="thin">
        <color theme="4" tint="0.79998168889431442"/>
      </top>
      <bottom style="thin">
        <color theme="4" tint="0.79998168889431442"/>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s>
  <cellStyleXfs count="29">
    <xf numFmtId="0" fontId="0" fillId="0" borderId="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1" fillId="0" borderId="0"/>
    <xf numFmtId="9" fontId="7" fillId="0" borderId="0" applyFont="0" applyFill="0" applyBorder="0" applyAlignment="0" applyProtection="0"/>
    <xf numFmtId="0" fontId="1" fillId="0" borderId="0"/>
    <xf numFmtId="174" fontId="1" fillId="0" borderId="0" applyFont="0" applyFill="0" applyBorder="0" applyAlignment="0" applyProtection="0"/>
    <xf numFmtId="0" fontId="14" fillId="0" borderId="0"/>
    <xf numFmtId="41"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79" fontId="22" fillId="18" borderId="51">
      <alignment horizontal="center" vertical="center" wrapText="1"/>
    </xf>
    <xf numFmtId="167" fontId="1" fillId="0" borderId="0" applyFont="0" applyFill="0" applyBorder="0" applyAlignment="0" applyProtection="0"/>
    <xf numFmtId="0" fontId="22" fillId="18" borderId="51">
      <alignment horizontal="center" vertical="center" wrapText="1"/>
    </xf>
    <xf numFmtId="43" fontId="1" fillId="0" borderId="0" applyFont="0" applyFill="0" applyBorder="0" applyAlignment="0" applyProtection="0"/>
    <xf numFmtId="0" fontId="1" fillId="0" borderId="0"/>
    <xf numFmtId="9"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0" fontId="1" fillId="0" borderId="0"/>
    <xf numFmtId="0" fontId="36" fillId="25" borderId="0" applyNumberFormat="0" applyBorder="0" applyAlignment="0" applyProtection="0"/>
    <xf numFmtId="185" fontId="1" fillId="0" borderId="0" applyFont="0" applyFill="0" applyBorder="0" applyAlignment="0" applyProtection="0"/>
    <xf numFmtId="41" fontId="1" fillId="0" borderId="0" applyFont="0" applyFill="0" applyBorder="0" applyAlignment="0" applyProtection="0"/>
    <xf numFmtId="0" fontId="14" fillId="0" borderId="0"/>
    <xf numFmtId="0" fontId="14" fillId="0" borderId="0"/>
    <xf numFmtId="0" fontId="38" fillId="0" borderId="0"/>
    <xf numFmtId="166" fontId="1" fillId="0" borderId="0" applyFont="0" applyFill="0" applyBorder="0" applyAlignment="0" applyProtection="0"/>
  </cellStyleXfs>
  <cellXfs count="4760">
    <xf numFmtId="0" fontId="0" fillId="0" borderId="0" xfId="0"/>
    <xf numFmtId="0" fontId="3" fillId="0" borderId="2"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2" fillId="0" borderId="4" xfId="0" applyFont="1" applyBorder="1" applyAlignment="1">
      <alignment horizontal="center" vertical="center"/>
    </xf>
    <xf numFmtId="3" fontId="3" fillId="0" borderId="2"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1" xfId="0" applyFont="1" applyBorder="1" applyAlignment="1">
      <alignment horizontal="center" vertical="center"/>
    </xf>
    <xf numFmtId="1" fontId="2" fillId="3" borderId="2"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70" fontId="2"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169" fontId="2" fillId="5" borderId="2"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0" xfId="0" applyFont="1" applyFill="1" applyBorder="1" applyAlignment="1">
      <alignment horizontal="justify" vertical="center"/>
    </xf>
    <xf numFmtId="0" fontId="2" fillId="6" borderId="0" xfId="0" applyFont="1" applyFill="1" applyBorder="1" applyAlignment="1">
      <alignment horizontal="center" vertical="center" wrapText="1"/>
    </xf>
    <xf numFmtId="171" fontId="2" fillId="6" borderId="0" xfId="0" applyNumberFormat="1" applyFont="1" applyFill="1" applyBorder="1" applyAlignment="1">
      <alignment horizontal="center" vertical="center"/>
    </xf>
    <xf numFmtId="170" fontId="2" fillId="6" borderId="0" xfId="0" applyNumberFormat="1" applyFont="1" applyFill="1" applyBorder="1" applyAlignment="1">
      <alignment horizontal="justify" vertical="center"/>
    </xf>
    <xf numFmtId="170"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169" fontId="2" fillId="6" borderId="0" xfId="0" applyNumberFormat="1" applyFont="1" applyFill="1" applyBorder="1" applyAlignment="1">
      <alignment horizontal="center" vertical="center"/>
    </xf>
    <xf numFmtId="169" fontId="2" fillId="6" borderId="21" xfId="0" applyNumberFormat="1" applyFont="1" applyFill="1" applyBorder="1" applyAlignment="1">
      <alignment horizontal="center" vertical="center"/>
    </xf>
    <xf numFmtId="0" fontId="4" fillId="0" borderId="0" xfId="0" applyFont="1" applyBorder="1" applyAlignment="1">
      <alignment horizontal="center" vertical="center"/>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8" borderId="22" xfId="0" applyFont="1" applyFill="1" applyBorder="1" applyAlignment="1">
      <alignment horizontal="center" vertical="center" wrapText="1"/>
    </xf>
    <xf numFmtId="0" fontId="2" fillId="8" borderId="25" xfId="0" applyFont="1" applyFill="1" applyBorder="1" applyAlignment="1">
      <alignment horizontal="justify" vertical="center"/>
    </xf>
    <xf numFmtId="0" fontId="2" fillId="8" borderId="25" xfId="0" applyFont="1" applyFill="1" applyBorder="1" applyAlignment="1">
      <alignment horizontal="center" vertical="center"/>
    </xf>
    <xf numFmtId="0" fontId="2" fillId="8" borderId="25" xfId="0" applyFont="1" applyFill="1" applyBorder="1" applyAlignment="1">
      <alignment horizontal="center" vertical="center" wrapText="1"/>
    </xf>
    <xf numFmtId="171" fontId="2" fillId="8" borderId="25" xfId="0" applyNumberFormat="1" applyFont="1" applyFill="1" applyBorder="1" applyAlignment="1">
      <alignment horizontal="center" vertical="center"/>
    </xf>
    <xf numFmtId="170" fontId="2" fillId="8" borderId="25" xfId="0" applyNumberFormat="1" applyFont="1" applyFill="1" applyBorder="1" applyAlignment="1">
      <alignment horizontal="justify" vertical="center"/>
    </xf>
    <xf numFmtId="170" fontId="2" fillId="8" borderId="25" xfId="0" applyNumberFormat="1" applyFont="1" applyFill="1" applyBorder="1" applyAlignment="1">
      <alignment horizontal="center" vertical="center"/>
    </xf>
    <xf numFmtId="1" fontId="2" fillId="8" borderId="25" xfId="0" applyNumberFormat="1" applyFont="1" applyFill="1" applyBorder="1" applyAlignment="1">
      <alignment horizontal="center" vertical="center"/>
    </xf>
    <xf numFmtId="169" fontId="2" fillId="8" borderId="25" xfId="0" applyNumberFormat="1" applyFont="1" applyFill="1" applyBorder="1" applyAlignment="1">
      <alignment horizontal="center" vertical="center"/>
    </xf>
    <xf numFmtId="169" fontId="2" fillId="8" borderId="22" xfId="0" applyNumberFormat="1" applyFont="1" applyFill="1" applyBorder="1" applyAlignment="1">
      <alignment horizontal="center" vertical="center"/>
    </xf>
    <xf numFmtId="0" fontId="4" fillId="7" borderId="0" xfId="0" applyFont="1" applyFill="1" applyAlignment="1">
      <alignment horizontal="center" vertical="center"/>
    </xf>
    <xf numFmtId="0" fontId="4" fillId="7"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9" borderId="20" xfId="0" applyFont="1" applyFill="1" applyBorder="1" applyAlignment="1">
      <alignment horizontal="center" vertical="center" wrapText="1"/>
    </xf>
    <xf numFmtId="0" fontId="3" fillId="10" borderId="23" xfId="0" applyFont="1" applyFill="1" applyBorder="1" applyAlignment="1">
      <alignment horizontal="left" vertical="center"/>
    </xf>
    <xf numFmtId="0" fontId="3" fillId="10" borderId="25" xfId="0" applyFont="1" applyFill="1" applyBorder="1" applyAlignment="1">
      <alignment horizontal="left" vertical="center"/>
    </xf>
    <xf numFmtId="0" fontId="3" fillId="10" borderId="25" xfId="0" applyFont="1" applyFill="1" applyBorder="1" applyAlignment="1">
      <alignment horizontal="justify" vertical="center"/>
    </xf>
    <xf numFmtId="0" fontId="2" fillId="10" borderId="25" xfId="0" applyFont="1" applyFill="1" applyBorder="1" applyAlignment="1">
      <alignment horizontal="left" vertical="center"/>
    </xf>
    <xf numFmtId="0" fontId="2" fillId="10" borderId="25" xfId="0" applyFont="1" applyFill="1" applyBorder="1" applyAlignment="1">
      <alignment horizontal="justify" vertical="center"/>
    </xf>
    <xf numFmtId="0" fontId="2" fillId="10" borderId="24" xfId="0" applyFont="1" applyFill="1" applyBorder="1" applyAlignment="1">
      <alignment horizontal="left" vertical="center"/>
    </xf>
    <xf numFmtId="0" fontId="2" fillId="10" borderId="24" xfId="0" applyFont="1" applyFill="1" applyBorder="1" applyAlignment="1">
      <alignment horizontal="justify" vertical="center" wrapText="1"/>
    </xf>
    <xf numFmtId="171" fontId="2" fillId="10" borderId="25" xfId="0" applyNumberFormat="1" applyFont="1" applyFill="1" applyBorder="1" applyAlignment="1">
      <alignment horizontal="center" vertical="center"/>
    </xf>
    <xf numFmtId="170" fontId="2" fillId="10" borderId="25" xfId="0" applyNumberFormat="1" applyFont="1" applyFill="1" applyBorder="1" applyAlignment="1">
      <alignment horizontal="center" vertical="center"/>
    </xf>
    <xf numFmtId="0" fontId="2" fillId="10" borderId="25" xfId="0" applyFont="1" applyFill="1" applyBorder="1" applyAlignment="1">
      <alignment horizontal="center" vertical="center"/>
    </xf>
    <xf numFmtId="1" fontId="2" fillId="10" borderId="25" xfId="0" applyNumberFormat="1" applyFont="1" applyFill="1" applyBorder="1" applyAlignment="1">
      <alignment horizontal="center" vertical="center"/>
    </xf>
    <xf numFmtId="169" fontId="2" fillId="10" borderId="25" xfId="0" applyNumberFormat="1" applyFont="1" applyFill="1" applyBorder="1" applyAlignment="1">
      <alignment horizontal="center" vertical="center"/>
    </xf>
    <xf numFmtId="0" fontId="2" fillId="10" borderId="22"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0" fillId="0" borderId="2" xfId="0" applyFont="1" applyFill="1" applyBorder="1" applyAlignment="1">
      <alignment horizontal="justify" vertical="center" wrapText="1"/>
    </xf>
    <xf numFmtId="167" fontId="4" fillId="2" borderId="2" xfId="2"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0" fillId="0" borderId="2" xfId="0" applyFont="1" applyBorder="1" applyAlignment="1">
      <alignment horizontal="justify" vertical="center" wrapText="1"/>
    </xf>
    <xf numFmtId="167" fontId="9" fillId="2" borderId="2" xfId="2" applyNumberFormat="1"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2" xfId="0" applyFont="1" applyFill="1" applyBorder="1" applyAlignment="1">
      <alignment horizontal="justify" vertical="center" wrapText="1"/>
    </xf>
    <xf numFmtId="0" fontId="10"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10" fillId="11" borderId="7" xfId="0" applyFont="1" applyFill="1" applyBorder="1" applyAlignment="1">
      <alignment horizontal="justify" vertical="center" wrapText="1"/>
    </xf>
    <xf numFmtId="9" fontId="4" fillId="2" borderId="2" xfId="4" applyNumberFormat="1" applyFont="1" applyFill="1" applyBorder="1" applyAlignment="1">
      <alignment horizontal="center" vertical="center"/>
    </xf>
    <xf numFmtId="165" fontId="4" fillId="2" borderId="2" xfId="3" applyFont="1" applyFill="1" applyBorder="1" applyAlignment="1">
      <alignment horizontal="center" vertical="center"/>
    </xf>
    <xf numFmtId="167" fontId="4" fillId="2" borderId="2" xfId="2" applyNumberFormat="1" applyFont="1" applyFill="1" applyBorder="1" applyAlignment="1">
      <alignment horizontal="center" vertical="center"/>
    </xf>
    <xf numFmtId="0" fontId="10" fillId="12" borderId="2" xfId="0" applyFont="1" applyFill="1" applyBorder="1" applyAlignment="1">
      <alignment horizontal="center" vertical="center" wrapText="1"/>
    </xf>
    <xf numFmtId="167" fontId="10" fillId="12" borderId="2" xfId="2" applyNumberFormat="1" applyFont="1" applyFill="1" applyBorder="1" applyAlignment="1">
      <alignment horizontal="center" vertical="center" wrapText="1"/>
    </xf>
    <xf numFmtId="9" fontId="10" fillId="12" borderId="2" xfId="4" applyFont="1" applyFill="1" applyBorder="1" applyAlignment="1">
      <alignment horizontal="center" vertical="center" wrapText="1"/>
    </xf>
    <xf numFmtId="0" fontId="10" fillId="12" borderId="2" xfId="0" applyFont="1" applyFill="1" applyBorder="1" applyAlignment="1">
      <alignment horizontal="justify" vertical="center" wrapText="1"/>
    </xf>
    <xf numFmtId="14" fontId="10" fillId="12" borderId="2" xfId="0" applyNumberFormat="1" applyFont="1" applyFill="1" applyBorder="1" applyAlignment="1">
      <alignment horizontal="center" vertical="center" wrapText="1"/>
    </xf>
    <xf numFmtId="0" fontId="3" fillId="10" borderId="35" xfId="0" applyFont="1" applyFill="1" applyBorder="1" applyAlignment="1">
      <alignment horizontal="center" vertical="center"/>
    </xf>
    <xf numFmtId="0" fontId="4" fillId="10" borderId="24"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4" fillId="10" borderId="24" xfId="0" applyFont="1" applyFill="1" applyBorder="1" applyAlignment="1">
      <alignment horizontal="justify" vertical="center" wrapText="1"/>
    </xf>
    <xf numFmtId="9" fontId="4" fillId="10" borderId="2" xfId="4" applyFont="1" applyFill="1" applyBorder="1" applyAlignment="1">
      <alignment horizontal="center" vertical="center" wrapText="1"/>
    </xf>
    <xf numFmtId="172" fontId="4" fillId="10" borderId="2" xfId="0" applyNumberFormat="1" applyFont="1" applyFill="1" applyBorder="1" applyAlignment="1">
      <alignment horizontal="center" vertical="center" wrapText="1"/>
    </xf>
    <xf numFmtId="0" fontId="4" fillId="10" borderId="2" xfId="0" applyFont="1" applyFill="1" applyBorder="1" applyAlignment="1">
      <alignment horizontal="justify" vertical="center" wrapText="1"/>
    </xf>
    <xf numFmtId="167" fontId="4" fillId="1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1" fontId="4" fillId="10" borderId="2"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textRotation="180" wrapText="1"/>
    </xf>
    <xf numFmtId="167" fontId="2" fillId="10" borderId="2" xfId="2" applyNumberFormat="1" applyFont="1" applyFill="1" applyBorder="1" applyAlignment="1">
      <alignment horizontal="center" vertical="center" textRotation="180" wrapText="1"/>
    </xf>
    <xf numFmtId="9" fontId="2" fillId="10" borderId="2" xfId="4" applyFont="1" applyFill="1" applyBorder="1" applyAlignment="1">
      <alignment horizontal="center" vertical="center" textRotation="180" wrapText="1"/>
    </xf>
    <xf numFmtId="0" fontId="9" fillId="2" borderId="37" xfId="7" applyFont="1" applyFill="1" applyBorder="1" applyAlignment="1">
      <alignment horizontal="center" vertical="center" wrapText="1"/>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justify" vertical="center"/>
    </xf>
    <xf numFmtId="0" fontId="4" fillId="3" borderId="2" xfId="0" applyFont="1" applyFill="1" applyBorder="1" applyAlignment="1">
      <alignment horizontal="center" vertical="center"/>
    </xf>
    <xf numFmtId="0" fontId="4" fillId="3" borderId="7" xfId="0" applyFont="1" applyFill="1" applyBorder="1" applyAlignment="1">
      <alignment horizontal="justify" vertical="center" wrapText="1"/>
    </xf>
    <xf numFmtId="171" fontId="4" fillId="3" borderId="2" xfId="0" applyNumberFormat="1" applyFont="1" applyFill="1" applyBorder="1" applyAlignment="1">
      <alignment horizontal="center" vertical="center"/>
    </xf>
    <xf numFmtId="165" fontId="2" fillId="3" borderId="2" xfId="3" applyFont="1" applyFill="1" applyBorder="1" applyAlignment="1">
      <alignment horizontal="center" vertical="center"/>
    </xf>
    <xf numFmtId="0" fontId="4" fillId="3" borderId="2" xfId="0" applyFont="1" applyFill="1" applyBorder="1" applyAlignment="1">
      <alignment horizontal="justify" vertical="center"/>
    </xf>
    <xf numFmtId="167" fontId="2"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7" fontId="4" fillId="3" borderId="2" xfId="2" applyNumberFormat="1" applyFont="1" applyFill="1" applyBorder="1" applyAlignment="1">
      <alignment horizontal="center" vertical="center"/>
    </xf>
    <xf numFmtId="169" fontId="4"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justify" vertical="center"/>
    </xf>
    <xf numFmtId="0" fontId="4" fillId="2" borderId="0" xfId="0" applyFont="1" applyFill="1" applyAlignment="1">
      <alignment horizontal="justify" vertical="center"/>
    </xf>
    <xf numFmtId="0" fontId="4" fillId="2" borderId="0" xfId="0" applyFont="1" applyFill="1" applyAlignment="1">
      <alignment horizontal="center" vertical="center" wrapText="1"/>
    </xf>
    <xf numFmtId="171" fontId="4" fillId="2" borderId="0" xfId="0" applyNumberFormat="1" applyFont="1" applyFill="1" applyAlignment="1">
      <alignment horizontal="center" vertical="center"/>
    </xf>
    <xf numFmtId="170" fontId="4" fillId="2" borderId="0" xfId="0" applyNumberFormat="1" applyFont="1" applyFill="1" applyAlignment="1">
      <alignment horizontal="justify" vertical="center"/>
    </xf>
    <xf numFmtId="167" fontId="4" fillId="0" borderId="0" xfId="0" applyNumberFormat="1" applyFont="1" applyAlignment="1">
      <alignment horizontal="center" vertical="center"/>
    </xf>
    <xf numFmtId="1" fontId="4" fillId="2" borderId="0" xfId="0" applyNumberFormat="1" applyFont="1" applyFill="1" applyAlignment="1">
      <alignment horizontal="center" vertical="center"/>
    </xf>
    <xf numFmtId="169" fontId="4" fillId="0" borderId="0" xfId="0" applyNumberFormat="1" applyFont="1" applyFill="1" applyAlignment="1">
      <alignment horizontal="center" vertical="center"/>
    </xf>
    <xf numFmtId="169" fontId="4" fillId="0" borderId="0" xfId="0" applyNumberFormat="1" applyFont="1" applyAlignment="1">
      <alignment horizontal="center" vertical="center"/>
    </xf>
    <xf numFmtId="0" fontId="4" fillId="0" borderId="0" xfId="0" applyFont="1" applyBorder="1" applyAlignment="1">
      <alignment horizontal="justify" vertical="center"/>
    </xf>
    <xf numFmtId="0" fontId="4" fillId="2" borderId="0" xfId="0" applyFont="1" applyFill="1" applyBorder="1" applyAlignment="1">
      <alignment horizontal="justify" vertical="center"/>
    </xf>
    <xf numFmtId="167" fontId="4" fillId="2" borderId="0" xfId="0" applyNumberFormat="1" applyFont="1" applyFill="1" applyAlignment="1">
      <alignment horizontal="center" vertical="center"/>
    </xf>
    <xf numFmtId="170" fontId="4" fillId="2" borderId="0" xfId="0" applyNumberFormat="1" applyFont="1" applyFill="1" applyAlignment="1">
      <alignment horizontal="center" vertical="center"/>
    </xf>
    <xf numFmtId="171" fontId="4" fillId="2" borderId="0" xfId="0" applyNumberFormat="1" applyFont="1" applyFill="1" applyBorder="1" applyAlignment="1">
      <alignment horizontal="justify" vertical="center"/>
    </xf>
    <xf numFmtId="171" fontId="4" fillId="2" borderId="0" xfId="0" applyNumberFormat="1" applyFont="1" applyFill="1" applyBorder="1" applyAlignment="1">
      <alignment horizontal="center" vertical="center"/>
    </xf>
    <xf numFmtId="170" fontId="4" fillId="2" borderId="0" xfId="0" applyNumberFormat="1" applyFont="1" applyFill="1" applyBorder="1" applyAlignment="1">
      <alignment horizontal="center" vertical="center"/>
    </xf>
    <xf numFmtId="0" fontId="2" fillId="0" borderId="2" xfId="0" applyFont="1" applyBorder="1" applyAlignment="1">
      <alignment vertical="center"/>
    </xf>
    <xf numFmtId="0" fontId="4" fillId="2" borderId="0" xfId="0" applyFont="1" applyFill="1"/>
    <xf numFmtId="0" fontId="4" fillId="0" borderId="0" xfId="0" applyFont="1"/>
    <xf numFmtId="0" fontId="2" fillId="0" borderId="2" xfId="0" applyFont="1" applyBorder="1" applyAlignment="1">
      <alignment horizontal="left" vertical="center"/>
    </xf>
    <xf numFmtId="173" fontId="11" fillId="0" borderId="39" xfId="0" applyNumberFormat="1" applyFont="1" applyBorder="1" applyAlignment="1">
      <alignment horizontal="left"/>
    </xf>
    <xf numFmtId="14" fontId="11" fillId="0" borderId="39" xfId="0" applyNumberFormat="1" applyFont="1" applyBorder="1" applyAlignment="1">
      <alignment horizontal="left"/>
    </xf>
    <xf numFmtId="3" fontId="12" fillId="0" borderId="2" xfId="0" applyNumberFormat="1" applyFont="1" applyBorder="1" applyAlignment="1">
      <alignment horizontal="left" vertical="center" wrapText="1"/>
    </xf>
    <xf numFmtId="0" fontId="2" fillId="0" borderId="3" xfId="0" applyFont="1" applyBorder="1" applyAlignment="1">
      <alignment vertical="center"/>
    </xf>
    <xf numFmtId="4" fontId="2" fillId="0" borderId="3" xfId="0" applyNumberFormat="1" applyFont="1" applyBorder="1" applyAlignment="1">
      <alignment vertic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xf>
    <xf numFmtId="4" fontId="2" fillId="0" borderId="3" xfId="0" applyNumberFormat="1" applyFont="1" applyBorder="1" applyAlignment="1">
      <alignment horizontal="right" vertical="center"/>
    </xf>
    <xf numFmtId="0" fontId="2" fillId="0" borderId="16" xfId="0" applyFont="1" applyBorder="1" applyAlignment="1">
      <alignment vertical="center" wrapText="1"/>
    </xf>
    <xf numFmtId="0" fontId="2" fillId="0" borderId="4" xfId="0" applyFont="1" applyBorder="1" applyAlignment="1">
      <alignment vertical="center"/>
    </xf>
    <xf numFmtId="0" fontId="2" fillId="3" borderId="8" xfId="0" applyFont="1" applyFill="1" applyBorder="1" applyAlignment="1">
      <alignment vertical="center" wrapText="1"/>
    </xf>
    <xf numFmtId="0" fontId="4" fillId="2" borderId="0" xfId="0" applyFont="1" applyFill="1" applyAlignment="1">
      <alignment horizontal="center"/>
    </xf>
    <xf numFmtId="0" fontId="4" fillId="0" borderId="0" xfId="0" applyFont="1" applyAlignment="1">
      <alignment horizontal="center"/>
    </xf>
    <xf numFmtId="0" fontId="2" fillId="5" borderId="15" xfId="0" applyFont="1" applyFill="1" applyBorder="1" applyAlignment="1">
      <alignment horizontal="center" vertical="center" wrapText="1"/>
    </xf>
    <xf numFmtId="4" fontId="2" fillId="5" borderId="18" xfId="0" applyNumberFormat="1" applyFont="1" applyFill="1" applyBorder="1" applyAlignment="1">
      <alignment horizontal="center" vertical="center" wrapText="1"/>
    </xf>
    <xf numFmtId="4" fontId="2" fillId="5" borderId="17" xfId="0" applyNumberFormat="1" applyFont="1" applyFill="1" applyBorder="1" applyAlignment="1">
      <alignment horizontal="center" vertical="center" wrapText="1"/>
    </xf>
    <xf numFmtId="169" fontId="2" fillId="5" borderId="7" xfId="0" applyNumberFormat="1" applyFont="1" applyFill="1" applyBorder="1" applyAlignment="1">
      <alignment horizontal="center" vertical="center" wrapText="1"/>
    </xf>
    <xf numFmtId="3" fontId="2" fillId="5" borderId="17" xfId="0" applyNumberFormat="1" applyFont="1" applyFill="1" applyBorder="1" applyAlignment="1">
      <alignment horizontal="center" vertical="center" wrapText="1"/>
    </xf>
    <xf numFmtId="0" fontId="3" fillId="13" borderId="15" xfId="0" applyFont="1" applyFill="1" applyBorder="1" applyAlignment="1">
      <alignment horizontal="left" vertical="center" wrapText="1"/>
    </xf>
    <xf numFmtId="0" fontId="3" fillId="13" borderId="15" xfId="0" applyFont="1" applyFill="1" applyBorder="1" applyAlignment="1">
      <alignment horizontal="left" vertical="center"/>
    </xf>
    <xf numFmtId="0" fontId="3" fillId="13" borderId="2" xfId="0" applyFont="1" applyFill="1" applyBorder="1" applyAlignment="1">
      <alignment horizontal="left" vertical="center"/>
    </xf>
    <xf numFmtId="0" fontId="4" fillId="13" borderId="2" xfId="0" applyFont="1" applyFill="1" applyBorder="1"/>
    <xf numFmtId="0" fontId="2" fillId="13" borderId="2" xfId="0" applyFont="1" applyFill="1" applyBorder="1" applyAlignment="1">
      <alignment vertical="center"/>
    </xf>
    <xf numFmtId="0" fontId="2" fillId="13" borderId="2" xfId="0" applyFont="1" applyFill="1" applyBorder="1" applyAlignment="1">
      <alignment horizontal="justify" vertical="center"/>
    </xf>
    <xf numFmtId="0" fontId="2" fillId="13" borderId="2" xfId="0" applyFont="1" applyFill="1" applyBorder="1" applyAlignment="1">
      <alignment horizontal="center" vertical="center"/>
    </xf>
    <xf numFmtId="4" fontId="2" fillId="13" borderId="2" xfId="0" applyNumberFormat="1" applyFont="1" applyFill="1" applyBorder="1" applyAlignment="1">
      <alignment horizontal="right" vertical="center"/>
    </xf>
    <xf numFmtId="170" fontId="2" fillId="13" borderId="2" xfId="0" applyNumberFormat="1" applyFont="1" applyFill="1" applyBorder="1" applyAlignment="1">
      <alignment horizontal="center" vertical="center"/>
    </xf>
    <xf numFmtId="1" fontId="2" fillId="13" borderId="2" xfId="0" applyNumberFormat="1" applyFont="1" applyFill="1" applyBorder="1" applyAlignment="1">
      <alignment horizontal="center" vertical="center"/>
    </xf>
    <xf numFmtId="0" fontId="2" fillId="13" borderId="9" xfId="0" applyFont="1" applyFill="1" applyBorder="1" applyAlignment="1">
      <alignment horizontal="center" vertical="center"/>
    </xf>
    <xf numFmtId="0" fontId="2" fillId="13" borderId="9" xfId="0" applyFont="1" applyFill="1" applyBorder="1" applyAlignment="1">
      <alignment vertical="center"/>
    </xf>
    <xf numFmtId="169" fontId="2" fillId="13" borderId="2" xfId="0" applyNumberFormat="1" applyFont="1" applyFill="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13" fillId="14" borderId="14" xfId="0" applyFont="1" applyFill="1" applyBorder="1" applyAlignment="1">
      <alignment horizontal="center" vertical="center"/>
    </xf>
    <xf numFmtId="0" fontId="13" fillId="14" borderId="15" xfId="0" applyFont="1" applyFill="1" applyBorder="1" applyAlignment="1">
      <alignment vertical="center"/>
    </xf>
    <xf numFmtId="0" fontId="13" fillId="14" borderId="2" xfId="0" applyFont="1" applyFill="1" applyBorder="1" applyAlignment="1">
      <alignment vertical="center"/>
    </xf>
    <xf numFmtId="0" fontId="13" fillId="14" borderId="2" xfId="0" applyFont="1" applyFill="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10" borderId="9" xfId="0" applyFont="1" applyFill="1" applyBorder="1" applyAlignment="1">
      <alignment horizontal="left" vertical="center"/>
    </xf>
    <xf numFmtId="0" fontId="3" fillId="10" borderId="2" xfId="0" applyFont="1" applyFill="1" applyBorder="1" applyAlignment="1">
      <alignment horizontal="left" vertical="center"/>
    </xf>
    <xf numFmtId="0" fontId="2" fillId="10" borderId="2" xfId="0" applyFont="1" applyFill="1" applyBorder="1" applyAlignment="1">
      <alignment vertical="center"/>
    </xf>
    <xf numFmtId="0" fontId="2" fillId="10" borderId="15" xfId="0" applyFont="1" applyFill="1" applyBorder="1" applyAlignment="1">
      <alignment horizontal="justify" vertical="center"/>
    </xf>
    <xf numFmtId="0" fontId="2" fillId="10" borderId="15" xfId="0" applyFont="1" applyFill="1" applyBorder="1" applyAlignment="1">
      <alignment vertical="center"/>
    </xf>
    <xf numFmtId="0" fontId="2" fillId="10" borderId="15" xfId="0" applyFont="1" applyFill="1" applyBorder="1" applyAlignment="1">
      <alignment horizontal="center" vertical="center"/>
    </xf>
    <xf numFmtId="0" fontId="2" fillId="10" borderId="2" xfId="0" applyFont="1" applyFill="1" applyBorder="1" applyAlignment="1">
      <alignment horizontal="justify" vertical="center" wrapText="1"/>
    </xf>
    <xf numFmtId="171" fontId="2" fillId="10" borderId="2" xfId="0" applyNumberFormat="1" applyFont="1" applyFill="1" applyBorder="1" applyAlignment="1">
      <alignment horizontal="center" vertical="center"/>
    </xf>
    <xf numFmtId="4"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4" fontId="2" fillId="10" borderId="2" xfId="0" applyNumberFormat="1" applyFont="1" applyFill="1" applyBorder="1" applyAlignment="1">
      <alignment horizontal="right" vertical="center"/>
    </xf>
    <xf numFmtId="4" fontId="2" fillId="10" borderId="15" xfId="0" applyNumberFormat="1" applyFont="1" applyFill="1" applyBorder="1" applyAlignment="1">
      <alignment horizontal="right" vertical="center"/>
    </xf>
    <xf numFmtId="0" fontId="2" fillId="10" borderId="15" xfId="0" applyFont="1" applyFill="1" applyBorder="1" applyAlignment="1">
      <alignment vertical="center" wrapText="1"/>
    </xf>
    <xf numFmtId="1" fontId="2" fillId="10" borderId="2" xfId="0" applyNumberFormat="1" applyFont="1" applyFill="1" applyBorder="1" applyAlignment="1">
      <alignment horizontal="center" vertical="center"/>
    </xf>
    <xf numFmtId="0" fontId="2" fillId="10" borderId="14" xfId="0" applyFont="1" applyFill="1" applyBorder="1" applyAlignment="1">
      <alignment vertical="center"/>
    </xf>
    <xf numFmtId="169" fontId="2" fillId="10" borderId="15" xfId="0" applyNumberFormat="1"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horizontal="left" vertical="center"/>
    </xf>
    <xf numFmtId="0" fontId="9" fillId="2" borderId="2" xfId="7" applyFont="1" applyFill="1" applyBorder="1" applyAlignment="1">
      <alignment horizontal="center" vertical="center" wrapText="1"/>
    </xf>
    <xf numFmtId="0" fontId="9" fillId="0" borderId="2" xfId="7" applyFont="1" applyBorder="1" applyAlignment="1">
      <alignment horizontal="justify" vertical="center" wrapText="1"/>
    </xf>
    <xf numFmtId="175" fontId="4" fillId="0" borderId="9" xfId="1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4" fillId="2" borderId="2" xfId="0" applyFont="1" applyFill="1" applyBorder="1" applyAlignment="1">
      <alignment horizontal="justify" vertical="center" wrapText="1"/>
    </xf>
    <xf numFmtId="0" fontId="4" fillId="2" borderId="38" xfId="0" applyFont="1" applyFill="1" applyBorder="1" applyAlignment="1">
      <alignment horizontal="center" vertical="center"/>
    </xf>
    <xf numFmtId="1" fontId="4" fillId="0" borderId="2" xfId="0" applyNumberFormat="1" applyFont="1" applyBorder="1" applyAlignment="1">
      <alignment horizontal="center" vertical="center" wrapText="1"/>
    </xf>
    <xf numFmtId="49" fontId="9" fillId="0" borderId="2" xfId="9" applyNumberFormat="1"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0" fillId="0" borderId="2" xfId="0" applyFont="1" applyBorder="1" applyAlignment="1">
      <alignment vertical="center"/>
    </xf>
    <xf numFmtId="0" fontId="9"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175" fontId="9" fillId="0" borderId="9" xfId="10" applyNumberFormat="1" applyFont="1" applyFill="1" applyBorder="1" applyAlignment="1">
      <alignment horizontal="center" vertical="center" wrapText="1"/>
    </xf>
    <xf numFmtId="0" fontId="4" fillId="0" borderId="2" xfId="0" applyFont="1" applyBorder="1" applyAlignment="1">
      <alignment vertical="center" wrapText="1"/>
    </xf>
    <xf numFmtId="0" fontId="3" fillId="10" borderId="22" xfId="0" applyFont="1" applyFill="1" applyBorder="1" applyAlignment="1">
      <alignment horizontal="center" vertical="center"/>
    </xf>
    <xf numFmtId="0" fontId="3" fillId="10" borderId="23" xfId="0" applyFont="1" applyFill="1" applyBorder="1" applyAlignment="1">
      <alignment vertical="center"/>
    </xf>
    <xf numFmtId="0" fontId="9" fillId="10" borderId="2" xfId="0" applyFont="1" applyFill="1" applyBorder="1" applyAlignment="1">
      <alignment horizontal="justify" vertical="center" wrapText="1"/>
    </xf>
    <xf numFmtId="0" fontId="4" fillId="10" borderId="1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4" fillId="10" borderId="18" xfId="0" applyFont="1" applyFill="1" applyBorder="1" applyAlignment="1">
      <alignment horizontal="justify" vertical="center" wrapText="1"/>
    </xf>
    <xf numFmtId="9" fontId="4" fillId="10" borderId="18" xfId="4" applyFont="1" applyFill="1" applyBorder="1" applyAlignment="1">
      <alignment horizontal="center" vertical="center" wrapText="1"/>
    </xf>
    <xf numFmtId="4" fontId="4" fillId="10" borderId="18" xfId="0" applyNumberFormat="1" applyFont="1" applyFill="1" applyBorder="1" applyAlignment="1">
      <alignment horizontal="center" vertical="center" wrapText="1"/>
    </xf>
    <xf numFmtId="0" fontId="4" fillId="10" borderId="16" xfId="0" applyFont="1" applyFill="1" applyBorder="1" applyAlignment="1">
      <alignment horizontal="justify" vertical="center" wrapText="1"/>
    </xf>
    <xf numFmtId="175" fontId="4" fillId="10" borderId="9" xfId="10" applyNumberFormat="1" applyFont="1" applyFill="1" applyBorder="1" applyAlignment="1">
      <alignment horizontal="center" vertical="center" wrapText="1"/>
    </xf>
    <xf numFmtId="175" fontId="4" fillId="10" borderId="2" xfId="10" applyNumberFormat="1" applyFont="1" applyFill="1" applyBorder="1" applyAlignment="1">
      <alignment horizontal="center" vertical="center" wrapText="1"/>
    </xf>
    <xf numFmtId="0" fontId="4" fillId="10" borderId="2" xfId="0" applyFont="1" applyFill="1" applyBorder="1" applyAlignment="1">
      <alignment horizontal="left" vertical="center" wrapText="1"/>
    </xf>
    <xf numFmtId="1" fontId="2" fillId="10" borderId="2" xfId="0" applyNumberFormat="1" applyFont="1" applyFill="1" applyBorder="1" applyAlignment="1">
      <alignment horizontal="justify" vertical="center" textRotation="180" wrapText="1"/>
    </xf>
    <xf numFmtId="0" fontId="3" fillId="0" borderId="5" xfId="0" applyFont="1" applyBorder="1" applyAlignment="1">
      <alignment horizontal="left" vertical="center"/>
    </xf>
    <xf numFmtId="175" fontId="10" fillId="0" borderId="9" xfId="10" applyNumberFormat="1" applyFont="1" applyFill="1" applyBorder="1" applyAlignment="1">
      <alignment horizontal="center" vertical="center" wrapText="1"/>
    </xf>
    <xf numFmtId="0" fontId="9" fillId="0" borderId="2" xfId="0" applyFont="1" applyBorder="1" applyAlignment="1">
      <alignment vertical="center" wrapText="1"/>
    </xf>
    <xf numFmtId="0" fontId="3" fillId="0" borderId="1" xfId="0" applyFont="1" applyBorder="1" applyAlignment="1">
      <alignment horizontal="left" vertical="center"/>
    </xf>
    <xf numFmtId="175" fontId="10" fillId="0" borderId="4" xfId="10" applyNumberFormat="1" applyFont="1" applyFill="1" applyBorder="1" applyAlignment="1">
      <alignment horizontal="center" vertical="center" wrapText="1"/>
    </xf>
    <xf numFmtId="1" fontId="4" fillId="0" borderId="6" xfId="0" applyNumberFormat="1" applyFont="1" applyBorder="1"/>
    <xf numFmtId="0" fontId="4" fillId="0" borderId="6" xfId="0" applyFont="1" applyBorder="1"/>
    <xf numFmtId="0" fontId="4" fillId="0" borderId="1" xfId="0" applyFont="1" applyBorder="1"/>
    <xf numFmtId="175" fontId="10" fillId="0" borderId="14" xfId="10" applyNumberFormat="1" applyFont="1" applyFill="1" applyBorder="1" applyAlignment="1">
      <alignment horizontal="center" vertical="center" wrapText="1"/>
    </xf>
    <xf numFmtId="175" fontId="4" fillId="0" borderId="14" xfId="1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175" fontId="4" fillId="0" borderId="2" xfId="10" applyNumberFormat="1" applyFont="1" applyFill="1" applyBorder="1" applyAlignment="1">
      <alignment horizontal="center" vertical="center" wrapText="1"/>
    </xf>
    <xf numFmtId="0" fontId="4" fillId="2" borderId="15" xfId="0" applyFont="1" applyFill="1" applyBorder="1" applyAlignment="1">
      <alignment horizontal="justify" vertical="center" wrapText="1"/>
    </xf>
    <xf numFmtId="175" fontId="9" fillId="0" borderId="4" xfId="10" applyNumberFormat="1" applyFont="1" applyFill="1" applyBorder="1" applyAlignment="1">
      <alignment horizontal="center" vertical="center" wrapText="1"/>
    </xf>
    <xf numFmtId="175" fontId="15" fillId="0" borderId="9" xfId="10" applyNumberFormat="1" applyFont="1" applyFill="1" applyBorder="1" applyAlignment="1">
      <alignment vertical="center"/>
    </xf>
    <xf numFmtId="0" fontId="4" fillId="2" borderId="18" xfId="0" applyFont="1" applyFill="1" applyBorder="1" applyAlignment="1">
      <alignment horizontal="justify" vertical="center" wrapText="1"/>
    </xf>
    <xf numFmtId="0" fontId="10" fillId="0" borderId="2" xfId="0" applyFont="1" applyFill="1" applyBorder="1" applyAlignment="1">
      <alignment horizontal="justify" wrapText="1"/>
    </xf>
    <xf numFmtId="0" fontId="9" fillId="0" borderId="46" xfId="0" applyFont="1" applyBorder="1" applyAlignment="1">
      <alignment horizontal="center" vertical="center" wrapText="1"/>
    </xf>
    <xf numFmtId="0" fontId="9" fillId="0" borderId="36" xfId="0" applyFont="1" applyBorder="1" applyAlignment="1">
      <alignment horizontal="justify" vertical="center" wrapText="1"/>
    </xf>
    <xf numFmtId="0" fontId="9" fillId="0" borderId="36" xfId="0"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175" fontId="4" fillId="0" borderId="9" xfId="10" applyNumberFormat="1" applyFont="1" applyFill="1" applyBorder="1" applyAlignment="1">
      <alignment horizontal="center" vertical="center"/>
    </xf>
    <xf numFmtId="0" fontId="4" fillId="0" borderId="2" xfId="0" applyFont="1" applyBorder="1" applyAlignment="1">
      <alignment horizontal="left" vertical="center" wrapText="1"/>
    </xf>
    <xf numFmtId="0" fontId="9" fillId="0" borderId="38" xfId="0" applyFont="1" applyBorder="1" applyAlignment="1">
      <alignment horizontal="justify" vertical="center" wrapText="1"/>
    </xf>
    <xf numFmtId="0" fontId="9" fillId="0" borderId="38"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justify" vertical="center" wrapText="1"/>
    </xf>
    <xf numFmtId="0" fontId="9" fillId="0" borderId="38" xfId="7" applyFont="1" applyBorder="1" applyAlignment="1">
      <alignment horizontal="justify" vertical="center"/>
    </xf>
    <xf numFmtId="0" fontId="16" fillId="0" borderId="2" xfId="0" applyFont="1" applyFill="1" applyBorder="1" applyAlignment="1">
      <alignment horizontal="justify" vertical="center" wrapText="1"/>
    </xf>
    <xf numFmtId="0" fontId="18" fillId="0" borderId="2" xfId="0" applyFont="1" applyBorder="1" applyAlignment="1">
      <alignment horizontal="left" vertical="center" wrapText="1"/>
    </xf>
    <xf numFmtId="0" fontId="17" fillId="0" borderId="2" xfId="0" applyFont="1" applyFill="1" applyBorder="1" applyAlignment="1">
      <alignment horizontal="justify" vertical="center" wrapText="1"/>
    </xf>
    <xf numFmtId="0" fontId="4" fillId="0" borderId="16" xfId="0" applyFont="1" applyBorder="1" applyAlignment="1">
      <alignment horizontal="center" vertical="center"/>
    </xf>
    <xf numFmtId="41" fontId="4" fillId="0" borderId="2" xfId="10" applyFont="1" applyFill="1" applyBorder="1" applyAlignment="1">
      <alignment horizontal="justify" vertical="center" wrapText="1"/>
    </xf>
    <xf numFmtId="1" fontId="9" fillId="0" borderId="16"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4" fontId="3" fillId="0" borderId="2" xfId="0" applyNumberFormat="1" applyFont="1" applyFill="1" applyBorder="1" applyAlignment="1">
      <alignment horizontal="right" vertical="center"/>
    </xf>
    <xf numFmtId="170" fontId="9" fillId="0" borderId="2" xfId="0" applyNumberFormat="1" applyFont="1" applyFill="1" applyBorder="1" applyAlignment="1">
      <alignment horizontal="justify" vertical="center" wrapText="1"/>
    </xf>
    <xf numFmtId="0" fontId="3" fillId="0" borderId="7" xfId="0" applyFont="1" applyFill="1" applyBorder="1" applyAlignment="1">
      <alignment horizontal="center" vertical="center"/>
    </xf>
    <xf numFmtId="175" fontId="3" fillId="0" borderId="2" xfId="1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70" fontId="9" fillId="0" borderId="2" xfId="0" applyNumberFormat="1" applyFont="1" applyFill="1" applyBorder="1" applyAlignment="1">
      <alignment horizontal="center" vertical="center"/>
    </xf>
    <xf numFmtId="1" fontId="9" fillId="0" borderId="2" xfId="0"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167" fontId="3" fillId="0" borderId="2" xfId="1" applyFont="1" applyFill="1" applyBorder="1" applyAlignment="1">
      <alignment horizontal="center" vertical="center"/>
    </xf>
    <xf numFmtId="9" fontId="3" fillId="0" borderId="2" xfId="4" applyFont="1" applyFill="1" applyBorder="1" applyAlignment="1">
      <alignment horizontal="center" vertical="center"/>
    </xf>
    <xf numFmtId="169" fontId="9" fillId="0" borderId="2" xfId="0" applyNumberFormat="1" applyFont="1" applyFill="1" applyBorder="1" applyAlignment="1">
      <alignment horizontal="center" vertical="center"/>
    </xf>
    <xf numFmtId="0" fontId="9" fillId="0" borderId="0" xfId="0" applyFont="1" applyFill="1" applyAlignment="1">
      <alignment horizontal="center" vertical="center"/>
    </xf>
    <xf numFmtId="1" fontId="4" fillId="0" borderId="0" xfId="0" applyNumberFormat="1" applyFont="1"/>
    <xf numFmtId="0" fontId="4" fillId="2" borderId="0" xfId="0" applyFont="1" applyFill="1" applyAlignment="1">
      <alignment horizontal="justify" vertical="center" wrapText="1"/>
    </xf>
    <xf numFmtId="4" fontId="4" fillId="2" borderId="0" xfId="0" applyNumberFormat="1" applyFont="1" applyFill="1" applyAlignment="1">
      <alignment horizontal="center" vertical="center"/>
    </xf>
    <xf numFmtId="170" fontId="4" fillId="2" borderId="0" xfId="0" applyNumberFormat="1" applyFont="1" applyFill="1" applyAlignment="1">
      <alignment horizontal="justify" vertical="center" wrapText="1"/>
    </xf>
    <xf numFmtId="0" fontId="13" fillId="2" borderId="0" xfId="0" applyFont="1" applyFill="1" applyAlignment="1">
      <alignment horizontal="justify" vertical="center"/>
    </xf>
    <xf numFmtId="164" fontId="19" fillId="11" borderId="0" xfId="0" applyNumberFormat="1" applyFont="1" applyFill="1" applyAlignment="1">
      <alignment horizontal="right" vertical="center"/>
    </xf>
    <xf numFmtId="4" fontId="13" fillId="2" borderId="0" xfId="0" applyNumberFormat="1" applyFont="1" applyFill="1" applyAlignment="1">
      <alignment horizontal="center" vertical="center"/>
    </xf>
    <xf numFmtId="0" fontId="4" fillId="2" borderId="0" xfId="0" applyFont="1" applyFill="1" applyAlignment="1">
      <alignment wrapText="1"/>
    </xf>
    <xf numFmtId="169" fontId="4" fillId="0" borderId="0" xfId="0" applyNumberFormat="1" applyFont="1" applyAlignment="1">
      <alignment horizontal="right" vertical="center"/>
    </xf>
    <xf numFmtId="169" fontId="4" fillId="0" borderId="0" xfId="0" applyNumberFormat="1" applyFont="1" applyAlignment="1">
      <alignment horizontal="center"/>
    </xf>
    <xf numFmtId="4" fontId="4" fillId="2" borderId="0" xfId="0" applyNumberFormat="1" applyFont="1" applyFill="1" applyAlignment="1">
      <alignment horizontal="right" vertical="center"/>
    </xf>
    <xf numFmtId="0" fontId="2" fillId="2" borderId="0" xfId="0" applyFont="1" applyFill="1" applyAlignment="1">
      <alignment wrapText="1"/>
    </xf>
    <xf numFmtId="0" fontId="4" fillId="2" borderId="0" xfId="0" applyFont="1" applyFill="1" applyAlignment="1">
      <alignment horizontal="center" wrapText="1"/>
    </xf>
    <xf numFmtId="0" fontId="2" fillId="0"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15" borderId="2" xfId="0" applyFont="1" applyFill="1" applyBorder="1" applyAlignment="1">
      <alignment horizontal="center" vertical="center"/>
    </xf>
    <xf numFmtId="169" fontId="2" fillId="5" borderId="2" xfId="0" applyNumberFormat="1" applyFont="1" applyFill="1" applyBorder="1" applyAlignment="1">
      <alignment horizontal="center" vertical="center" wrapText="1"/>
    </xf>
    <xf numFmtId="170" fontId="2" fillId="4" borderId="2" xfId="0" applyNumberFormat="1" applyFont="1" applyFill="1" applyBorder="1" applyAlignment="1">
      <alignment vertical="center" wrapText="1"/>
    </xf>
    <xf numFmtId="0" fontId="3" fillId="6" borderId="2" xfId="0" applyNumberFormat="1" applyFont="1" applyFill="1" applyBorder="1" applyAlignment="1">
      <alignment horizontal="center" vertical="center" wrapText="1"/>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0" fontId="2" fillId="6" borderId="7" xfId="0" applyFont="1" applyFill="1" applyBorder="1" applyAlignment="1">
      <alignment horizontal="justify" vertical="center"/>
    </xf>
    <xf numFmtId="0" fontId="2" fillId="6" borderId="2" xfId="0" applyFont="1" applyFill="1" applyBorder="1" applyAlignment="1">
      <alignment horizontal="center" vertical="center" wrapText="1"/>
    </xf>
    <xf numFmtId="171" fontId="2" fillId="6" borderId="2" xfId="0" applyNumberFormat="1" applyFont="1" applyFill="1" applyBorder="1" applyAlignment="1">
      <alignment horizontal="center" vertical="center"/>
    </xf>
    <xf numFmtId="170" fontId="2" fillId="6" borderId="2" xfId="0" applyNumberFormat="1" applyFont="1" applyFill="1" applyBorder="1" applyAlignment="1">
      <alignment horizontal="justify" vertical="center"/>
    </xf>
    <xf numFmtId="170" fontId="2" fillId="6" borderId="2" xfId="0" applyNumberFormat="1" applyFont="1" applyFill="1" applyBorder="1" applyAlignment="1">
      <alignment horizontal="center" vertical="center"/>
    </xf>
    <xf numFmtId="1" fontId="2" fillId="6" borderId="2" xfId="0" applyNumberFormat="1" applyFont="1" applyFill="1" applyBorder="1" applyAlignment="1">
      <alignment horizontal="justify" vertical="center"/>
    </xf>
    <xf numFmtId="169" fontId="2" fillId="6" borderId="2"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8" borderId="21"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0" xfId="0" applyFont="1" applyFill="1" applyBorder="1" applyAlignment="1">
      <alignment horizontal="justify" vertical="center"/>
    </xf>
    <xf numFmtId="0" fontId="2" fillId="8" borderId="2" xfId="0" applyFont="1" applyFill="1" applyBorder="1" applyAlignment="1">
      <alignment horizontal="center" vertical="center"/>
    </xf>
    <xf numFmtId="0" fontId="2" fillId="8" borderId="2" xfId="0" applyFont="1" applyFill="1" applyBorder="1" applyAlignment="1">
      <alignment horizontal="justify" vertical="center"/>
    </xf>
    <xf numFmtId="0" fontId="2" fillId="8" borderId="2" xfId="0" applyFont="1" applyFill="1" applyBorder="1" applyAlignment="1">
      <alignment horizontal="center" vertical="center" wrapText="1"/>
    </xf>
    <xf numFmtId="171" fontId="2" fillId="8" borderId="2" xfId="0" applyNumberFormat="1" applyFont="1" applyFill="1" applyBorder="1" applyAlignment="1">
      <alignment horizontal="center" vertical="center"/>
    </xf>
    <xf numFmtId="170" fontId="2" fillId="8" borderId="2" xfId="0" applyNumberFormat="1" applyFont="1" applyFill="1" applyBorder="1" applyAlignment="1">
      <alignment horizontal="justify" vertical="center"/>
    </xf>
    <xf numFmtId="170" fontId="2" fillId="8" borderId="2" xfId="0" applyNumberFormat="1" applyFont="1" applyFill="1" applyBorder="1" applyAlignment="1">
      <alignment horizontal="center" vertical="center"/>
    </xf>
    <xf numFmtId="1" fontId="2" fillId="8" borderId="2" xfId="0" applyNumberFormat="1" applyFont="1" applyFill="1" applyBorder="1" applyAlignment="1">
      <alignment horizontal="justify" vertical="center"/>
    </xf>
    <xf numFmtId="169" fontId="2" fillId="8" borderId="2"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20" fillId="10" borderId="2" xfId="0" applyFont="1" applyFill="1" applyBorder="1" applyAlignment="1">
      <alignment horizontal="center" vertical="center" wrapText="1"/>
    </xf>
    <xf numFmtId="170" fontId="2" fillId="10" borderId="2" xfId="0" applyNumberFormat="1" applyFont="1" applyFill="1" applyBorder="1" applyAlignment="1">
      <alignment horizontal="center" vertical="center"/>
    </xf>
    <xf numFmtId="0" fontId="2" fillId="10" borderId="2" xfId="0" applyFont="1" applyFill="1" applyBorder="1" applyAlignment="1">
      <alignment horizontal="justify" vertical="center"/>
    </xf>
    <xf numFmtId="169" fontId="2" fillId="10" borderId="2"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167" fontId="10" fillId="2" borderId="9" xfId="2" applyNumberFormat="1" applyFont="1" applyFill="1" applyBorder="1" applyAlignment="1">
      <alignment horizontal="center" vertical="center" wrapText="1"/>
    </xf>
    <xf numFmtId="167" fontId="9" fillId="0" borderId="2" xfId="2" applyNumberFormat="1" applyFont="1" applyFill="1" applyBorder="1" applyAlignment="1" applyProtection="1">
      <alignment horizontal="center" vertical="center"/>
      <protection locked="0"/>
    </xf>
    <xf numFmtId="0" fontId="10" fillId="0" borderId="38"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167" fontId="10" fillId="2" borderId="4" xfId="2" applyNumberFormat="1" applyFont="1" applyFill="1" applyBorder="1" applyAlignment="1">
      <alignment horizontal="center" vertical="center" wrapText="1"/>
    </xf>
    <xf numFmtId="167" fontId="10" fillId="2" borderId="2" xfId="2" applyNumberFormat="1" applyFont="1" applyFill="1" applyBorder="1" applyAlignment="1">
      <alignment horizontal="center" vertical="center" wrapText="1"/>
    </xf>
    <xf numFmtId="0" fontId="9" fillId="0" borderId="40" xfId="0" applyFont="1" applyFill="1" applyBorder="1" applyAlignment="1">
      <alignment horizontal="justify" vertical="center" wrapText="1"/>
    </xf>
    <xf numFmtId="167" fontId="10" fillId="2" borderId="46" xfId="2" applyNumberFormat="1" applyFont="1" applyFill="1" applyBorder="1" applyAlignment="1">
      <alignment horizontal="center" vertical="center" wrapText="1"/>
    </xf>
    <xf numFmtId="167" fontId="9" fillId="2" borderId="2" xfId="2" applyNumberFormat="1" applyFont="1" applyFill="1" applyBorder="1" applyAlignment="1" applyProtection="1">
      <alignment horizontal="center" vertical="center"/>
      <protection locked="0"/>
    </xf>
    <xf numFmtId="0" fontId="10" fillId="2" borderId="38" xfId="0" applyFont="1" applyFill="1" applyBorder="1" applyAlignment="1">
      <alignment horizontal="justify" vertical="center" wrapText="1"/>
    </xf>
    <xf numFmtId="0" fontId="10" fillId="2" borderId="35" xfId="0" applyFont="1" applyFill="1" applyBorder="1" applyAlignment="1">
      <alignment horizontal="center" vertical="center" wrapText="1"/>
    </xf>
    <xf numFmtId="167" fontId="10" fillId="2" borderId="35" xfId="2" applyNumberFormat="1" applyFont="1" applyFill="1" applyBorder="1" applyAlignment="1">
      <alignment horizontal="center" vertical="center" wrapText="1"/>
    </xf>
    <xf numFmtId="0" fontId="10" fillId="0" borderId="37" xfId="0" applyFont="1" applyFill="1" applyBorder="1" applyAlignment="1">
      <alignment horizontal="justify" vertical="center" wrapText="1"/>
    </xf>
    <xf numFmtId="167" fontId="10" fillId="2" borderId="22" xfId="2" applyNumberFormat="1" applyFont="1" applyFill="1" applyBorder="1" applyAlignment="1">
      <alignment horizontal="center" vertical="center" wrapText="1"/>
    </xf>
    <xf numFmtId="0" fontId="10" fillId="2" borderId="37"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3" fillId="0" borderId="1" xfId="0" applyFont="1" applyFill="1" applyBorder="1" applyAlignment="1">
      <alignment horizontal="center" vertical="center"/>
    </xf>
    <xf numFmtId="0" fontId="4" fillId="2" borderId="2" xfId="0" applyFont="1" applyFill="1" applyBorder="1" applyAlignment="1">
      <alignment horizontal="justify"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 xfId="0" applyFont="1" applyFill="1" applyBorder="1" applyAlignment="1">
      <alignment horizontal="justify" vertical="center"/>
    </xf>
    <xf numFmtId="0" fontId="4" fillId="3" borderId="2" xfId="0" applyFont="1" applyFill="1" applyBorder="1" applyAlignment="1">
      <alignment horizontal="justify" vertical="center" wrapText="1"/>
    </xf>
    <xf numFmtId="4" fontId="2" fillId="3" borderId="2" xfId="0" applyNumberFormat="1" applyFont="1" applyFill="1" applyBorder="1" applyAlignment="1">
      <alignment horizontal="center" vertical="center"/>
    </xf>
    <xf numFmtId="167" fontId="2" fillId="3" borderId="2" xfId="2" applyNumberFormat="1" applyFont="1" applyFill="1" applyBorder="1" applyAlignment="1">
      <alignment horizontal="center" vertical="center"/>
    </xf>
    <xf numFmtId="4" fontId="2" fillId="3" borderId="2" xfId="0" applyNumberFormat="1" applyFont="1" applyFill="1" applyBorder="1" applyAlignment="1">
      <alignment horizontal="justify" vertical="center"/>
    </xf>
    <xf numFmtId="1" fontId="4" fillId="2" borderId="0" xfId="0" applyNumberFormat="1" applyFont="1" applyFill="1" applyAlignment="1">
      <alignment horizontal="justify" vertical="center"/>
    </xf>
    <xf numFmtId="166" fontId="21" fillId="16" borderId="2" xfId="2" applyFont="1" applyFill="1" applyBorder="1"/>
    <xf numFmtId="0" fontId="4" fillId="0" borderId="3" xfId="0" applyFont="1" applyBorder="1" applyAlignment="1">
      <alignment horizontal="center" vertical="center"/>
    </xf>
    <xf numFmtId="0" fontId="4" fillId="0" borderId="3" xfId="0" applyFont="1" applyBorder="1" applyAlignment="1">
      <alignment horizontal="justify" vertical="center"/>
    </xf>
    <xf numFmtId="171" fontId="4" fillId="2" borderId="0" xfId="0" applyNumberFormat="1" applyFont="1" applyFill="1" applyAlignment="1">
      <alignment horizontal="justify"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justify" vertical="center"/>
    </xf>
    <xf numFmtId="0" fontId="3" fillId="0" borderId="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 fontId="2" fillId="6" borderId="37" xfId="0" applyNumberFormat="1" applyFont="1" applyFill="1" applyBorder="1" applyAlignment="1">
      <alignment horizontal="center" vertical="center" wrapText="1"/>
    </xf>
    <xf numFmtId="0" fontId="3" fillId="6" borderId="28" xfId="0" applyFont="1" applyFill="1" applyBorder="1" applyAlignment="1">
      <alignment horizontal="left" vertical="center"/>
    </xf>
    <xf numFmtId="0" fontId="3" fillId="6" borderId="5" xfId="0" applyFont="1" applyFill="1" applyBorder="1" applyAlignment="1">
      <alignment horizontal="left" vertical="center"/>
    </xf>
    <xf numFmtId="0" fontId="2" fillId="6" borderId="25" xfId="0" applyFont="1" applyFill="1" applyBorder="1" applyAlignment="1">
      <alignment horizontal="justify" vertical="center"/>
    </xf>
    <xf numFmtId="0" fontId="2" fillId="6" borderId="25" xfId="0" applyFont="1" applyFill="1" applyBorder="1" applyAlignment="1">
      <alignment horizontal="center" vertical="center"/>
    </xf>
    <xf numFmtId="171" fontId="2" fillId="6" borderId="25" xfId="0" applyNumberFormat="1" applyFont="1" applyFill="1" applyBorder="1" applyAlignment="1">
      <alignment horizontal="center" vertical="center"/>
    </xf>
    <xf numFmtId="170" fontId="2" fillId="6" borderId="25" xfId="0" applyNumberFormat="1" applyFont="1" applyFill="1" applyBorder="1" applyAlignment="1">
      <alignment horizontal="center" vertical="center"/>
    </xf>
    <xf numFmtId="0" fontId="4" fillId="6" borderId="25" xfId="0" applyFont="1" applyFill="1" applyBorder="1" applyAlignment="1">
      <alignment horizontal="justify" vertical="center"/>
    </xf>
    <xf numFmtId="1" fontId="2" fillId="6" borderId="25" xfId="0" applyNumberFormat="1" applyFont="1" applyFill="1" applyBorder="1" applyAlignment="1">
      <alignment horizontal="center" vertical="center"/>
    </xf>
    <xf numFmtId="0" fontId="2" fillId="6" borderId="21" xfId="0" applyFont="1" applyFill="1" applyBorder="1" applyAlignment="1">
      <alignment horizontal="center" vertical="center"/>
    </xf>
    <xf numFmtId="1" fontId="2"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4" fillId="8" borderId="25" xfId="0" applyFont="1" applyFill="1" applyBorder="1" applyAlignment="1">
      <alignment horizontal="justify" vertical="center"/>
    </xf>
    <xf numFmtId="0" fontId="2" fillId="8" borderId="22" xfId="0" applyFont="1" applyFill="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24" xfId="0" applyFont="1" applyFill="1" applyBorder="1" applyAlignment="1">
      <alignment horizontal="center" vertical="center"/>
    </xf>
    <xf numFmtId="0" fontId="3" fillId="10" borderId="24" xfId="0" applyFont="1" applyFill="1" applyBorder="1" applyAlignment="1">
      <alignment horizontal="justify" vertical="center"/>
    </xf>
    <xf numFmtId="0" fontId="9" fillId="10" borderId="24" xfId="0" applyFont="1" applyFill="1" applyBorder="1" applyAlignment="1">
      <alignment horizontal="justify" vertical="center"/>
    </xf>
    <xf numFmtId="0" fontId="3" fillId="10" borderId="25" xfId="0" applyFont="1" applyFill="1" applyBorder="1" applyAlignment="1">
      <alignment horizontal="center" vertical="center"/>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7" fontId="9" fillId="2" borderId="2" xfId="11" applyNumberFormat="1" applyFont="1" applyFill="1" applyBorder="1" applyAlignment="1">
      <alignment horizontal="center" vertical="center"/>
    </xf>
    <xf numFmtId="167" fontId="9" fillId="0" borderId="2" xfId="11" applyFont="1" applyFill="1" applyBorder="1" applyAlignment="1" applyProtection="1">
      <alignment horizontal="right" vertical="center"/>
      <protection locked="0"/>
    </xf>
    <xf numFmtId="0" fontId="10" fillId="2" borderId="24" xfId="0" applyFont="1" applyFill="1" applyBorder="1" applyAlignment="1">
      <alignment horizontal="center" vertical="center" wrapText="1"/>
    </xf>
    <xf numFmtId="167" fontId="9" fillId="2" borderId="15" xfId="11" applyNumberFormat="1" applyFont="1" applyFill="1" applyBorder="1" applyAlignment="1">
      <alignment horizontal="center" vertical="center"/>
    </xf>
    <xf numFmtId="0" fontId="10" fillId="2" borderId="25" xfId="0" applyFont="1" applyFill="1" applyBorder="1" applyAlignment="1">
      <alignment horizontal="center" vertical="center" wrapText="1"/>
    </xf>
    <xf numFmtId="0" fontId="3" fillId="0" borderId="0" xfId="0" applyFont="1" applyBorder="1" applyAlignment="1">
      <alignment horizontal="center" vertical="center" wrapText="1"/>
    </xf>
    <xf numFmtId="0" fontId="9" fillId="0" borderId="2" xfId="0" applyFont="1" applyFill="1" applyBorder="1" applyAlignment="1">
      <alignment horizontal="center" vertical="center" wrapText="1"/>
    </xf>
    <xf numFmtId="167" fontId="9" fillId="2" borderId="2" xfId="0" applyNumberFormat="1" applyFont="1" applyFill="1" applyBorder="1" applyAlignment="1">
      <alignment horizontal="center" vertical="center"/>
    </xf>
    <xf numFmtId="0" fontId="9" fillId="0" borderId="2" xfId="11" applyNumberFormat="1" applyFont="1" applyFill="1" applyBorder="1" applyAlignment="1">
      <alignment horizontal="center" vertical="center"/>
    </xf>
    <xf numFmtId="167" fontId="9" fillId="2" borderId="2" xfId="1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167" fontId="9" fillId="2" borderId="38" xfId="11" applyFont="1" applyFill="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10" borderId="2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0" xfId="0" applyFont="1" applyFill="1" applyBorder="1" applyAlignment="1">
      <alignment horizontal="justify" vertical="center" wrapText="1"/>
    </xf>
    <xf numFmtId="0" fontId="3" fillId="10" borderId="20" xfId="0" applyFont="1" applyFill="1" applyBorder="1" applyAlignment="1">
      <alignment horizontal="justify" vertical="center"/>
    </xf>
    <xf numFmtId="0" fontId="3" fillId="10" borderId="2" xfId="0" applyFont="1" applyFill="1" applyBorder="1" applyAlignment="1">
      <alignment horizontal="center" vertical="center" wrapText="1"/>
    </xf>
    <xf numFmtId="167" fontId="9" fillId="10" borderId="2" xfId="0" applyNumberFormat="1" applyFont="1" applyFill="1" applyBorder="1" applyAlignment="1">
      <alignment horizontal="justify" vertical="center"/>
    </xf>
    <xf numFmtId="167" fontId="3" fillId="10" borderId="2" xfId="0" applyNumberFormat="1" applyFont="1" applyFill="1" applyBorder="1" applyAlignment="1">
      <alignment horizontal="justify" vertical="center"/>
    </xf>
    <xf numFmtId="167" fontId="3" fillId="10" borderId="2" xfId="0" applyNumberFormat="1" applyFont="1" applyFill="1" applyBorder="1" applyAlignment="1">
      <alignment horizontal="center" vertical="center"/>
    </xf>
    <xf numFmtId="0" fontId="9" fillId="10" borderId="2" xfId="0" applyFont="1" applyFill="1" applyBorder="1" applyAlignment="1">
      <alignment horizontal="center" vertical="center"/>
    </xf>
    <xf numFmtId="167" fontId="3" fillId="10" borderId="2" xfId="0" applyNumberFormat="1" applyFont="1" applyFill="1" applyBorder="1" applyAlignment="1">
      <alignment horizontal="center" vertical="center" wrapText="1"/>
    </xf>
    <xf numFmtId="167" fontId="3" fillId="10" borderId="2" xfId="2" applyNumberFormat="1" applyFont="1" applyFill="1" applyBorder="1" applyAlignment="1">
      <alignment horizontal="center" vertical="center"/>
    </xf>
    <xf numFmtId="9" fontId="3" fillId="10" borderId="2" xfId="4" applyFont="1" applyFill="1" applyBorder="1" applyAlignment="1">
      <alignment horizontal="center" vertical="center"/>
    </xf>
    <xf numFmtId="167" fontId="9" fillId="0" borderId="30" xfId="0" applyNumberFormat="1" applyFont="1" applyBorder="1" applyAlignment="1">
      <alignment horizontal="justify" vertical="center" wrapText="1"/>
    </xf>
    <xf numFmtId="167" fontId="9" fillId="0" borderId="18" xfId="0" applyNumberFormat="1" applyFont="1" applyFill="1" applyBorder="1" applyAlignment="1">
      <alignment horizontal="center" vertical="center"/>
    </xf>
    <xf numFmtId="0" fontId="10" fillId="0" borderId="46" xfId="0" applyFont="1" applyFill="1" applyBorder="1" applyAlignment="1">
      <alignment horizontal="center" vertical="center" wrapText="1"/>
    </xf>
    <xf numFmtId="0" fontId="9" fillId="0" borderId="46" xfId="0" applyFont="1" applyBorder="1" applyAlignment="1">
      <alignment horizontal="center" vertical="center"/>
    </xf>
    <xf numFmtId="167" fontId="9" fillId="0" borderId="36" xfId="0" applyNumberFormat="1" applyFont="1" applyBorder="1" applyAlignment="1">
      <alignment horizontal="center" vertical="center" wrapText="1"/>
    </xf>
    <xf numFmtId="0" fontId="3" fillId="0" borderId="1" xfId="0" applyFont="1" applyBorder="1" applyAlignment="1">
      <alignment horizontal="center" vertical="center"/>
    </xf>
    <xf numFmtId="167" fontId="9" fillId="0" borderId="23" xfId="11" applyFont="1" applyFill="1" applyBorder="1" applyAlignment="1">
      <alignment horizontal="justify" vertical="center"/>
    </xf>
    <xf numFmtId="167" fontId="9" fillId="0" borderId="2"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9" fillId="0" borderId="22" xfId="0" applyFont="1" applyBorder="1" applyAlignment="1">
      <alignment horizontal="center" vertical="center"/>
    </xf>
    <xf numFmtId="167" fontId="9" fillId="0" borderId="37" xfId="0" applyNumberFormat="1" applyFont="1" applyBorder="1" applyAlignment="1">
      <alignment horizontal="center" vertical="center" wrapText="1"/>
    </xf>
    <xf numFmtId="0" fontId="2" fillId="3" borderId="7" xfId="0" applyFont="1" applyFill="1" applyBorder="1" applyAlignment="1">
      <alignment horizontal="center" vertical="center"/>
    </xf>
    <xf numFmtId="41" fontId="2" fillId="3" borderId="8" xfId="3" applyNumberFormat="1" applyFont="1" applyFill="1" applyBorder="1" applyAlignment="1">
      <alignment vertical="center"/>
    </xf>
    <xf numFmtId="167" fontId="2" fillId="3" borderId="2" xfId="3" applyNumberFormat="1" applyFont="1" applyFill="1" applyBorder="1" applyAlignment="1">
      <alignment horizontal="center" vertical="center"/>
    </xf>
    <xf numFmtId="0" fontId="2" fillId="3" borderId="9" xfId="0" applyFont="1" applyFill="1" applyBorder="1" applyAlignment="1">
      <alignment horizontal="center" vertical="center"/>
    </xf>
    <xf numFmtId="166" fontId="21" fillId="17" borderId="2" xfId="2" applyFont="1" applyFill="1" applyBorder="1"/>
    <xf numFmtId="166" fontId="4" fillId="0" borderId="0" xfId="2" applyFont="1" applyAlignment="1">
      <alignment horizontal="center" vertical="center"/>
    </xf>
    <xf numFmtId="0" fontId="2" fillId="2" borderId="2" xfId="0" applyFont="1" applyFill="1" applyBorder="1" applyAlignment="1">
      <alignment horizontal="center" vertical="center"/>
    </xf>
    <xf numFmtId="0" fontId="3" fillId="0" borderId="2" xfId="0" applyFont="1" applyFill="1" applyBorder="1" applyAlignment="1">
      <alignment horizontal="justify" vertical="center"/>
    </xf>
    <xf numFmtId="3" fontId="3" fillId="0" borderId="2" xfId="0" applyNumberFormat="1" applyFont="1" applyFill="1" applyBorder="1" applyAlignment="1">
      <alignment horizontal="justify" vertical="center" wrapText="1"/>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9" fontId="2" fillId="0" borderId="3" xfId="4" applyFont="1" applyBorder="1" applyAlignment="1">
      <alignment horizontal="center"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6" fillId="4" borderId="2" xfId="0" applyFont="1" applyFill="1" applyBorder="1" applyAlignment="1">
      <alignment horizontal="center" vertical="center" wrapText="1"/>
    </xf>
    <xf numFmtId="0" fontId="6" fillId="4" borderId="15" xfId="0" applyFont="1" applyFill="1" applyBorder="1" applyAlignment="1">
      <alignment horizontal="justify" vertical="center" wrapText="1"/>
    </xf>
    <xf numFmtId="0" fontId="6" fillId="4" borderId="18" xfId="0" applyFont="1" applyFill="1" applyBorder="1" applyAlignment="1">
      <alignment horizontal="justify" vertical="center" wrapText="1"/>
    </xf>
    <xf numFmtId="1" fontId="2" fillId="6" borderId="2" xfId="0" applyNumberFormat="1" applyFont="1" applyFill="1" applyBorder="1" applyAlignment="1">
      <alignment horizontal="center" vertical="center" wrapText="1"/>
    </xf>
    <xf numFmtId="1" fontId="2" fillId="6" borderId="2" xfId="0" applyNumberFormat="1" applyFont="1" applyFill="1" applyBorder="1" applyAlignment="1">
      <alignment horizontal="center" vertical="center"/>
    </xf>
    <xf numFmtId="9" fontId="2" fillId="6" borderId="2" xfId="4" applyFont="1" applyFill="1" applyBorder="1" applyAlignment="1">
      <alignment horizontal="center" vertical="center"/>
    </xf>
    <xf numFmtId="171" fontId="2" fillId="8" borderId="0" xfId="0" applyNumberFormat="1" applyFont="1" applyFill="1" applyBorder="1" applyAlignment="1">
      <alignment horizontal="center" vertical="center"/>
    </xf>
    <xf numFmtId="170" fontId="2" fillId="8" borderId="0" xfId="0" applyNumberFormat="1" applyFont="1" applyFill="1" applyBorder="1" applyAlignment="1">
      <alignment horizontal="center" vertical="center"/>
    </xf>
    <xf numFmtId="1" fontId="2" fillId="8" borderId="0" xfId="0" applyNumberFormat="1" applyFont="1" applyFill="1" applyBorder="1" applyAlignment="1">
      <alignment horizontal="center" vertical="center"/>
    </xf>
    <xf numFmtId="9" fontId="2" fillId="8" borderId="0" xfId="4" applyFont="1" applyFill="1" applyBorder="1" applyAlignment="1">
      <alignment horizontal="center" vertical="center"/>
    </xf>
    <xf numFmtId="169" fontId="2" fillId="8" borderId="0" xfId="0" applyNumberFormat="1" applyFont="1" applyFill="1" applyBorder="1" applyAlignment="1">
      <alignment horizontal="center" vertical="center"/>
    </xf>
    <xf numFmtId="0" fontId="2" fillId="8" borderId="21" xfId="0" applyFont="1" applyFill="1" applyBorder="1" applyAlignment="1">
      <alignment horizontal="justify" vertical="center"/>
    </xf>
    <xf numFmtId="9" fontId="2" fillId="10" borderId="25" xfId="4" applyFont="1" applyFill="1" applyBorder="1" applyAlignment="1">
      <alignment horizontal="center" vertical="center"/>
    </xf>
    <xf numFmtId="0" fontId="2" fillId="10" borderId="22" xfId="0" applyFont="1" applyFill="1" applyBorder="1" applyAlignment="1">
      <alignment horizontal="justify" vertical="center"/>
    </xf>
    <xf numFmtId="0" fontId="2" fillId="0" borderId="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4" fillId="2" borderId="2" xfId="0" applyFont="1" applyFill="1" applyBorder="1" applyAlignment="1">
      <alignment horizontal="justify" vertical="center" wrapText="1"/>
    </xf>
    <xf numFmtId="167" fontId="9" fillId="0" borderId="2" xfId="2"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4" fillId="0" borderId="2" xfId="7" applyFont="1" applyFill="1" applyBorder="1" applyAlignment="1">
      <alignment horizontal="justify" vertical="center" wrapText="1"/>
    </xf>
    <xf numFmtId="167" fontId="4" fillId="0" borderId="2" xfId="2"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3" fontId="4" fillId="0" borderId="2" xfId="0" applyNumberFormat="1" applyFont="1" applyBorder="1" applyAlignment="1">
      <alignment horizontal="justify" vertical="center" wrapText="1"/>
    </xf>
    <xf numFmtId="0" fontId="3" fillId="8" borderId="2" xfId="0" applyFont="1" applyFill="1" applyBorder="1" applyAlignment="1">
      <alignment horizontal="center" vertical="center" wrapText="1"/>
    </xf>
    <xf numFmtId="0" fontId="9" fillId="8" borderId="2" xfId="13" applyNumberFormat="1" applyFont="1" applyFill="1" applyBorder="1" applyAlignment="1">
      <alignment horizontal="center" vertical="center" wrapText="1"/>
    </xf>
    <xf numFmtId="0" fontId="9" fillId="8" borderId="2" xfId="13" applyNumberFormat="1"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9" fontId="4" fillId="8" borderId="2" xfId="4" applyFont="1" applyFill="1" applyBorder="1" applyAlignment="1">
      <alignment horizontal="center" vertical="center" wrapText="1"/>
    </xf>
    <xf numFmtId="167" fontId="9" fillId="8" borderId="2" xfId="14" applyFont="1" applyFill="1" applyBorder="1" applyAlignment="1">
      <alignment horizontal="center" vertical="center" wrapText="1"/>
    </xf>
    <xf numFmtId="3" fontId="4" fillId="8" borderId="2" xfId="0" applyNumberFormat="1" applyFont="1" applyFill="1" applyBorder="1" applyAlignment="1">
      <alignment horizontal="justify" vertical="center" wrapText="1"/>
    </xf>
    <xf numFmtId="0" fontId="4" fillId="8" borderId="2" xfId="7" applyFont="1" applyFill="1" applyBorder="1" applyAlignment="1">
      <alignment horizontal="justify" vertical="center" wrapText="1"/>
    </xf>
    <xf numFmtId="167" fontId="4" fillId="8" borderId="2" xfId="2" applyNumberFormat="1" applyFont="1" applyFill="1" applyBorder="1" applyAlignment="1">
      <alignment horizontal="center" vertical="center"/>
    </xf>
    <xf numFmtId="0" fontId="4" fillId="8" borderId="0" xfId="0"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3" fontId="4" fillId="8" borderId="2" xfId="0" applyNumberFormat="1" applyFont="1" applyFill="1" applyBorder="1" applyAlignment="1">
      <alignment horizontal="center" vertical="center"/>
    </xf>
    <xf numFmtId="9" fontId="4" fillId="8" borderId="2" xfId="4" applyFont="1" applyFill="1" applyBorder="1" applyAlignment="1">
      <alignment horizontal="center" vertical="center"/>
    </xf>
    <xf numFmtId="3" fontId="4" fillId="8" borderId="2" xfId="0" applyNumberFormat="1" applyFont="1" applyFill="1" applyBorder="1" applyAlignment="1">
      <alignment horizontal="justify" vertical="center"/>
    </xf>
    <xf numFmtId="169" fontId="4" fillId="8" borderId="2" xfId="0" applyNumberFormat="1" applyFont="1" applyFill="1" applyBorder="1" applyAlignment="1">
      <alignment horizontal="center" vertical="center" wrapText="1"/>
    </xf>
    <xf numFmtId="167" fontId="4" fillId="10" borderId="2" xfId="2" applyNumberFormat="1" applyFont="1" applyFill="1" applyBorder="1" applyAlignment="1">
      <alignment horizontal="center" vertical="center"/>
    </xf>
    <xf numFmtId="167" fontId="2" fillId="10" borderId="2" xfId="2" applyNumberFormat="1" applyFont="1" applyFill="1" applyBorder="1" applyAlignment="1">
      <alignment horizontal="center" vertical="center"/>
    </xf>
    <xf numFmtId="9" fontId="2" fillId="10" borderId="2" xfId="4" applyFont="1" applyFill="1" applyBorder="1" applyAlignment="1">
      <alignment horizontal="center" vertical="center"/>
    </xf>
    <xf numFmtId="1" fontId="4" fillId="0" borderId="6" xfId="0" applyNumberFormat="1" applyFont="1" applyBorder="1" applyAlignment="1">
      <alignment horizontal="center" vertical="center"/>
    </xf>
    <xf numFmtId="0" fontId="9" fillId="0" borderId="2" xfId="0" applyNumberFormat="1" applyFont="1" applyFill="1" applyBorder="1" applyAlignment="1">
      <alignment horizontal="justify" vertical="center" wrapText="1"/>
    </xf>
    <xf numFmtId="0" fontId="9" fillId="0" borderId="2" xfId="15" applyNumberFormat="1" applyFont="1" applyFill="1" applyBorder="1" applyAlignment="1">
      <alignment horizontal="center" vertical="center" wrapText="1"/>
    </xf>
    <xf numFmtId="0" fontId="4" fillId="0" borderId="2" xfId="7" applyFont="1" applyBorder="1" applyAlignment="1">
      <alignment horizontal="justify" vertical="center" wrapText="1"/>
    </xf>
    <xf numFmtId="0" fontId="9" fillId="8" borderId="2" xfId="15" applyNumberFormat="1" applyFont="1" applyFill="1" applyBorder="1" applyAlignment="1">
      <alignment horizontal="center" vertical="center" wrapText="1"/>
    </xf>
    <xf numFmtId="0" fontId="9" fillId="8" borderId="2" xfId="15" applyFont="1" applyFill="1" applyBorder="1" applyAlignment="1">
      <alignment horizontal="justify" vertical="center" wrapText="1"/>
    </xf>
    <xf numFmtId="0" fontId="9" fillId="8" borderId="2" xfId="15" applyFont="1" applyFill="1" applyBorder="1" applyAlignment="1">
      <alignment horizontal="center" vertical="center" wrapText="1"/>
    </xf>
    <xf numFmtId="170" fontId="4" fillId="8" borderId="2" xfId="0" applyNumberFormat="1" applyFont="1" applyFill="1" applyBorder="1" applyAlignment="1">
      <alignment horizontal="center" vertical="center" wrapText="1"/>
    </xf>
    <xf numFmtId="167" fontId="4" fillId="8" borderId="2" xfId="2" applyNumberFormat="1" applyFont="1" applyFill="1" applyBorder="1" applyAlignment="1">
      <alignment horizontal="center" vertical="center" wrapText="1"/>
    </xf>
    <xf numFmtId="0" fontId="4" fillId="8" borderId="2" xfId="0" applyFont="1" applyFill="1" applyBorder="1" applyAlignment="1">
      <alignment horizontal="justify" vertical="center"/>
    </xf>
    <xf numFmtId="0" fontId="2" fillId="10" borderId="2" xfId="0" applyFont="1" applyFill="1" applyBorder="1" applyAlignment="1">
      <alignment horizontal="left" vertical="center"/>
    </xf>
    <xf numFmtId="0" fontId="9" fillId="2"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9" fillId="8" borderId="2" xfId="0" applyFont="1" applyFill="1" applyBorder="1" applyAlignment="1">
      <alignment horizontal="justify" vertical="center" wrapText="1"/>
    </xf>
    <xf numFmtId="169" fontId="4" fillId="8" borderId="2" xfId="0" applyNumberFormat="1" applyFont="1" applyFill="1" applyBorder="1" applyAlignment="1">
      <alignment horizontal="justify" vertical="center" wrapText="1"/>
    </xf>
    <xf numFmtId="0" fontId="4"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2" xfId="0" applyNumberFormat="1" applyFont="1" applyBorder="1" applyAlignment="1">
      <alignment horizontal="justify" vertical="center" wrapText="1"/>
    </xf>
    <xf numFmtId="0" fontId="9" fillId="0" borderId="2" xfId="0" applyFont="1" applyBorder="1" applyAlignment="1">
      <alignment horizontal="justify"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5" xfId="0" applyFont="1" applyFill="1" applyBorder="1" applyAlignment="1">
      <alignment horizontal="center" vertical="center"/>
    </xf>
    <xf numFmtId="0" fontId="9" fillId="2" borderId="38" xfId="0" applyFont="1" applyFill="1" applyBorder="1" applyAlignment="1">
      <alignment horizontal="justify" vertical="center" wrapText="1"/>
    </xf>
    <xf numFmtId="167" fontId="4" fillId="6" borderId="2" xfId="2" applyNumberFormat="1" applyFont="1" applyFill="1" applyBorder="1" applyAlignment="1">
      <alignment horizontal="center" vertical="center"/>
    </xf>
    <xf numFmtId="167" fontId="2" fillId="6" borderId="2" xfId="2" applyNumberFormat="1" applyFont="1" applyFill="1" applyBorder="1" applyAlignment="1">
      <alignment horizontal="center" vertical="center"/>
    </xf>
    <xf numFmtId="1" fontId="2" fillId="8" borderId="2" xfId="0" applyNumberFormat="1" applyFont="1" applyFill="1" applyBorder="1" applyAlignment="1">
      <alignment horizontal="center" vertical="center"/>
    </xf>
    <xf numFmtId="167" fontId="2" fillId="8" borderId="2" xfId="2" applyNumberFormat="1" applyFont="1" applyFill="1" applyBorder="1" applyAlignment="1">
      <alignment horizontal="center" vertical="center"/>
    </xf>
    <xf numFmtId="9" fontId="2" fillId="8" borderId="2" xfId="4" applyFont="1" applyFill="1" applyBorder="1" applyAlignment="1">
      <alignment horizontal="center" vertical="center"/>
    </xf>
    <xf numFmtId="0" fontId="2" fillId="10" borderId="2" xfId="0" applyFont="1" applyFill="1" applyBorder="1" applyAlignment="1">
      <alignment horizontal="center" vertical="center" wrapText="1"/>
    </xf>
    <xf numFmtId="181" fontId="9" fillId="0" borderId="2" xfId="0" applyNumberFormat="1" applyFont="1" applyFill="1" applyBorder="1" applyAlignment="1">
      <alignment horizontal="justify" vertical="center" wrapText="1"/>
    </xf>
    <xf numFmtId="167" fontId="9" fillId="2" borderId="2" xfId="2" applyNumberFormat="1" applyFont="1" applyFill="1" applyBorder="1" applyAlignment="1">
      <alignment horizontal="center" vertical="center"/>
    </xf>
    <xf numFmtId="167" fontId="9" fillId="0" borderId="2" xfId="2" applyNumberFormat="1" applyFont="1" applyFill="1" applyBorder="1" applyAlignment="1">
      <alignment horizontal="center" vertical="center"/>
    </xf>
    <xf numFmtId="0" fontId="9" fillId="0" borderId="9" xfId="0" applyFont="1" applyFill="1" applyBorder="1" applyAlignment="1">
      <alignment horizontal="center" vertical="center" wrapText="1"/>
    </xf>
    <xf numFmtId="181" fontId="9" fillId="2" borderId="2" xfId="0" applyNumberFormat="1" applyFont="1" applyFill="1" applyBorder="1" applyAlignment="1">
      <alignment horizontal="justify" vertical="center" wrapText="1"/>
    </xf>
    <xf numFmtId="0" fontId="9" fillId="0" borderId="7" xfId="0" applyFont="1" applyFill="1" applyBorder="1" applyAlignment="1">
      <alignment horizontal="justify" vertical="center" wrapText="1"/>
    </xf>
    <xf numFmtId="181" fontId="9" fillId="2" borderId="7" xfId="0" applyNumberFormat="1" applyFont="1" applyFill="1" applyBorder="1" applyAlignment="1">
      <alignment horizontal="justify" vertical="center" wrapText="1"/>
    </xf>
    <xf numFmtId="0" fontId="9" fillId="2" borderId="2" xfId="0" applyNumberFormat="1" applyFont="1" applyFill="1" applyBorder="1" applyAlignment="1">
      <alignment horizontal="center" vertical="center" wrapText="1"/>
    </xf>
    <xf numFmtId="9" fontId="4" fillId="2" borderId="2" xfId="4" applyFont="1" applyFill="1" applyBorder="1" applyAlignment="1">
      <alignment horizontal="center" vertical="center" wrapText="1"/>
    </xf>
    <xf numFmtId="170" fontId="4" fillId="2" borderId="2" xfId="0" applyNumberFormat="1" applyFont="1" applyFill="1" applyBorder="1" applyAlignment="1">
      <alignment horizontal="center" vertical="center" wrapText="1"/>
    </xf>
    <xf numFmtId="167" fontId="4" fillId="0" borderId="2" xfId="2" applyNumberFormat="1" applyFont="1" applyFill="1" applyBorder="1" applyAlignment="1">
      <alignment horizontal="center" vertical="center" wrapText="1"/>
    </xf>
    <xf numFmtId="167" fontId="4" fillId="0" borderId="2" xfId="2" applyNumberFormat="1" applyFont="1" applyBorder="1" applyAlignment="1">
      <alignment horizontal="center" vertical="center" wrapText="1"/>
    </xf>
    <xf numFmtId="9" fontId="4" fillId="0" borderId="2" xfId="4" applyFont="1" applyBorder="1" applyAlignment="1">
      <alignment horizontal="center" vertical="center" wrapText="1"/>
    </xf>
    <xf numFmtId="169" fontId="4" fillId="0" borderId="2" xfId="0" applyNumberFormat="1" applyFont="1" applyFill="1" applyBorder="1" applyAlignment="1">
      <alignment horizontal="center" vertical="center" wrapText="1"/>
    </xf>
    <xf numFmtId="169" fontId="4" fillId="2" borderId="2" xfId="0" applyNumberFormat="1" applyFont="1" applyFill="1" applyBorder="1" applyAlignment="1">
      <alignment horizontal="center" vertical="center" wrapText="1"/>
    </xf>
    <xf numFmtId="3" fontId="4" fillId="0" borderId="2" xfId="0" applyNumberFormat="1" applyFont="1" applyFill="1" applyBorder="1" applyAlignment="1">
      <alignment horizontal="justify" vertical="center" wrapText="1"/>
    </xf>
    <xf numFmtId="0" fontId="9" fillId="8"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9" fillId="8" borderId="0" xfId="0" applyFont="1" applyFill="1" applyBorder="1" applyAlignment="1">
      <alignment horizontal="center" vertical="center" wrapText="1"/>
    </xf>
    <xf numFmtId="0" fontId="4" fillId="0" borderId="0" xfId="0" applyFont="1" applyAlignment="1">
      <alignment horizontal="center" vertical="center" wrapText="1"/>
    </xf>
    <xf numFmtId="167" fontId="9" fillId="2" borderId="2" xfId="2" quotePrefix="1"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justify" vertical="center" wrapText="1"/>
    </xf>
    <xf numFmtId="181" fontId="9" fillId="2" borderId="38" xfId="0" applyNumberFormat="1" applyFont="1" applyFill="1" applyBorder="1" applyAlignment="1">
      <alignment horizontal="justify" vertical="center" wrapText="1"/>
    </xf>
    <xf numFmtId="181" fontId="9" fillId="2" borderId="37" xfId="0" applyNumberFormat="1" applyFont="1" applyFill="1" applyBorder="1" applyAlignment="1">
      <alignment horizontal="justify" vertical="center" wrapText="1"/>
    </xf>
    <xf numFmtId="181" fontId="9" fillId="8" borderId="2" xfId="0" applyNumberFormat="1" applyFont="1" applyFill="1" applyBorder="1" applyAlignment="1">
      <alignment horizontal="justify" vertical="center" wrapText="1"/>
    </xf>
    <xf numFmtId="0" fontId="18" fillId="8" borderId="0"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9" fillId="6" borderId="2" xfId="7" applyFont="1" applyFill="1" applyBorder="1" applyAlignment="1">
      <alignment horizontal="center" vertical="center" wrapText="1"/>
    </xf>
    <xf numFmtId="0" fontId="9" fillId="6" borderId="2" xfId="7" applyFont="1" applyFill="1" applyBorder="1" applyAlignment="1">
      <alignment horizontal="justify" vertical="center" wrapText="1"/>
    </xf>
    <xf numFmtId="0" fontId="4"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justify" vertical="center" wrapText="1"/>
    </xf>
    <xf numFmtId="9" fontId="4" fillId="6" borderId="2" xfId="4" applyFont="1" applyFill="1" applyBorder="1" applyAlignment="1">
      <alignment horizontal="center" vertical="center" wrapText="1"/>
    </xf>
    <xf numFmtId="170" fontId="4" fillId="6" borderId="2" xfId="0" applyNumberFormat="1" applyFont="1" applyFill="1" applyBorder="1" applyAlignment="1">
      <alignment horizontal="center" vertical="center" wrapText="1"/>
    </xf>
    <xf numFmtId="0" fontId="4" fillId="6" borderId="2" xfId="0" applyFont="1" applyFill="1" applyBorder="1" applyAlignment="1">
      <alignment horizontal="justify" vertical="center" wrapText="1"/>
    </xf>
    <xf numFmtId="167" fontId="4" fillId="6" borderId="2" xfId="2"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69" fontId="4" fillId="6" borderId="2" xfId="0" applyNumberFormat="1" applyFont="1" applyFill="1" applyBorder="1" applyAlignment="1">
      <alignment horizontal="center" vertical="center" wrapText="1"/>
    </xf>
    <xf numFmtId="3" fontId="4" fillId="6" borderId="2" xfId="0" applyNumberFormat="1" applyFont="1" applyFill="1" applyBorder="1" applyAlignment="1">
      <alignment horizontal="justify" vertical="center" wrapText="1"/>
    </xf>
    <xf numFmtId="0" fontId="9" fillId="8" borderId="2" xfId="7" applyFont="1" applyFill="1" applyBorder="1" applyAlignment="1">
      <alignment horizontal="center" vertical="center" wrapText="1"/>
    </xf>
    <xf numFmtId="0" fontId="9" fillId="8" borderId="2" xfId="7" applyFont="1" applyFill="1" applyBorder="1" applyAlignment="1">
      <alignment horizontal="justify" vertical="center" wrapText="1"/>
    </xf>
    <xf numFmtId="0" fontId="4" fillId="8" borderId="25" xfId="0" applyFont="1" applyFill="1" applyBorder="1" applyAlignment="1">
      <alignment horizontal="center" vertical="center" wrapText="1"/>
    </xf>
    <xf numFmtId="0" fontId="9" fillId="2" borderId="15" xfId="0" applyFont="1" applyFill="1" applyBorder="1" applyAlignment="1">
      <alignment horizontal="justify" vertical="center" wrapText="1"/>
    </xf>
    <xf numFmtId="0" fontId="2" fillId="10" borderId="0" xfId="0" applyFont="1" applyFill="1" applyBorder="1" applyAlignment="1">
      <alignment horizontal="center" vertical="center"/>
    </xf>
    <xf numFmtId="0" fontId="18" fillId="8" borderId="25" xfId="0" applyFont="1" applyFill="1" applyBorder="1" applyAlignment="1">
      <alignment horizontal="center" vertical="center" wrapText="1"/>
    </xf>
    <xf numFmtId="0" fontId="9" fillId="0" borderId="2" xfId="13" applyNumberFormat="1" applyFont="1" applyFill="1" applyBorder="1" applyAlignment="1">
      <alignment horizontal="center" vertical="center" wrapText="1"/>
    </xf>
    <xf numFmtId="179" fontId="9" fillId="0" borderId="2" xfId="13" applyFont="1" applyFill="1" applyBorder="1" applyAlignment="1">
      <alignment horizontal="justify" vertical="center" wrapText="1"/>
    </xf>
    <xf numFmtId="0" fontId="4" fillId="0" borderId="2" xfId="0" applyFont="1" applyFill="1" applyBorder="1" applyAlignment="1">
      <alignment horizontal="center" vertical="center"/>
    </xf>
    <xf numFmtId="10" fontId="4" fillId="0" borderId="2" xfId="4" applyNumberFormat="1" applyFont="1" applyFill="1" applyBorder="1" applyAlignment="1">
      <alignment horizontal="center" vertical="center"/>
    </xf>
    <xf numFmtId="179" fontId="9" fillId="2" borderId="2" xfId="13" applyFont="1" applyFill="1" applyBorder="1" applyAlignment="1">
      <alignment horizontal="justify" vertical="center" wrapText="1"/>
    </xf>
    <xf numFmtId="49" fontId="9" fillId="2" borderId="2" xfId="0" applyNumberFormat="1" applyFont="1" applyFill="1" applyBorder="1" applyAlignment="1">
      <alignment horizontal="center" vertical="center" wrapText="1"/>
    </xf>
    <xf numFmtId="0" fontId="9" fillId="0" borderId="2" xfId="13" applyNumberFormat="1" applyFont="1" applyFill="1" applyBorder="1" applyAlignment="1">
      <alignment horizontal="justify" vertical="center" wrapText="1"/>
    </xf>
    <xf numFmtId="0" fontId="9" fillId="0" borderId="2" xfId="15"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justify" vertical="center" wrapText="1"/>
    </xf>
    <xf numFmtId="0" fontId="9" fillId="2" borderId="2" xfId="0" applyFont="1" applyFill="1" applyBorder="1" applyAlignment="1">
      <alignment horizontal="center" vertical="center"/>
    </xf>
    <xf numFmtId="1" fontId="4" fillId="3" borderId="0" xfId="0" applyNumberFormat="1" applyFont="1" applyFill="1" applyAlignment="1">
      <alignment horizontal="center" vertical="center"/>
    </xf>
    <xf numFmtId="180" fontId="2" fillId="3" borderId="2" xfId="0" applyNumberFormat="1" applyFont="1" applyFill="1" applyBorder="1" applyAlignment="1">
      <alignment horizontal="center" vertical="center"/>
    </xf>
    <xf numFmtId="180" fontId="2" fillId="3" borderId="2" xfId="2" applyNumberFormat="1" applyFont="1" applyFill="1" applyBorder="1" applyAlignment="1">
      <alignment horizontal="center" vertical="center"/>
    </xf>
    <xf numFmtId="170" fontId="9" fillId="3" borderId="2" xfId="0" applyNumberFormat="1" applyFont="1" applyFill="1" applyBorder="1" applyAlignment="1">
      <alignment horizontal="center" vertical="center"/>
    </xf>
    <xf numFmtId="9" fontId="4" fillId="3" borderId="2" xfId="4" applyFont="1" applyFill="1" applyBorder="1" applyAlignment="1">
      <alignment horizontal="center" vertical="center"/>
    </xf>
    <xf numFmtId="0" fontId="2" fillId="2" borderId="0" xfId="0" applyFont="1" applyFill="1" applyBorder="1" applyAlignment="1">
      <alignment horizontal="justify" vertical="center"/>
    </xf>
    <xf numFmtId="167" fontId="2" fillId="2" borderId="0" xfId="2" applyNumberFormat="1" applyFont="1" applyFill="1" applyBorder="1" applyAlignment="1">
      <alignment horizontal="center" vertical="center"/>
    </xf>
    <xf numFmtId="167" fontId="4" fillId="0" borderId="0" xfId="2" applyNumberFormat="1" applyFont="1" applyAlignment="1">
      <alignment horizontal="center" vertical="center"/>
    </xf>
    <xf numFmtId="9" fontId="4" fillId="0" borderId="0" xfId="4" applyFont="1" applyAlignment="1">
      <alignment horizontal="center" vertical="center"/>
    </xf>
    <xf numFmtId="169" fontId="4" fillId="2" borderId="0" xfId="0" applyNumberFormat="1" applyFont="1" applyFill="1" applyAlignment="1">
      <alignment horizontal="center" vertical="center"/>
    </xf>
    <xf numFmtId="167" fontId="4" fillId="2" borderId="0" xfId="2" applyNumberFormat="1" applyFont="1" applyFill="1" applyAlignment="1">
      <alignment horizontal="center" vertical="center"/>
    </xf>
    <xf numFmtId="166" fontId="4" fillId="0" borderId="0" xfId="0" applyNumberFormat="1" applyFont="1" applyAlignment="1">
      <alignment horizontal="center" vertical="center"/>
    </xf>
    <xf numFmtId="0" fontId="10" fillId="11"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10" fillId="0" borderId="18" xfId="0" applyFont="1" applyBorder="1" applyAlignment="1">
      <alignment horizontal="justify" vertical="center" wrapText="1"/>
    </xf>
    <xf numFmtId="3" fontId="2" fillId="5" borderId="2" xfId="0" applyNumberFormat="1" applyFont="1" applyFill="1" applyBorder="1" applyAlignment="1">
      <alignment horizontal="center" vertical="center" wrapText="1"/>
    </xf>
    <xf numFmtId="1" fontId="2" fillId="6" borderId="19"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2" fillId="0" borderId="13" xfId="0" applyFont="1" applyFill="1" applyBorder="1" applyAlignment="1">
      <alignment vertical="center" wrapText="1"/>
    </xf>
    <xf numFmtId="0" fontId="4" fillId="0" borderId="14" xfId="0" applyFont="1" applyBorder="1" applyAlignment="1">
      <alignment vertical="center" wrapText="1"/>
    </xf>
    <xf numFmtId="0" fontId="2" fillId="0" borderId="6" xfId="0" applyFont="1" applyFill="1" applyBorder="1" applyAlignment="1">
      <alignment vertical="center" wrapText="1"/>
    </xf>
    <xf numFmtId="0" fontId="4" fillId="0" borderId="1" xfId="0" applyFont="1" applyBorder="1" applyAlignment="1">
      <alignment vertical="center" wrapText="1"/>
    </xf>
    <xf numFmtId="0" fontId="2" fillId="0" borderId="16" xfId="0" applyFont="1" applyFill="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3" borderId="18" xfId="0" applyFont="1" applyFill="1" applyBorder="1" applyAlignment="1">
      <alignment horizontal="center" vertical="center"/>
    </xf>
    <xf numFmtId="0" fontId="2" fillId="0" borderId="14" xfId="0" applyFont="1" applyFill="1" applyBorder="1" applyAlignment="1">
      <alignment horizontal="center" vertical="center"/>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8" xfId="0" applyFont="1" applyFill="1" applyBorder="1" applyAlignment="1">
      <alignment horizontal="center" vertical="center"/>
    </xf>
    <xf numFmtId="169" fontId="2" fillId="4" borderId="2" xfId="0" applyNumberFormat="1" applyFont="1" applyFill="1" applyBorder="1" applyAlignment="1">
      <alignment horizontal="center" vertical="center" wrapText="1"/>
    </xf>
    <xf numFmtId="9" fontId="2" fillId="6" borderId="25" xfId="4" applyFont="1" applyFill="1" applyBorder="1" applyAlignment="1">
      <alignment horizontal="center" vertical="center"/>
    </xf>
    <xf numFmtId="0" fontId="2" fillId="8" borderId="24" xfId="0" applyFont="1" applyFill="1" applyBorder="1" applyAlignment="1">
      <alignment horizontal="justify" vertical="center"/>
    </xf>
    <xf numFmtId="1" fontId="2" fillId="8" borderId="24" xfId="0" applyNumberFormat="1" applyFont="1" applyFill="1" applyBorder="1" applyAlignment="1">
      <alignment horizontal="center" vertical="center"/>
    </xf>
    <xf numFmtId="0" fontId="2" fillId="8" borderId="24" xfId="0" applyFont="1" applyFill="1" applyBorder="1" applyAlignment="1">
      <alignment horizontal="center" vertical="center"/>
    </xf>
    <xf numFmtId="9" fontId="2" fillId="8" borderId="24" xfId="4" applyFont="1" applyFill="1" applyBorder="1" applyAlignment="1">
      <alignment horizontal="center" vertical="center"/>
    </xf>
    <xf numFmtId="169" fontId="2" fillId="8" borderId="24" xfId="0" applyNumberFormat="1" applyFont="1" applyFill="1" applyBorder="1" applyAlignment="1">
      <alignment horizontal="center" vertical="center"/>
    </xf>
    <xf numFmtId="0" fontId="2" fillId="8" borderId="35" xfId="0" applyFont="1" applyFill="1" applyBorder="1" applyAlignment="1">
      <alignment horizontal="center" vertical="center"/>
    </xf>
    <xf numFmtId="1" fontId="2" fillId="10" borderId="2" xfId="0" applyNumberFormat="1" applyFont="1" applyFill="1" applyBorder="1" applyAlignment="1">
      <alignment horizontal="center" vertical="center" wrapText="1"/>
    </xf>
    <xf numFmtId="0" fontId="2" fillId="10" borderId="0" xfId="0" applyFont="1" applyFill="1" applyBorder="1" applyAlignment="1">
      <alignment horizontal="justify" vertical="center"/>
    </xf>
    <xf numFmtId="1" fontId="2" fillId="10" borderId="3" xfId="0" applyNumberFormat="1" applyFont="1" applyFill="1" applyBorder="1" applyAlignment="1">
      <alignment horizontal="center" vertical="center"/>
    </xf>
    <xf numFmtId="0" fontId="2" fillId="10" borderId="3" xfId="0" applyFont="1" applyFill="1" applyBorder="1" applyAlignment="1">
      <alignment horizontal="center" vertical="center"/>
    </xf>
    <xf numFmtId="9" fontId="2" fillId="10" borderId="3" xfId="4" applyFont="1" applyFill="1" applyBorder="1" applyAlignment="1">
      <alignment horizontal="center" vertical="center"/>
    </xf>
    <xf numFmtId="0" fontId="2" fillId="10" borderId="3" xfId="0" applyFont="1" applyFill="1" applyBorder="1" applyAlignment="1">
      <alignment horizontal="justify" vertical="center"/>
    </xf>
    <xf numFmtId="169" fontId="2" fillId="10" borderId="3" xfId="0" applyNumberFormat="1" applyFont="1" applyFill="1" applyBorder="1" applyAlignment="1">
      <alignment horizontal="center" vertical="center"/>
    </xf>
    <xf numFmtId="0" fontId="2" fillId="10" borderId="4" xfId="0" applyFont="1" applyFill="1" applyBorder="1" applyAlignment="1">
      <alignment horizontal="center" vertical="center"/>
    </xf>
    <xf numFmtId="0" fontId="10" fillId="2" borderId="35" xfId="0" applyFont="1" applyFill="1" applyBorder="1" applyAlignment="1">
      <alignment horizontal="justify" vertical="center" wrapText="1"/>
    </xf>
    <xf numFmtId="1" fontId="9" fillId="0" borderId="2" xfId="15" applyNumberFormat="1" applyFont="1" applyFill="1" applyBorder="1" applyAlignment="1">
      <alignment horizontal="center" vertical="center" wrapText="1"/>
    </xf>
    <xf numFmtId="0" fontId="9" fillId="0" borderId="2" xfId="7" applyFont="1" applyFill="1" applyBorder="1" applyAlignment="1">
      <alignment horizontal="justify" vertical="center" wrapText="1"/>
    </xf>
    <xf numFmtId="0" fontId="9" fillId="0" borderId="2" xfId="7"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0" fontId="9" fillId="0" borderId="15" xfId="13" applyNumberFormat="1" applyFont="1" applyFill="1" applyBorder="1" applyAlignment="1">
      <alignment vertical="center" wrapText="1"/>
    </xf>
    <xf numFmtId="0" fontId="9" fillId="0" borderId="15" xfId="0" applyNumberFormat="1" applyFont="1" applyFill="1" applyBorder="1" applyAlignment="1">
      <alignment vertical="center" wrapText="1"/>
    </xf>
    <xf numFmtId="0" fontId="9" fillId="0" borderId="18" xfId="13" applyNumberFormat="1" applyFont="1" applyFill="1" applyBorder="1" applyAlignment="1">
      <alignment vertical="center" wrapText="1"/>
    </xf>
    <xf numFmtId="0" fontId="9" fillId="0" borderId="18" xfId="0" applyNumberFormat="1" applyFont="1" applyFill="1" applyBorder="1" applyAlignment="1">
      <alignment vertical="center" wrapText="1"/>
    </xf>
    <xf numFmtId="1"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35" xfId="0" applyFont="1" applyFill="1" applyBorder="1" applyAlignment="1">
      <alignment horizontal="justify" vertical="center" wrapText="1"/>
    </xf>
    <xf numFmtId="0" fontId="10" fillId="0" borderId="40" xfId="0" applyFont="1" applyFill="1" applyBorder="1" applyAlignment="1">
      <alignment horizontal="justify" vertical="center" wrapText="1"/>
    </xf>
    <xf numFmtId="1" fontId="4" fillId="0" borderId="38"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23" fillId="0" borderId="2" xfId="0" applyFont="1" applyBorder="1" applyAlignment="1">
      <alignment horizontal="justify" vertical="center" wrapText="1"/>
    </xf>
    <xf numFmtId="172" fontId="9" fillId="0" borderId="2" xfId="3" applyNumberFormat="1" applyFont="1" applyFill="1" applyBorder="1" applyAlignment="1">
      <alignment horizontal="center" vertical="center" wrapText="1"/>
    </xf>
    <xf numFmtId="9" fontId="4" fillId="0" borderId="2" xfId="4" applyFont="1" applyFill="1" applyBorder="1" applyAlignment="1">
      <alignment horizontal="center" vertical="center" wrapText="1"/>
    </xf>
    <xf numFmtId="1" fontId="4" fillId="0" borderId="2" xfId="0" applyNumberFormat="1" applyFont="1" applyFill="1" applyBorder="1" applyAlignment="1">
      <alignment horizontal="justify" vertical="center" wrapText="1"/>
    </xf>
    <xf numFmtId="1" fontId="2" fillId="10" borderId="8" xfId="0" applyNumberFormat="1" applyFont="1" applyFill="1" applyBorder="1" applyAlignment="1">
      <alignment horizontal="center" vertical="center"/>
    </xf>
    <xf numFmtId="0" fontId="2" fillId="10" borderId="8" xfId="0" applyFont="1" applyFill="1" applyBorder="1" applyAlignment="1">
      <alignment horizontal="center" vertical="center"/>
    </xf>
    <xf numFmtId="167" fontId="2" fillId="10" borderId="8" xfId="2" applyNumberFormat="1" applyFont="1" applyFill="1" applyBorder="1" applyAlignment="1">
      <alignment horizontal="center" vertical="center"/>
    </xf>
    <xf numFmtId="9" fontId="2" fillId="10" borderId="8" xfId="4" applyFont="1" applyFill="1" applyBorder="1" applyAlignment="1">
      <alignment horizontal="center" vertical="center"/>
    </xf>
    <xf numFmtId="0" fontId="2" fillId="10" borderId="8" xfId="0" applyFont="1" applyFill="1" applyBorder="1" applyAlignment="1">
      <alignment horizontal="justify" vertical="center"/>
    </xf>
    <xf numFmtId="169" fontId="2" fillId="10" borderId="8" xfId="0" applyNumberFormat="1" applyFont="1" applyFill="1" applyBorder="1" applyAlignment="1">
      <alignment horizontal="center" vertical="center"/>
    </xf>
    <xf numFmtId="0" fontId="2" fillId="10" borderId="9" xfId="0" applyFont="1" applyFill="1" applyBorder="1" applyAlignment="1">
      <alignment horizontal="center" vertical="center"/>
    </xf>
    <xf numFmtId="167" fontId="9" fillId="2" borderId="15" xfId="2" applyNumberFormat="1" applyFont="1" applyFill="1" applyBorder="1" applyAlignment="1">
      <alignment horizontal="center" vertical="center" wrapText="1"/>
    </xf>
    <xf numFmtId="0" fontId="10" fillId="2" borderId="22" xfId="0" applyFont="1" applyFill="1" applyBorder="1" applyAlignment="1">
      <alignment horizontal="justify" vertical="center" wrapText="1"/>
    </xf>
    <xf numFmtId="1" fontId="4" fillId="2" borderId="14" xfId="0" applyNumberFormat="1" applyFont="1" applyFill="1" applyBorder="1" applyAlignment="1">
      <alignment horizontal="center" vertical="center" wrapText="1"/>
    </xf>
    <xf numFmtId="1" fontId="4" fillId="0" borderId="15" xfId="0" applyNumberFormat="1" applyFont="1" applyFill="1" applyBorder="1" applyAlignment="1">
      <alignment vertical="center" wrapText="1"/>
    </xf>
    <xf numFmtId="1"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justify" vertical="center" wrapText="1"/>
    </xf>
    <xf numFmtId="1" fontId="4" fillId="0" borderId="18" xfId="0" applyNumberFormat="1" applyFont="1" applyFill="1" applyBorder="1" applyAlignment="1">
      <alignment vertical="center" wrapText="1"/>
    </xf>
    <xf numFmtId="167" fontId="2" fillId="10" borderId="18" xfId="2" applyNumberFormat="1" applyFont="1" applyFill="1" applyBorder="1" applyAlignment="1">
      <alignment horizontal="center" vertical="center"/>
    </xf>
    <xf numFmtId="167" fontId="2" fillId="10" borderId="3" xfId="2" applyNumberFormat="1" applyFont="1" applyFill="1" applyBorder="1" applyAlignment="1">
      <alignment horizontal="center" vertical="center"/>
    </xf>
    <xf numFmtId="172" fontId="9" fillId="0" borderId="2" xfId="3" applyNumberFormat="1" applyFont="1" applyFill="1" applyBorder="1" applyAlignment="1">
      <alignment horizontal="justify" vertical="center" wrapText="1"/>
    </xf>
    <xf numFmtId="1" fontId="4" fillId="0" borderId="15" xfId="0" applyNumberFormat="1" applyFont="1" applyBorder="1" applyAlignment="1">
      <alignment horizontal="center" vertical="center" wrapText="1"/>
    </xf>
    <xf numFmtId="1" fontId="4" fillId="0" borderId="15" xfId="0" applyNumberFormat="1" applyFont="1" applyBorder="1" applyAlignment="1">
      <alignment vertical="center" wrapText="1"/>
    </xf>
    <xf numFmtId="172" fontId="9" fillId="2" borderId="2" xfId="3" applyNumberFormat="1" applyFont="1" applyFill="1" applyBorder="1" applyAlignment="1">
      <alignment horizontal="justify" vertical="center" wrapText="1"/>
    </xf>
    <xf numFmtId="0" fontId="9" fillId="8"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xf>
    <xf numFmtId="9" fontId="4" fillId="8" borderId="2" xfId="0" applyNumberFormat="1" applyFont="1" applyFill="1" applyBorder="1" applyAlignment="1">
      <alignment horizontal="center" vertical="center" wrapText="1"/>
    </xf>
    <xf numFmtId="172" fontId="9" fillId="8" borderId="2" xfId="3" applyNumberFormat="1" applyFont="1" applyFill="1" applyBorder="1" applyAlignment="1">
      <alignment horizontal="center" vertical="center"/>
    </xf>
    <xf numFmtId="0" fontId="23" fillId="8" borderId="2" xfId="0" applyFont="1" applyFill="1" applyBorder="1" applyAlignment="1">
      <alignment horizontal="justify" vertical="center" wrapText="1"/>
    </xf>
    <xf numFmtId="167" fontId="9" fillId="8" borderId="2" xfId="2" applyNumberFormat="1" applyFont="1" applyFill="1" applyBorder="1" applyAlignment="1">
      <alignment horizontal="center" vertical="center"/>
    </xf>
    <xf numFmtId="0" fontId="4" fillId="8" borderId="8" xfId="0" applyFont="1" applyFill="1" applyBorder="1" applyAlignment="1">
      <alignment horizontal="justify" vertical="center" wrapText="1"/>
    </xf>
    <xf numFmtId="1" fontId="4" fillId="8" borderId="8"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1" fontId="2" fillId="8" borderId="8" xfId="0" applyNumberFormat="1" applyFont="1" applyFill="1" applyBorder="1" applyAlignment="1">
      <alignment horizontal="center" vertical="center" textRotation="180" wrapText="1"/>
    </xf>
    <xf numFmtId="1" fontId="4" fillId="8" borderId="8" xfId="0" applyNumberFormat="1" applyFont="1" applyFill="1" applyBorder="1" applyAlignment="1">
      <alignment horizontal="center" vertical="center" textRotation="180" wrapText="1"/>
    </xf>
    <xf numFmtId="167" fontId="2" fillId="8" borderId="8" xfId="2" applyNumberFormat="1" applyFont="1" applyFill="1" applyBorder="1" applyAlignment="1">
      <alignment horizontal="center" vertical="center" textRotation="180" wrapText="1"/>
    </xf>
    <xf numFmtId="9" fontId="2" fillId="8" borderId="8" xfId="4" applyFont="1" applyFill="1" applyBorder="1" applyAlignment="1">
      <alignment horizontal="center" vertical="center" textRotation="180" wrapText="1"/>
    </xf>
    <xf numFmtId="1" fontId="2" fillId="8" borderId="8" xfId="0" applyNumberFormat="1" applyFont="1" applyFill="1" applyBorder="1" applyAlignment="1">
      <alignment horizontal="justify" vertical="center" textRotation="180" wrapText="1"/>
    </xf>
    <xf numFmtId="169" fontId="4" fillId="8" borderId="8" xfId="0" applyNumberFormat="1" applyFont="1" applyFill="1" applyBorder="1" applyAlignment="1">
      <alignment horizontal="center" vertical="center" wrapText="1"/>
    </xf>
    <xf numFmtId="3" fontId="4" fillId="8" borderId="52" xfId="0" applyNumberFormat="1" applyFont="1" applyFill="1" applyBorder="1" applyAlignment="1">
      <alignment horizontal="center" vertical="center" wrapText="1"/>
    </xf>
    <xf numFmtId="167" fontId="2" fillId="6" borderId="25" xfId="2" applyNumberFormat="1" applyFont="1" applyFill="1" applyBorder="1" applyAlignment="1">
      <alignment horizontal="center" vertical="center"/>
    </xf>
    <xf numFmtId="169" fontId="2" fillId="6" borderId="25" xfId="0" applyNumberFormat="1" applyFont="1" applyFill="1" applyBorder="1" applyAlignment="1">
      <alignment horizontal="center" vertical="center"/>
    </xf>
    <xf numFmtId="0" fontId="2" fillId="6" borderId="22" xfId="0" applyFont="1" applyFill="1" applyBorder="1" applyAlignment="1">
      <alignment horizontal="center" vertical="center"/>
    </xf>
    <xf numFmtId="167" fontId="2" fillId="8" borderId="24" xfId="2" applyNumberFormat="1" applyFont="1" applyFill="1" applyBorder="1" applyAlignment="1">
      <alignment horizontal="center" vertical="center"/>
    </xf>
    <xf numFmtId="167" fontId="2" fillId="10" borderId="0" xfId="2" applyNumberFormat="1" applyFont="1" applyFill="1" applyBorder="1" applyAlignment="1">
      <alignment horizontal="center" vertical="center"/>
    </xf>
    <xf numFmtId="9" fontId="2" fillId="10" borderId="0" xfId="4" applyFont="1" applyFill="1" applyBorder="1" applyAlignment="1">
      <alignment horizontal="center" vertical="center"/>
    </xf>
    <xf numFmtId="9" fontId="4" fillId="0" borderId="2" xfId="0" applyNumberFormat="1" applyFont="1" applyFill="1" applyBorder="1" applyAlignment="1">
      <alignment horizontal="center" vertical="center"/>
    </xf>
    <xf numFmtId="1" fontId="4" fillId="2" borderId="8"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2" xfId="7" applyFont="1" applyFill="1" applyBorder="1" applyAlignment="1">
      <alignment horizontal="center" vertical="center"/>
    </xf>
    <xf numFmtId="0" fontId="4" fillId="2" borderId="2" xfId="7" applyFont="1" applyFill="1" applyBorder="1" applyAlignment="1">
      <alignment horizontal="center" vertical="center"/>
    </xf>
    <xf numFmtId="1" fontId="4" fillId="2" borderId="5" xfId="0" applyNumberFormat="1" applyFont="1" applyFill="1" applyBorder="1" applyAlignment="1">
      <alignment horizontal="center" vertical="center" wrapText="1"/>
    </xf>
    <xf numFmtId="0" fontId="10" fillId="2" borderId="0" xfId="0" applyFont="1" applyFill="1" applyBorder="1" applyAlignment="1">
      <alignment horizontal="justify" vertical="center" wrapText="1"/>
    </xf>
    <xf numFmtId="1" fontId="4" fillId="2" borderId="0" xfId="0" applyNumberFormat="1" applyFont="1" applyFill="1" applyBorder="1" applyAlignment="1">
      <alignment horizontal="center" vertical="center" wrapText="1"/>
    </xf>
    <xf numFmtId="0" fontId="9" fillId="0" borderId="33" xfId="13" applyNumberFormat="1" applyFont="1" applyFill="1" applyBorder="1" applyAlignment="1">
      <alignment horizontal="center" vertical="center" wrapText="1"/>
    </xf>
    <xf numFmtId="0" fontId="9" fillId="0" borderId="21" xfId="0" applyNumberFormat="1" applyFont="1" applyFill="1" applyBorder="1" applyAlignment="1">
      <alignment horizontal="justify" vertical="center" wrapText="1"/>
    </xf>
    <xf numFmtId="0" fontId="9" fillId="0" borderId="33" xfId="15" applyNumberFormat="1" applyFont="1" applyFill="1" applyBorder="1" applyAlignment="1">
      <alignment horizontal="center" vertical="center" wrapText="1"/>
    </xf>
    <xf numFmtId="0" fontId="9" fillId="0" borderId="33" xfId="7" applyFont="1" applyFill="1" applyBorder="1" applyAlignment="1">
      <alignment horizontal="justify" vertical="center" wrapText="1"/>
    </xf>
    <xf numFmtId="0" fontId="9" fillId="0" borderId="36" xfId="15" applyNumberFormat="1" applyFont="1" applyFill="1" applyBorder="1" applyAlignment="1">
      <alignment horizontal="center" vertical="center" wrapText="1"/>
    </xf>
    <xf numFmtId="0" fontId="9" fillId="0" borderId="36" xfId="7" applyFont="1" applyFill="1" applyBorder="1" applyAlignment="1">
      <alignment horizontal="justify" vertical="center" wrapText="1"/>
    </xf>
    <xf numFmtId="0" fontId="9" fillId="0" borderId="36" xfId="7" applyFont="1" applyFill="1" applyBorder="1" applyAlignment="1">
      <alignment horizontal="center" vertical="center" wrapText="1"/>
    </xf>
    <xf numFmtId="0" fontId="9" fillId="2" borderId="36" xfId="7"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6" xfId="0" applyFont="1" applyFill="1" applyBorder="1" applyAlignment="1">
      <alignment horizontal="justify" vertical="center" wrapText="1"/>
    </xf>
    <xf numFmtId="9" fontId="4" fillId="0" borderId="18" xfId="0" applyNumberFormat="1" applyFont="1" applyFill="1" applyBorder="1" applyAlignment="1">
      <alignment horizontal="center" vertical="center" wrapText="1"/>
    </xf>
    <xf numFmtId="172" fontId="9" fillId="0" borderId="36" xfId="3" applyNumberFormat="1" applyFont="1" applyFill="1" applyBorder="1" applyAlignment="1">
      <alignment horizontal="center" vertical="center"/>
    </xf>
    <xf numFmtId="0" fontId="4" fillId="0" borderId="36" xfId="0" applyFont="1" applyFill="1" applyBorder="1" applyAlignment="1">
      <alignment horizontal="justify" vertical="center" wrapText="1"/>
    </xf>
    <xf numFmtId="167" fontId="9" fillId="2" borderId="30" xfId="2" applyNumberFormat="1" applyFont="1" applyFill="1" applyBorder="1" applyAlignment="1">
      <alignment horizontal="center" vertical="center"/>
    </xf>
    <xf numFmtId="167" fontId="9" fillId="2" borderId="36" xfId="2" applyNumberFormat="1" applyFont="1" applyFill="1" applyBorder="1" applyAlignment="1">
      <alignment horizontal="center" vertical="center"/>
    </xf>
    <xf numFmtId="3" fontId="4" fillId="2" borderId="9"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71" fontId="2" fillId="10" borderId="8" xfId="0" applyNumberFormat="1" applyFont="1" applyFill="1" applyBorder="1" applyAlignment="1">
      <alignment horizontal="center" vertical="center"/>
    </xf>
    <xf numFmtId="170" fontId="2" fillId="10" borderId="8" xfId="0" applyNumberFormat="1" applyFont="1" applyFill="1" applyBorder="1" applyAlignment="1">
      <alignment horizontal="center" vertical="center"/>
    </xf>
    <xf numFmtId="167" fontId="2" fillId="10" borderId="5" xfId="2"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9" fillId="0" borderId="38" xfId="13" applyNumberFormat="1" applyFont="1" applyFill="1" applyBorder="1" applyAlignment="1">
      <alignment horizontal="center" vertical="center" wrapText="1"/>
    </xf>
    <xf numFmtId="0" fontId="9" fillId="0" borderId="35" xfId="0" applyNumberFormat="1" applyFont="1" applyFill="1" applyBorder="1" applyAlignment="1">
      <alignment horizontal="justify" vertical="center" wrapText="1"/>
    </xf>
    <xf numFmtId="0" fontId="9" fillId="0" borderId="38" xfId="0" applyNumberFormat="1" applyFont="1" applyFill="1" applyBorder="1" applyAlignment="1">
      <alignment horizontal="center" vertical="center" wrapText="1"/>
    </xf>
    <xf numFmtId="0" fontId="9" fillId="0" borderId="38" xfId="0" applyFont="1" applyFill="1" applyBorder="1" applyAlignment="1">
      <alignment horizontal="justify" vertical="center" wrapText="1"/>
    </xf>
    <xf numFmtId="0" fontId="9" fillId="2" borderId="38" xfId="7" applyFont="1" applyFill="1" applyBorder="1" applyAlignment="1">
      <alignment horizontal="center" vertical="center" wrapText="1"/>
    </xf>
    <xf numFmtId="167" fontId="9" fillId="2" borderId="40" xfId="2" applyNumberFormat="1" applyFont="1" applyFill="1" applyBorder="1" applyAlignment="1">
      <alignment horizontal="center" vertical="center"/>
    </xf>
    <xf numFmtId="167" fontId="9" fillId="2" borderId="38" xfId="2" applyNumberFormat="1" applyFont="1" applyFill="1" applyBorder="1" applyAlignment="1">
      <alignment horizontal="center" vertical="center"/>
    </xf>
    <xf numFmtId="0" fontId="9" fillId="0" borderId="37" xfId="13" applyNumberFormat="1" applyFont="1" applyFill="1" applyBorder="1" applyAlignment="1">
      <alignment horizontal="center" vertical="center" wrapText="1"/>
    </xf>
    <xf numFmtId="0" fontId="9" fillId="0" borderId="22" xfId="0" applyNumberFormat="1" applyFont="1" applyFill="1" applyBorder="1" applyAlignment="1">
      <alignment horizontal="justify" vertical="center" wrapText="1"/>
    </xf>
    <xf numFmtId="0" fontId="9" fillId="0" borderId="37" xfId="0" applyNumberFormat="1" applyFont="1" applyFill="1" applyBorder="1" applyAlignment="1">
      <alignment horizontal="center" vertical="center" wrapText="1"/>
    </xf>
    <xf numFmtId="0" fontId="9" fillId="0" borderId="37" xfId="0" applyFont="1" applyFill="1" applyBorder="1" applyAlignment="1">
      <alignment horizontal="justify" vertical="center" wrapText="1"/>
    </xf>
    <xf numFmtId="0" fontId="2" fillId="10" borderId="54" xfId="0" applyFont="1" applyFill="1" applyBorder="1" applyAlignment="1">
      <alignment horizontal="left" vertical="center"/>
    </xf>
    <xf numFmtId="0" fontId="2" fillId="10" borderId="50" xfId="0" applyFont="1" applyFill="1" applyBorder="1" applyAlignment="1">
      <alignment horizontal="left" vertical="center"/>
    </xf>
    <xf numFmtId="0" fontId="2" fillId="10" borderId="50" xfId="0" applyFont="1" applyFill="1" applyBorder="1" applyAlignment="1">
      <alignment horizontal="justify" vertical="center"/>
    </xf>
    <xf numFmtId="0" fontId="9" fillId="0" borderId="38" xfId="15" applyNumberFormat="1" applyFont="1" applyFill="1" applyBorder="1" applyAlignment="1">
      <alignment horizontal="center" vertical="center" wrapText="1"/>
    </xf>
    <xf numFmtId="0" fontId="9" fillId="0" borderId="38" xfId="7" applyFont="1" applyFill="1" applyBorder="1" applyAlignment="1">
      <alignment horizontal="justify" vertical="center" wrapText="1"/>
    </xf>
    <xf numFmtId="0" fontId="9" fillId="0" borderId="37" xfId="15" applyNumberFormat="1" applyFont="1" applyFill="1" applyBorder="1" applyAlignment="1">
      <alignment horizontal="center" vertical="center" wrapText="1"/>
    </xf>
    <xf numFmtId="0" fontId="9" fillId="0" borderId="37" xfId="7" applyFont="1" applyFill="1" applyBorder="1" applyAlignment="1">
      <alignment horizontal="justify" vertical="center" wrapText="1"/>
    </xf>
    <xf numFmtId="9" fontId="4" fillId="2" borderId="15" xfId="0" applyNumberFormat="1" applyFont="1" applyFill="1" applyBorder="1" applyAlignment="1">
      <alignment horizontal="center" vertical="center" wrapText="1"/>
    </xf>
    <xf numFmtId="167" fontId="9" fillId="2" borderId="23" xfId="2" applyNumberFormat="1" applyFont="1" applyFill="1" applyBorder="1" applyAlignment="1">
      <alignment horizontal="center" vertical="center"/>
    </xf>
    <xf numFmtId="167" fontId="9" fillId="2" borderId="37" xfId="2"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171" fontId="4" fillId="3" borderId="9" xfId="0" applyNumberFormat="1" applyFont="1" applyFill="1" applyBorder="1" applyAlignment="1">
      <alignment horizontal="center" vertical="center"/>
    </xf>
    <xf numFmtId="0" fontId="4" fillId="3" borderId="7" xfId="0" applyFont="1" applyFill="1" applyBorder="1" applyAlignment="1">
      <alignment horizontal="justify" vertical="center"/>
    </xf>
    <xf numFmtId="0" fontId="4" fillId="3" borderId="9" xfId="0" applyFont="1" applyFill="1" applyBorder="1" applyAlignment="1">
      <alignment horizontal="justify" vertical="center"/>
    </xf>
    <xf numFmtId="170" fontId="2" fillId="3" borderId="8" xfId="0" applyNumberFormat="1" applyFont="1" applyFill="1" applyBorder="1" applyAlignment="1">
      <alignment horizontal="justify" vertical="center"/>
    </xf>
    <xf numFmtId="1" fontId="4" fillId="3" borderId="8" xfId="0" applyNumberFormat="1" applyFont="1" applyFill="1" applyBorder="1" applyAlignment="1">
      <alignment horizontal="center" vertical="center"/>
    </xf>
    <xf numFmtId="0" fontId="2" fillId="3" borderId="2" xfId="2" applyNumberFormat="1" applyFont="1" applyFill="1" applyBorder="1" applyAlignment="1">
      <alignment horizontal="center" vertical="center"/>
    </xf>
    <xf numFmtId="9" fontId="4" fillId="3" borderId="8" xfId="4" applyFont="1" applyFill="1" applyBorder="1" applyAlignment="1">
      <alignment horizontal="center" vertical="center"/>
    </xf>
    <xf numFmtId="169"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170" fontId="2" fillId="2" borderId="0" xfId="0" applyNumberFormat="1" applyFont="1" applyFill="1" applyAlignment="1">
      <alignment horizontal="center" vertical="center"/>
    </xf>
    <xf numFmtId="166" fontId="2" fillId="0" borderId="0" xfId="2" applyFont="1" applyAlignment="1">
      <alignment horizontal="center" vertical="center"/>
    </xf>
    <xf numFmtId="169" fontId="4" fillId="19" borderId="0" xfId="0" applyNumberFormat="1" applyFont="1" applyFill="1" applyAlignment="1">
      <alignment horizontal="center" vertical="center"/>
    </xf>
    <xf numFmtId="3" fontId="12" fillId="0" borderId="2" xfId="0" applyNumberFormat="1" applyFont="1" applyBorder="1" applyAlignment="1">
      <alignment horizontal="center" vertical="center" wrapText="1"/>
    </xf>
    <xf numFmtId="0" fontId="1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182" fontId="13" fillId="5" borderId="2" xfId="0" applyNumberFormat="1" applyFont="1" applyFill="1" applyBorder="1" applyAlignment="1">
      <alignment horizontal="center" vertical="center" wrapText="1"/>
    </xf>
    <xf numFmtId="182" fontId="24" fillId="5" borderId="2" xfId="0" applyNumberFormat="1" applyFont="1" applyFill="1" applyBorder="1" applyAlignment="1">
      <alignment horizontal="center" vertical="center" wrapText="1"/>
    </xf>
    <xf numFmtId="0" fontId="19" fillId="6" borderId="36"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 fillId="20" borderId="19" xfId="0" applyFont="1" applyFill="1" applyBorder="1" applyAlignment="1">
      <alignment horizontal="center" vertical="center" wrapText="1"/>
    </xf>
    <xf numFmtId="0" fontId="3" fillId="8" borderId="23" xfId="0" applyFont="1" applyFill="1" applyBorder="1" applyAlignment="1">
      <alignment horizontal="center" vertical="center"/>
    </xf>
    <xf numFmtId="0" fontId="19" fillId="8" borderId="24"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25" fillId="11" borderId="0" xfId="0" applyFont="1" applyFill="1" applyAlignment="1">
      <alignment horizontal="center" vertical="center" wrapText="1"/>
    </xf>
    <xf numFmtId="0" fontId="26" fillId="0" borderId="0" xfId="0" applyFont="1" applyAlignment="1">
      <alignment horizontal="center" vertical="center"/>
    </xf>
    <xf numFmtId="0" fontId="19" fillId="11" borderId="6"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9" fillId="0" borderId="46" xfId="0" applyFont="1" applyBorder="1" applyAlignment="1">
      <alignment horizontal="justify" vertical="center" wrapText="1"/>
    </xf>
    <xf numFmtId="0" fontId="10" fillId="11" borderId="4" xfId="0" applyFont="1" applyFill="1" applyBorder="1" applyAlignment="1">
      <alignment horizontal="center" vertical="center" wrapText="1"/>
    </xf>
    <xf numFmtId="9" fontId="10" fillId="11" borderId="4" xfId="0" applyNumberFormat="1" applyFont="1" applyFill="1" applyBorder="1" applyAlignment="1">
      <alignment horizontal="center" vertical="center" wrapText="1"/>
    </xf>
    <xf numFmtId="0" fontId="10" fillId="0" borderId="4" xfId="0" applyFont="1" applyBorder="1" applyAlignment="1">
      <alignment horizontal="justify" vertical="center" wrapText="1"/>
    </xf>
    <xf numFmtId="4" fontId="9" fillId="0" borderId="20" xfId="0" applyNumberFormat="1" applyFont="1" applyBorder="1" applyAlignment="1">
      <alignment horizontal="center" vertical="center" wrapText="1"/>
    </xf>
    <xf numFmtId="0" fontId="10" fillId="11" borderId="0" xfId="0" applyFont="1" applyFill="1" applyAlignment="1">
      <alignment horizontal="center" vertical="center" wrapText="1"/>
    </xf>
    <xf numFmtId="4" fontId="9" fillId="0" borderId="30" xfId="0" applyNumberFormat="1" applyFont="1" applyBorder="1" applyAlignment="1">
      <alignment horizontal="center" vertical="center" wrapText="1"/>
    </xf>
    <xf numFmtId="4" fontId="9" fillId="0" borderId="19" xfId="0" applyNumberFormat="1" applyFont="1" applyBorder="1" applyAlignment="1">
      <alignment horizontal="center" vertical="center" wrapText="1"/>
    </xf>
    <xf numFmtId="0" fontId="19" fillId="11" borderId="16"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0" fillId="20" borderId="3" xfId="0" applyFont="1" applyFill="1" applyBorder="1" applyAlignment="1">
      <alignment horizontal="center" vertical="center" wrapText="1"/>
    </xf>
    <xf numFmtId="4" fontId="20" fillId="20" borderId="3" xfId="0" applyNumberFormat="1" applyFont="1" applyFill="1" applyBorder="1" applyAlignment="1">
      <alignment horizontal="center" vertical="center" wrapText="1"/>
    </xf>
    <xf numFmtId="4" fontId="20" fillId="20" borderId="7" xfId="0" applyNumberFormat="1" applyFont="1" applyFill="1" applyBorder="1" applyAlignment="1">
      <alignment horizontal="center" vertical="center" wrapText="1"/>
    </xf>
    <xf numFmtId="9" fontId="10" fillId="20" borderId="3" xfId="0" applyNumberFormat="1" applyFont="1" applyFill="1" applyBorder="1" applyAlignment="1">
      <alignment horizontal="center" vertical="center" wrapText="1"/>
    </xf>
    <xf numFmtId="0" fontId="10" fillId="20" borderId="2" xfId="0" applyFont="1" applyFill="1" applyBorder="1" applyAlignment="1">
      <alignment horizontal="center" vertical="center" wrapText="1"/>
    </xf>
    <xf numFmtId="9" fontId="10" fillId="20" borderId="2" xfId="4" applyFont="1" applyFill="1" applyBorder="1" applyAlignment="1">
      <alignment horizontal="center" vertical="center" wrapText="1"/>
    </xf>
    <xf numFmtId="0" fontId="10" fillId="20" borderId="4" xfId="0"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xf>
    <xf numFmtId="9" fontId="27" fillId="0" borderId="0" xfId="4" applyFont="1" applyAlignment="1">
      <alignment horizontal="center" vertical="center"/>
    </xf>
    <xf numFmtId="0" fontId="4" fillId="0" borderId="2" xfId="0" applyFont="1" applyBorder="1" applyAlignment="1">
      <alignment horizontal="left" vertical="center"/>
    </xf>
    <xf numFmtId="14" fontId="4" fillId="0" borderId="2" xfId="0" applyNumberFormat="1" applyFont="1" applyBorder="1" applyAlignment="1">
      <alignment horizontal="left" vertical="center" wrapText="1"/>
    </xf>
    <xf numFmtId="0" fontId="24" fillId="4" borderId="2" xfId="0" applyFont="1" applyFill="1" applyBorder="1" applyAlignment="1">
      <alignment horizontal="center" vertical="center" wrapText="1"/>
    </xf>
    <xf numFmtId="0" fontId="2" fillId="6" borderId="5" xfId="0" applyFont="1" applyFill="1" applyBorder="1" applyAlignment="1">
      <alignment horizontal="center" vertical="center"/>
    </xf>
    <xf numFmtId="171" fontId="2" fillId="6" borderId="5" xfId="0" applyNumberFormat="1" applyFont="1" applyFill="1" applyBorder="1" applyAlignment="1">
      <alignment horizontal="center" vertical="center"/>
    </xf>
    <xf numFmtId="170" fontId="2" fillId="6" borderId="5" xfId="0" applyNumberFormat="1" applyFont="1" applyFill="1" applyBorder="1" applyAlignment="1">
      <alignment horizontal="center" vertical="center"/>
    </xf>
    <xf numFmtId="1" fontId="2" fillId="6" borderId="5" xfId="0" applyNumberFormat="1" applyFont="1" applyFill="1" applyBorder="1" applyAlignment="1">
      <alignment horizontal="center" vertical="center"/>
    </xf>
    <xf numFmtId="169" fontId="2" fillId="6" borderId="5" xfId="0" applyNumberFormat="1" applyFont="1" applyFill="1" applyBorder="1" applyAlignment="1">
      <alignment horizontal="center" vertical="center"/>
    </xf>
    <xf numFmtId="0" fontId="2" fillId="6" borderId="14" xfId="0" applyFont="1" applyFill="1" applyBorder="1" applyAlignment="1">
      <alignment horizontal="center" vertical="center"/>
    </xf>
    <xf numFmtId="171" fontId="2" fillId="8" borderId="24" xfId="0" applyNumberFormat="1" applyFont="1" applyFill="1" applyBorder="1" applyAlignment="1">
      <alignment horizontal="center" vertical="center"/>
    </xf>
    <xf numFmtId="170" fontId="2" fillId="8" borderId="24" xfId="0" applyNumberFormat="1" applyFont="1" applyFill="1" applyBorder="1" applyAlignment="1">
      <alignment horizontal="center" vertical="center"/>
    </xf>
    <xf numFmtId="0" fontId="3" fillId="10" borderId="46" xfId="0" applyFont="1" applyFill="1" applyBorder="1" applyAlignment="1">
      <alignment horizontal="center" vertical="center" wrapText="1"/>
    </xf>
    <xf numFmtId="171" fontId="2" fillId="10" borderId="0" xfId="0" applyNumberFormat="1" applyFont="1" applyFill="1" applyBorder="1" applyAlignment="1">
      <alignment horizontal="center" vertical="center"/>
    </xf>
    <xf numFmtId="170" fontId="2" fillId="10" borderId="0" xfId="0" applyNumberFormat="1" applyFont="1" applyFill="1" applyBorder="1" applyAlignment="1">
      <alignment horizontal="center" vertical="center"/>
    </xf>
    <xf numFmtId="170" fontId="2" fillId="10" borderId="3" xfId="0" applyNumberFormat="1" applyFont="1" applyFill="1" applyBorder="1" applyAlignment="1">
      <alignment horizontal="center" vertical="center"/>
    </xf>
    <xf numFmtId="1" fontId="2" fillId="10" borderId="0" xfId="0" applyNumberFormat="1" applyFont="1" applyFill="1" applyBorder="1" applyAlignment="1">
      <alignment horizontal="center" vertical="center"/>
    </xf>
    <xf numFmtId="169" fontId="2" fillId="10" borderId="0" xfId="0" applyNumberFormat="1" applyFont="1" applyFill="1" applyBorder="1" applyAlignment="1">
      <alignment horizontal="center" vertical="center"/>
    </xf>
    <xf numFmtId="0" fontId="2" fillId="10" borderId="1" xfId="0" applyFont="1" applyFill="1" applyBorder="1" applyAlignment="1">
      <alignment horizontal="center" vertical="center"/>
    </xf>
    <xf numFmtId="0" fontId="10" fillId="2" borderId="9" xfId="7" applyFont="1" applyFill="1" applyBorder="1" applyAlignment="1">
      <alignment horizontal="justify" vertical="center" wrapText="1"/>
    </xf>
    <xf numFmtId="0" fontId="4" fillId="2" borderId="9" xfId="7" applyFont="1" applyFill="1" applyBorder="1" applyAlignment="1">
      <alignment horizontal="justify" vertical="center" wrapText="1"/>
    </xf>
    <xf numFmtId="0" fontId="4" fillId="2" borderId="40" xfId="7" applyFont="1" applyFill="1" applyBorder="1" applyAlignment="1">
      <alignment horizontal="justify" vertical="center" wrapText="1"/>
    </xf>
    <xf numFmtId="0" fontId="3" fillId="8" borderId="0" xfId="0" applyFont="1" applyFill="1" applyBorder="1" applyAlignment="1">
      <alignment horizontal="center" vertical="center"/>
    </xf>
    <xf numFmtId="0" fontId="4" fillId="8" borderId="24" xfId="0" applyFont="1" applyFill="1" applyBorder="1" applyAlignment="1">
      <alignment horizontal="center" vertical="center" wrapText="1"/>
    </xf>
    <xf numFmtId="9" fontId="4" fillId="8" borderId="0" xfId="4" applyFont="1" applyFill="1" applyBorder="1" applyAlignment="1">
      <alignment horizontal="center" vertical="center" wrapText="1"/>
    </xf>
    <xf numFmtId="43" fontId="4" fillId="8" borderId="0" xfId="16"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7" applyFont="1" applyFill="1" applyBorder="1" applyAlignment="1">
      <alignment horizontal="center" vertical="center" wrapText="1"/>
    </xf>
    <xf numFmtId="0" fontId="10" fillId="8" borderId="0" xfId="0" applyFont="1" applyFill="1" applyBorder="1" applyAlignment="1">
      <alignment horizontal="center" vertical="center" wrapText="1"/>
    </xf>
    <xf numFmtId="1" fontId="4" fillId="8" borderId="0" xfId="0" applyNumberFormat="1" applyFont="1" applyFill="1" applyBorder="1" applyAlignment="1">
      <alignment horizontal="center" vertical="center" wrapText="1"/>
    </xf>
    <xf numFmtId="169" fontId="4" fillId="8" borderId="0" xfId="0" applyNumberFormat="1" applyFont="1" applyFill="1" applyBorder="1" applyAlignment="1">
      <alignment horizontal="center" vertical="center" wrapText="1"/>
    </xf>
    <xf numFmtId="3" fontId="4" fillId="8" borderId="21" xfId="0" applyNumberFormat="1" applyFont="1" applyFill="1" applyBorder="1" applyAlignment="1">
      <alignment horizontal="center" vertical="center" wrapText="1"/>
    </xf>
    <xf numFmtId="0" fontId="2" fillId="10" borderId="24" xfId="0" applyFont="1" applyFill="1" applyBorder="1" applyAlignment="1">
      <alignment horizontal="center" vertical="center"/>
    </xf>
    <xf numFmtId="171" fontId="2" fillId="10" borderId="24" xfId="0" applyNumberFormat="1" applyFont="1" applyFill="1" applyBorder="1" applyAlignment="1">
      <alignment horizontal="center" vertical="center"/>
    </xf>
    <xf numFmtId="43" fontId="2" fillId="10" borderId="24" xfId="16" applyFont="1" applyFill="1" applyBorder="1" applyAlignment="1">
      <alignment horizontal="center" vertical="center"/>
    </xf>
    <xf numFmtId="166" fontId="2" fillId="10" borderId="24" xfId="2" applyFont="1" applyFill="1" applyBorder="1" applyAlignment="1">
      <alignment horizontal="center" vertical="center"/>
    </xf>
    <xf numFmtId="1" fontId="2" fillId="10" borderId="24" xfId="0" applyNumberFormat="1" applyFont="1" applyFill="1" applyBorder="1" applyAlignment="1">
      <alignment horizontal="center" vertical="center"/>
    </xf>
    <xf numFmtId="169" fontId="2" fillId="10" borderId="24" xfId="0" applyNumberFormat="1" applyFont="1" applyFill="1" applyBorder="1" applyAlignment="1">
      <alignment horizontal="center" vertical="center"/>
    </xf>
    <xf numFmtId="0" fontId="2" fillId="10" borderId="35" xfId="0" applyFont="1" applyFill="1" applyBorder="1" applyAlignment="1">
      <alignment horizontal="center" vertical="center"/>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4" fillId="8" borderId="25" xfId="0" applyNumberFormat="1" applyFont="1" applyFill="1" applyBorder="1" applyAlignment="1">
      <alignment horizontal="center" vertical="center" wrapText="1"/>
    </xf>
    <xf numFmtId="43" fontId="4" fillId="8" borderId="25" xfId="16" applyFont="1" applyFill="1" applyBorder="1" applyAlignment="1">
      <alignment horizontal="center" vertical="center" wrapText="1"/>
    </xf>
    <xf numFmtId="3" fontId="4" fillId="8" borderId="25" xfId="0" applyNumberFormat="1" applyFont="1" applyFill="1" applyBorder="1" applyAlignment="1">
      <alignment horizontal="center" vertical="center" wrapText="1"/>
    </xf>
    <xf numFmtId="166" fontId="4" fillId="8" borderId="25" xfId="2" applyFont="1" applyFill="1" applyBorder="1" applyAlignment="1">
      <alignment horizontal="center" vertical="center" wrapText="1"/>
    </xf>
    <xf numFmtId="1" fontId="4" fillId="8" borderId="25" xfId="0" applyNumberFormat="1" applyFont="1" applyFill="1" applyBorder="1" applyAlignment="1">
      <alignment horizontal="center" vertical="center" wrapText="1"/>
    </xf>
    <xf numFmtId="0" fontId="10" fillId="8" borderId="25" xfId="0" applyFont="1" applyFill="1" applyBorder="1" applyAlignment="1">
      <alignment horizontal="center" vertical="center" wrapText="1"/>
    </xf>
    <xf numFmtId="169" fontId="4" fillId="8" borderId="25" xfId="0" applyNumberFormat="1" applyFont="1" applyFill="1" applyBorder="1" applyAlignment="1">
      <alignment horizontal="center" vertical="center" wrapText="1"/>
    </xf>
    <xf numFmtId="3" fontId="4" fillId="8" borderId="22" xfId="0" applyNumberFormat="1" applyFont="1" applyFill="1" applyBorder="1" applyAlignment="1">
      <alignment horizontal="center" vertical="center" wrapText="1"/>
    </xf>
    <xf numFmtId="0" fontId="3" fillId="10" borderId="0" xfId="0" applyFont="1" applyFill="1" applyBorder="1" applyAlignment="1">
      <alignment horizontal="center" vertical="center" wrapText="1"/>
    </xf>
    <xf numFmtId="0" fontId="3" fillId="10" borderId="49" xfId="0" applyFont="1" applyFill="1" applyBorder="1" applyAlignment="1">
      <alignment vertical="center"/>
    </xf>
    <xf numFmtId="0" fontId="3" fillId="10" borderId="50" xfId="0" applyFont="1" applyFill="1" applyBorder="1" applyAlignment="1">
      <alignment vertical="center"/>
    </xf>
    <xf numFmtId="0" fontId="2" fillId="10" borderId="50" xfId="0" applyFont="1" applyFill="1" applyBorder="1" applyAlignment="1">
      <alignment horizontal="center" vertical="center"/>
    </xf>
    <xf numFmtId="0" fontId="10" fillId="0" borderId="40" xfId="0"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30" xfId="0" applyFont="1" applyFill="1" applyBorder="1" applyAlignment="1">
      <alignment horizontal="left" vertical="center" wrapText="1"/>
    </xf>
    <xf numFmtId="0" fontId="10" fillId="2" borderId="3" xfId="0" applyFont="1" applyFill="1" applyBorder="1" applyAlignment="1">
      <alignment horizontal="justify" vertical="center" wrapText="1"/>
    </xf>
    <xf numFmtId="1" fontId="4" fillId="0" borderId="7"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8" xfId="0" applyFont="1" applyFill="1" applyBorder="1" applyAlignment="1" applyProtection="1">
      <alignment horizontal="justify" vertical="center" wrapText="1"/>
      <protection locked="0"/>
    </xf>
    <xf numFmtId="0" fontId="10" fillId="2" borderId="16"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2" fillId="10" borderId="50" xfId="0" applyFont="1" applyFill="1" applyBorder="1" applyAlignment="1">
      <alignment vertical="center"/>
    </xf>
    <xf numFmtId="0" fontId="2" fillId="10" borderId="24" xfId="0" applyFont="1" applyFill="1" applyBorder="1" applyAlignment="1">
      <alignment horizontal="justify" vertical="center"/>
    </xf>
    <xf numFmtId="0" fontId="4" fillId="2" borderId="3" xfId="0" applyFont="1" applyFill="1" applyBorder="1" applyAlignment="1">
      <alignment horizontal="justify" vertical="center" wrapText="1"/>
    </xf>
    <xf numFmtId="0" fontId="4" fillId="2" borderId="40" xfId="0" applyFont="1" applyFill="1" applyBorder="1" applyAlignment="1">
      <alignment horizontal="justify" vertical="center" wrapText="1"/>
    </xf>
    <xf numFmtId="0" fontId="3" fillId="10" borderId="50" xfId="0" applyFont="1" applyFill="1" applyBorder="1" applyAlignment="1">
      <alignment horizontal="justify" vertical="center"/>
    </xf>
    <xf numFmtId="0" fontId="3" fillId="10" borderId="50" xfId="0" applyFont="1" applyFill="1" applyBorder="1" applyAlignment="1">
      <alignment horizontal="left" vertical="center" wrapText="1"/>
    </xf>
    <xf numFmtId="0" fontId="3" fillId="10" borderId="50" xfId="0" applyFont="1" applyFill="1" applyBorder="1" applyAlignment="1">
      <alignment horizontal="justify" vertical="center" wrapText="1"/>
    </xf>
    <xf numFmtId="43" fontId="2" fillId="10" borderId="20" xfId="16" applyFont="1" applyFill="1" applyBorder="1" applyAlignment="1">
      <alignment horizontal="center" vertical="center"/>
    </xf>
    <xf numFmtId="0" fontId="2" fillId="10" borderId="20" xfId="0" applyFont="1" applyFill="1" applyBorder="1" applyAlignment="1">
      <alignment horizontal="justify" vertical="center"/>
    </xf>
    <xf numFmtId="166" fontId="2" fillId="10" borderId="20" xfId="2" applyFont="1" applyFill="1" applyBorder="1" applyAlignment="1">
      <alignment horizontal="center" vertical="center"/>
    </xf>
    <xf numFmtId="167" fontId="9" fillId="10" borderId="0" xfId="12" applyFont="1" applyFill="1" applyBorder="1" applyAlignment="1">
      <alignment horizontal="center" vertical="center"/>
    </xf>
    <xf numFmtId="0" fontId="2" fillId="10" borderId="20" xfId="0" applyFont="1" applyFill="1" applyBorder="1" applyAlignment="1">
      <alignment horizontal="center" vertical="center"/>
    </xf>
    <xf numFmtId="169" fontId="2" fillId="10" borderId="20" xfId="0" applyNumberFormat="1" applyFont="1" applyFill="1" applyBorder="1" applyAlignment="1">
      <alignment horizontal="center" vertical="center"/>
    </xf>
    <xf numFmtId="0" fontId="2" fillId="10" borderId="46" xfId="0" applyFont="1" applyFill="1" applyBorder="1" applyAlignment="1">
      <alignment horizontal="center" vertical="center"/>
    </xf>
    <xf numFmtId="0" fontId="4" fillId="2" borderId="15" xfId="0" applyFont="1" applyFill="1" applyBorder="1" applyAlignment="1">
      <alignment vertical="center" wrapText="1"/>
    </xf>
    <xf numFmtId="0" fontId="10" fillId="2" borderId="40" xfId="0" applyFont="1" applyFill="1" applyBorder="1" applyAlignment="1">
      <alignment horizontal="center" vertical="center" wrapText="1"/>
    </xf>
    <xf numFmtId="0" fontId="28" fillId="0" borderId="2" xfId="0" applyFont="1" applyFill="1" applyBorder="1" applyAlignment="1">
      <alignment horizontal="center" vertical="center" wrapText="1"/>
    </xf>
    <xf numFmtId="1" fontId="4" fillId="2" borderId="30" xfId="0" applyNumberFormat="1" applyFont="1" applyFill="1" applyBorder="1" applyAlignment="1">
      <alignment horizontal="center" vertical="center" wrapText="1"/>
    </xf>
    <xf numFmtId="1" fontId="2" fillId="6" borderId="6" xfId="0" applyNumberFormat="1" applyFont="1" applyFill="1" applyBorder="1" applyAlignment="1">
      <alignment horizontal="center" vertical="center" wrapText="1"/>
    </xf>
    <xf numFmtId="0" fontId="2" fillId="6" borderId="20" xfId="0" applyFont="1" applyFill="1" applyBorder="1" applyAlignment="1">
      <alignment horizontal="center" vertical="center"/>
    </xf>
    <xf numFmtId="0" fontId="2" fillId="6" borderId="20" xfId="0" applyFont="1" applyFill="1" applyBorder="1" applyAlignment="1">
      <alignment horizontal="justify" vertical="center"/>
    </xf>
    <xf numFmtId="171" fontId="2" fillId="6" borderId="20" xfId="0" applyNumberFormat="1" applyFont="1" applyFill="1" applyBorder="1" applyAlignment="1">
      <alignment horizontal="center" vertical="center"/>
    </xf>
    <xf numFmtId="0" fontId="2" fillId="6" borderId="24" xfId="0" applyFont="1" applyFill="1" applyBorder="1" applyAlignment="1">
      <alignment horizontal="center" vertical="center"/>
    </xf>
    <xf numFmtId="166" fontId="2" fillId="6" borderId="24" xfId="2" applyFont="1" applyFill="1" applyBorder="1" applyAlignment="1">
      <alignment horizontal="center" vertical="center"/>
    </xf>
    <xf numFmtId="169" fontId="2" fillId="6" borderId="24" xfId="0" applyNumberFormat="1" applyFont="1" applyFill="1" applyBorder="1" applyAlignment="1">
      <alignment horizontal="center" vertical="center"/>
    </xf>
    <xf numFmtId="0" fontId="2" fillId="6" borderId="35" xfId="0" applyFont="1" applyFill="1" applyBorder="1" applyAlignment="1">
      <alignment horizontal="center" vertical="center"/>
    </xf>
    <xf numFmtId="0" fontId="3" fillId="8" borderId="63" xfId="0" applyFont="1" applyFill="1" applyBorder="1" applyAlignment="1">
      <alignment horizontal="center" vertical="center" wrapText="1"/>
    </xf>
    <xf numFmtId="166" fontId="2" fillId="8" borderId="0" xfId="2" applyFont="1" applyFill="1" applyBorder="1" applyAlignment="1">
      <alignment horizontal="center" vertical="center"/>
    </xf>
    <xf numFmtId="0" fontId="2" fillId="8" borderId="21" xfId="0" applyFont="1" applyFill="1" applyBorder="1" applyAlignment="1">
      <alignment horizontal="center" vertical="center"/>
    </xf>
    <xf numFmtId="1" fontId="2" fillId="0" borderId="0"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0" fontId="3" fillId="8" borderId="27" xfId="0" applyFont="1" applyFill="1" applyBorder="1" applyAlignment="1">
      <alignment horizontal="center" vertical="center" wrapText="1"/>
    </xf>
    <xf numFmtId="0" fontId="3" fillId="8" borderId="28" xfId="0" applyFont="1" applyFill="1" applyBorder="1" applyAlignment="1">
      <alignment vertical="center"/>
    </xf>
    <xf numFmtId="0" fontId="3" fillId="8" borderId="5" xfId="0" applyFont="1" applyFill="1" applyBorder="1" applyAlignment="1">
      <alignment vertical="center"/>
    </xf>
    <xf numFmtId="0" fontId="3" fillId="8" borderId="5" xfId="0" applyFont="1" applyFill="1" applyBorder="1" applyAlignment="1">
      <alignment horizontal="justify" vertical="center"/>
    </xf>
    <xf numFmtId="0" fontId="4" fillId="8" borderId="25" xfId="0" applyFont="1" applyFill="1" applyBorder="1" applyAlignment="1">
      <alignment horizontal="justify" vertical="center" wrapText="1"/>
    </xf>
    <xf numFmtId="3" fontId="4" fillId="8" borderId="25" xfId="0" applyNumberFormat="1" applyFont="1" applyFill="1" applyBorder="1" applyAlignment="1">
      <alignment horizontal="justify" vertical="center" wrapText="1"/>
    </xf>
    <xf numFmtId="14" fontId="4" fillId="8" borderId="25" xfId="0" applyNumberFormat="1" applyFont="1" applyFill="1" applyBorder="1" applyAlignment="1">
      <alignment horizontal="center" vertical="center" wrapText="1"/>
    </xf>
    <xf numFmtId="1" fontId="4" fillId="8" borderId="22" xfId="0" applyNumberFormat="1" applyFont="1" applyFill="1" applyBorder="1" applyAlignment="1">
      <alignment horizontal="center" vertical="center" wrapText="1"/>
    </xf>
    <xf numFmtId="0" fontId="3" fillId="10" borderId="64" xfId="0" applyFont="1" applyFill="1" applyBorder="1" applyAlignment="1">
      <alignment horizontal="center" vertical="center" wrapText="1"/>
    </xf>
    <xf numFmtId="0" fontId="9" fillId="10" borderId="25" xfId="0" applyFont="1" applyFill="1" applyBorder="1" applyAlignment="1">
      <alignment horizontal="center" vertical="center"/>
    </xf>
    <xf numFmtId="0" fontId="2" fillId="6" borderId="24" xfId="0" applyFont="1" applyFill="1" applyBorder="1" applyAlignment="1">
      <alignment horizontal="justify" vertical="center"/>
    </xf>
    <xf numFmtId="171" fontId="2" fillId="6" borderId="24" xfId="0" applyNumberFormat="1" applyFont="1" applyFill="1" applyBorder="1" applyAlignment="1">
      <alignment horizontal="center" vertical="center"/>
    </xf>
    <xf numFmtId="43" fontId="2" fillId="6" borderId="24" xfId="16" applyFont="1" applyFill="1" applyBorder="1" applyAlignment="1">
      <alignment horizontal="center" vertical="center"/>
    </xf>
    <xf numFmtId="1" fontId="2" fillId="6" borderId="20"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3" fillId="8" borderId="44" xfId="0" applyFont="1" applyFill="1" applyBorder="1" applyAlignment="1">
      <alignment horizontal="center" vertical="center" wrapText="1"/>
    </xf>
    <xf numFmtId="0" fontId="2" fillId="8" borderId="5" xfId="0" applyFont="1" applyFill="1" applyBorder="1" applyAlignment="1">
      <alignment horizontal="justify" vertical="center"/>
    </xf>
    <xf numFmtId="43" fontId="2" fillId="8" borderId="0" xfId="16" applyFont="1" applyFill="1" applyBorder="1" applyAlignment="1">
      <alignment horizontal="center" vertical="center"/>
    </xf>
    <xf numFmtId="0" fontId="3" fillId="10" borderId="35" xfId="0" applyFont="1" applyFill="1" applyBorder="1" applyAlignment="1">
      <alignment horizontal="center" vertical="center" wrapText="1"/>
    </xf>
    <xf numFmtId="0" fontId="9" fillId="10" borderId="50" xfId="0" applyFont="1" applyFill="1" applyBorder="1" applyAlignment="1">
      <alignment horizontal="justify" vertical="center"/>
    </xf>
    <xf numFmtId="0" fontId="9" fillId="10" borderId="50" xfId="0" applyFont="1" applyFill="1" applyBorder="1" applyAlignment="1">
      <alignment horizontal="left" vertical="center"/>
    </xf>
    <xf numFmtId="0" fontId="3" fillId="10" borderId="24" xfId="0" applyFont="1" applyFill="1" applyBorder="1" applyAlignment="1">
      <alignment horizontal="justify" vertical="center" wrapText="1"/>
    </xf>
    <xf numFmtId="43" fontId="3" fillId="10" borderId="24" xfId="16" applyFont="1" applyFill="1" applyBorder="1" applyAlignment="1">
      <alignment horizontal="center" vertical="center" wrapText="1"/>
    </xf>
    <xf numFmtId="0" fontId="10" fillId="12" borderId="3" xfId="0" applyFont="1" applyFill="1" applyBorder="1" applyAlignment="1">
      <alignment horizontal="justify" vertical="center" wrapText="1"/>
    </xf>
    <xf numFmtId="43" fontId="3" fillId="10" borderId="24" xfId="16" applyFont="1" applyFill="1" applyBorder="1" applyAlignment="1">
      <alignment horizontal="center" vertical="center"/>
    </xf>
    <xf numFmtId="166" fontId="4" fillId="10" borderId="24" xfId="2" applyFont="1" applyFill="1" applyBorder="1" applyAlignment="1">
      <alignment horizontal="center" vertical="center" wrapText="1"/>
    </xf>
    <xf numFmtId="1" fontId="4" fillId="10" borderId="25" xfId="0" applyNumberFormat="1" applyFont="1" applyFill="1" applyBorder="1" applyAlignment="1">
      <alignment horizontal="center" vertical="center" wrapText="1"/>
    </xf>
    <xf numFmtId="1" fontId="4" fillId="10" borderId="24" xfId="0" applyNumberFormat="1" applyFont="1" applyFill="1" applyBorder="1" applyAlignment="1">
      <alignment horizontal="center" vertical="center" wrapText="1"/>
    </xf>
    <xf numFmtId="14" fontId="4" fillId="10" borderId="24" xfId="0" applyNumberFormat="1" applyFont="1" applyFill="1" applyBorder="1" applyAlignment="1">
      <alignment horizontal="center" vertical="center" wrapText="1"/>
    </xf>
    <xf numFmtId="1" fontId="4" fillId="10" borderId="35"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3" borderId="30"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4" xfId="0" applyFont="1" applyFill="1" applyBorder="1" applyAlignment="1">
      <alignment horizontal="center" vertical="center"/>
    </xf>
    <xf numFmtId="171" fontId="2" fillId="3" borderId="20" xfId="0" applyNumberFormat="1" applyFont="1" applyFill="1" applyBorder="1" applyAlignment="1">
      <alignment horizontal="center" vertical="center"/>
    </xf>
    <xf numFmtId="43" fontId="2" fillId="3" borderId="2" xfId="16" applyFont="1" applyFill="1" applyBorder="1" applyAlignment="1">
      <alignment horizontal="center" vertical="center"/>
    </xf>
    <xf numFmtId="1" fontId="2" fillId="3" borderId="20" xfId="0" applyNumberFormat="1" applyFont="1" applyFill="1" applyBorder="1" applyAlignment="1">
      <alignment horizontal="center" vertical="center"/>
    </xf>
    <xf numFmtId="0" fontId="2" fillId="3" borderId="2" xfId="16" applyNumberFormat="1" applyFont="1" applyFill="1" applyBorder="1" applyAlignment="1">
      <alignment horizontal="center" vertical="center"/>
    </xf>
    <xf numFmtId="9" fontId="2" fillId="3" borderId="2" xfId="4" applyFont="1" applyFill="1" applyBorder="1" applyAlignment="1">
      <alignment horizontal="center" vertical="center"/>
    </xf>
    <xf numFmtId="169" fontId="2" fillId="3" borderId="20" xfId="0" applyNumberFormat="1" applyFont="1" applyFill="1" applyBorder="1" applyAlignment="1">
      <alignment horizontal="center" vertical="center"/>
    </xf>
    <xf numFmtId="0" fontId="2" fillId="3" borderId="46" xfId="0" applyFont="1" applyFill="1" applyBorder="1" applyAlignment="1">
      <alignment horizontal="center" vertical="center"/>
    </xf>
    <xf numFmtId="43" fontId="0" fillId="0" borderId="0" xfId="16" applyFont="1" applyAlignment="1">
      <alignment horizontal="center"/>
    </xf>
    <xf numFmtId="170" fontId="30" fillId="2" borderId="0" xfId="0" applyNumberFormat="1" applyFont="1" applyFill="1" applyAlignment="1">
      <alignment horizontal="center" vertical="center"/>
    </xf>
    <xf numFmtId="184" fontId="4" fillId="2" borderId="0" xfId="2" applyNumberFormat="1" applyFont="1" applyFill="1" applyAlignment="1">
      <alignment horizontal="center" vertical="center"/>
    </xf>
    <xf numFmtId="0" fontId="31" fillId="2" borderId="0" xfId="0" applyFont="1" applyFill="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4" borderId="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2" fillId="2" borderId="0" xfId="0" applyFont="1" applyFill="1" applyAlignment="1">
      <alignment horizontal="center" vertical="center"/>
    </xf>
    <xf numFmtId="0" fontId="4" fillId="0" borderId="2" xfId="0" applyFont="1" applyFill="1" applyBorder="1" applyAlignment="1">
      <alignment horizontal="justify" vertical="center" wrapText="1"/>
    </xf>
    <xf numFmtId="9" fontId="4" fillId="0" borderId="18" xfId="4" applyFont="1" applyFill="1" applyBorder="1" applyAlignment="1">
      <alignment horizontal="center" vertical="center" wrapText="1"/>
    </xf>
    <xf numFmtId="0" fontId="9" fillId="0" borderId="40" xfId="0" applyFont="1" applyFill="1" applyBorder="1" applyAlignment="1">
      <alignment horizontal="justify" vertical="center" wrapText="1"/>
    </xf>
    <xf numFmtId="0" fontId="9" fillId="0" borderId="23" xfId="0" applyFont="1" applyFill="1" applyBorder="1" applyAlignment="1">
      <alignment horizontal="justify"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1" fontId="4" fillId="0" borderId="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9" fillId="0" borderId="38" xfId="0" applyFont="1" applyFill="1" applyBorder="1" applyAlignment="1">
      <alignment horizontal="center" vertical="center" wrapText="1"/>
    </xf>
    <xf numFmtId="0" fontId="2" fillId="10" borderId="5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43" fontId="4" fillId="0" borderId="17" xfId="16" applyFont="1" applyFill="1" applyBorder="1" applyAlignment="1">
      <alignment horizontal="center" vertical="center" wrapText="1"/>
    </xf>
    <xf numFmtId="43" fontId="4" fillId="0" borderId="18" xfId="16"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7" xfId="0" applyFont="1" applyFill="1" applyBorder="1" applyAlignment="1">
      <alignment horizontal="justify" vertical="center" wrapText="1"/>
    </xf>
    <xf numFmtId="1" fontId="4" fillId="0" borderId="22"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4" xfId="0" applyFont="1" applyBorder="1" applyAlignment="1">
      <alignment horizontal="center" vertical="center"/>
    </xf>
    <xf numFmtId="0" fontId="2" fillId="5"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4" fillId="0" borderId="1" xfId="0" applyFont="1" applyBorder="1" applyAlignment="1">
      <alignment horizontal="center" vertical="center"/>
    </xf>
    <xf numFmtId="0" fontId="8"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Alignment="1">
      <alignment horizontal="center" vertical="center"/>
    </xf>
    <xf numFmtId="0" fontId="10" fillId="0" borderId="2"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3" fillId="8" borderId="0" xfId="0" applyFont="1" applyFill="1" applyBorder="1" applyAlignment="1">
      <alignment horizontal="left" vertical="center"/>
    </xf>
    <xf numFmtId="3" fontId="2" fillId="5" borderId="2"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3" fillId="8" borderId="25" xfId="0" applyFont="1" applyFill="1" applyBorder="1" applyAlignment="1">
      <alignment horizontal="left" vertical="center"/>
    </xf>
    <xf numFmtId="0" fontId="2" fillId="0" borderId="9" xfId="0" applyFont="1" applyBorder="1" applyAlignment="1">
      <alignment horizontal="center" vertical="center"/>
    </xf>
    <xf numFmtId="0" fontId="9" fillId="0" borderId="6" xfId="0" applyFont="1" applyBorder="1" applyAlignment="1">
      <alignment horizontal="center" vertical="center" wrapText="1"/>
    </xf>
    <xf numFmtId="0" fontId="2" fillId="5" borderId="2"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2" fillId="0" borderId="8" xfId="0" applyFont="1" applyBorder="1" applyAlignment="1">
      <alignment horizontal="center" vertical="center"/>
    </xf>
    <xf numFmtId="0" fontId="2" fillId="0" borderId="2" xfId="7" applyFont="1" applyFill="1" applyBorder="1" applyAlignment="1">
      <alignment horizontal="center" vertical="center"/>
    </xf>
    <xf numFmtId="173" fontId="4" fillId="0" borderId="2" xfId="7" applyNumberFormat="1" applyFont="1" applyFill="1" applyBorder="1" applyAlignment="1">
      <alignment horizontal="left" vertical="center"/>
    </xf>
    <xf numFmtId="14" fontId="11" fillId="0" borderId="2" xfId="0" applyNumberFormat="1" applyFont="1" applyFill="1" applyBorder="1" applyAlignment="1">
      <alignment horizontal="left" vertical="center" wrapText="1"/>
    </xf>
    <xf numFmtId="0" fontId="2" fillId="0" borderId="15" xfId="7" applyFont="1" applyFill="1" applyBorder="1" applyAlignment="1">
      <alignment horizontal="center" vertical="center"/>
    </xf>
    <xf numFmtId="3" fontId="12" fillId="0" borderId="15" xfId="7" applyNumberFormat="1" applyFont="1" applyFill="1" applyBorder="1" applyAlignment="1">
      <alignment horizontal="center" vertical="center" wrapText="1"/>
    </xf>
    <xf numFmtId="4" fontId="2" fillId="0" borderId="3" xfId="0" applyNumberFormat="1" applyFont="1" applyBorder="1" applyAlignment="1">
      <alignment horizontal="center" vertical="center"/>
    </xf>
    <xf numFmtId="4" fontId="2" fillId="5" borderId="2" xfId="0" applyNumberFormat="1" applyFont="1" applyFill="1" applyBorder="1" applyAlignment="1">
      <alignment horizontal="center" vertical="center" wrapText="1"/>
    </xf>
    <xf numFmtId="170" fontId="2" fillId="5" borderId="2" xfId="7" applyNumberFormat="1" applyFont="1" applyFill="1" applyBorder="1" applyAlignment="1">
      <alignment horizontal="center" vertical="center" wrapText="1"/>
    </xf>
    <xf numFmtId="1" fontId="2" fillId="6" borderId="33" xfId="0" applyNumberFormat="1" applyFont="1" applyFill="1" applyBorder="1" applyAlignment="1">
      <alignment horizontal="center" vertical="center" wrapText="1"/>
    </xf>
    <xf numFmtId="4" fontId="2" fillId="6" borderId="0" xfId="0" applyNumberFormat="1" applyFont="1" applyFill="1" applyBorder="1" applyAlignment="1">
      <alignment horizontal="center" vertical="center"/>
    </xf>
    <xf numFmtId="4" fontId="2" fillId="8" borderId="24" xfId="0" applyNumberFormat="1" applyFont="1" applyFill="1" applyBorder="1" applyAlignment="1">
      <alignment horizontal="center" vertical="center"/>
    </xf>
    <xf numFmtId="1" fontId="2" fillId="10" borderId="35" xfId="0" applyNumberFormat="1" applyFont="1" applyFill="1" applyBorder="1" applyAlignment="1">
      <alignment horizontal="center" vertical="center" wrapText="1" indent="1"/>
    </xf>
    <xf numFmtId="0" fontId="2" fillId="10" borderId="49" xfId="0" applyFont="1" applyFill="1" applyBorder="1" applyAlignment="1">
      <alignment horizontal="left" vertical="center"/>
    </xf>
    <xf numFmtId="171" fontId="2" fillId="10" borderId="3" xfId="0" applyNumberFormat="1" applyFont="1" applyFill="1" applyBorder="1" applyAlignment="1">
      <alignment horizontal="center" vertical="center"/>
    </xf>
    <xf numFmtId="4" fontId="2" fillId="10" borderId="3" xfId="0" applyNumberFormat="1" applyFont="1" applyFill="1" applyBorder="1" applyAlignment="1">
      <alignment horizontal="center" vertical="center"/>
    </xf>
    <xf numFmtId="43" fontId="4" fillId="0" borderId="0" xfId="16" applyFont="1" applyFill="1" applyAlignment="1">
      <alignment horizontal="center" vertical="center"/>
    </xf>
    <xf numFmtId="43" fontId="4" fillId="0" borderId="15" xfId="16"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3" fontId="4" fillId="0" borderId="2" xfId="16" applyFont="1" applyFill="1" applyBorder="1" applyAlignment="1">
      <alignment horizontal="center" vertical="center" wrapText="1"/>
    </xf>
    <xf numFmtId="43" fontId="4" fillId="0" borderId="2" xfId="16" applyFont="1" applyFill="1" applyBorder="1" applyAlignment="1">
      <alignment horizontal="center" vertical="center"/>
    </xf>
    <xf numFmtId="43" fontId="4" fillId="0" borderId="6" xfId="16" applyFont="1" applyFill="1" applyBorder="1" applyAlignment="1">
      <alignment horizontal="center" vertical="center" wrapText="1"/>
    </xf>
    <xf numFmtId="43" fontId="4" fillId="0" borderId="19" xfId="16" applyFont="1" applyFill="1" applyBorder="1" applyAlignment="1">
      <alignment horizontal="center" vertical="center" wrapText="1"/>
    </xf>
    <xf numFmtId="0" fontId="10" fillId="0" borderId="33" xfId="0" applyFont="1" applyFill="1" applyBorder="1" applyAlignment="1">
      <alignment horizontal="center" vertical="center" wrapText="1"/>
    </xf>
    <xf numFmtId="43" fontId="4" fillId="0" borderId="16" xfId="16" applyFont="1" applyFill="1" applyBorder="1" applyAlignment="1">
      <alignment horizontal="center" vertical="center" wrapText="1"/>
    </xf>
    <xf numFmtId="43" fontId="4" fillId="0" borderId="30" xfId="16" applyFont="1" applyFill="1" applyBorder="1" applyAlignment="1">
      <alignment horizontal="center" vertical="center" wrapText="1"/>
    </xf>
    <xf numFmtId="0" fontId="4" fillId="0" borderId="9" xfId="0" applyFont="1" applyFill="1" applyBorder="1" applyAlignment="1">
      <alignment horizontal="justify" vertical="center" wrapText="1"/>
    </xf>
    <xf numFmtId="43" fontId="4" fillId="0" borderId="7" xfId="16" applyFont="1" applyFill="1" applyBorder="1" applyAlignment="1">
      <alignment horizontal="center" vertical="center" wrapText="1"/>
    </xf>
    <xf numFmtId="0" fontId="4" fillId="0" borderId="4" xfId="0" applyFont="1" applyFill="1" applyBorder="1" applyAlignment="1">
      <alignment vertical="center" wrapText="1"/>
    </xf>
    <xf numFmtId="0" fontId="9" fillId="0" borderId="36" xfId="0" applyFont="1" applyFill="1" applyBorder="1" applyAlignment="1">
      <alignment vertical="center" wrapText="1"/>
    </xf>
    <xf numFmtId="0" fontId="9" fillId="0" borderId="16" xfId="0" applyFont="1" applyFill="1" applyBorder="1" applyAlignment="1">
      <alignment vertical="center" wrapText="1"/>
    </xf>
    <xf numFmtId="10" fontId="4" fillId="0" borderId="18" xfId="4" applyNumberFormat="1" applyFont="1" applyFill="1" applyBorder="1" applyAlignment="1">
      <alignment horizontal="center" vertical="center" wrapText="1"/>
    </xf>
    <xf numFmtId="3" fontId="4" fillId="0" borderId="36" xfId="0" applyNumberFormat="1" applyFont="1" applyFill="1" applyBorder="1" applyAlignment="1">
      <alignment horizontal="justify" vertical="center" wrapText="1"/>
    </xf>
    <xf numFmtId="0" fontId="4" fillId="0" borderId="9" xfId="0" applyFont="1" applyFill="1" applyBorder="1" applyAlignment="1">
      <alignment vertical="center" wrapText="1"/>
    </xf>
    <xf numFmtId="0" fontId="9" fillId="0" borderId="40" xfId="0" applyFont="1" applyFill="1" applyBorder="1" applyAlignment="1">
      <alignment vertical="center" wrapText="1"/>
    </xf>
    <xf numFmtId="10" fontId="4" fillId="0" borderId="2" xfId="4" applyNumberFormat="1" applyFont="1" applyFill="1" applyBorder="1" applyAlignment="1">
      <alignment horizontal="center" vertical="center" wrapText="1"/>
    </xf>
    <xf numFmtId="3" fontId="4" fillId="0" borderId="38" xfId="0" applyNumberFormat="1" applyFont="1" applyFill="1" applyBorder="1" applyAlignment="1">
      <alignment horizontal="justify" vertical="center" wrapText="1"/>
    </xf>
    <xf numFmtId="0" fontId="9" fillId="0" borderId="37" xfId="16"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9" fillId="0" borderId="23" xfId="0" applyFont="1" applyFill="1" applyBorder="1" applyAlignment="1">
      <alignment vertical="center" wrapText="1"/>
    </xf>
    <xf numFmtId="10" fontId="4" fillId="0" borderId="15" xfId="4" applyNumberFormat="1" applyFont="1" applyFill="1" applyBorder="1" applyAlignment="1">
      <alignment horizontal="center" vertical="center" wrapText="1"/>
    </xf>
    <xf numFmtId="43" fontId="10" fillId="0" borderId="9" xfId="16" applyFont="1" applyFill="1" applyBorder="1" applyAlignment="1">
      <alignment horizontal="center" vertical="center"/>
    </xf>
    <xf numFmtId="43" fontId="10" fillId="0" borderId="7" xfId="16" applyFont="1" applyFill="1" applyBorder="1" applyAlignment="1">
      <alignment horizontal="center" vertical="center"/>
    </xf>
    <xf numFmtId="43" fontId="10" fillId="0" borderId="2" xfId="16" applyFont="1" applyFill="1" applyBorder="1" applyAlignment="1">
      <alignment horizontal="center" vertical="center"/>
    </xf>
    <xf numFmtId="43" fontId="10" fillId="0" borderId="8" xfId="16" applyFont="1" applyFill="1" applyBorder="1" applyAlignment="1">
      <alignment horizontal="center" vertical="center"/>
    </xf>
    <xf numFmtId="43" fontId="10" fillId="0" borderId="9" xfId="16" applyFont="1" applyFill="1" applyBorder="1" applyAlignment="1">
      <alignment horizontal="center" vertical="center" wrapText="1"/>
    </xf>
    <xf numFmtId="43" fontId="10" fillId="0" borderId="8" xfId="16" applyFont="1" applyFill="1" applyBorder="1" applyAlignment="1">
      <alignment horizontal="center" vertical="center" wrapText="1"/>
    </xf>
    <xf numFmtId="43" fontId="10" fillId="0" borderId="2" xfId="16" applyFont="1" applyFill="1" applyBorder="1" applyAlignment="1">
      <alignment horizontal="center" vertical="center" wrapText="1"/>
    </xf>
    <xf numFmtId="43" fontId="10" fillId="0" borderId="14" xfId="16" applyFont="1" applyFill="1" applyBorder="1" applyAlignment="1">
      <alignment horizontal="center" vertical="center" wrapText="1"/>
    </xf>
    <xf numFmtId="43" fontId="10" fillId="0" borderId="5" xfId="16" applyFont="1" applyFill="1" applyBorder="1" applyAlignment="1">
      <alignment horizontal="center" vertical="center" wrapText="1"/>
    </xf>
    <xf numFmtId="43" fontId="10" fillId="0" borderId="15" xfId="16" applyFont="1" applyFill="1" applyBorder="1" applyAlignment="1">
      <alignment horizontal="center" vertical="center" wrapText="1"/>
    </xf>
    <xf numFmtId="43" fontId="4" fillId="0" borderId="35" xfId="16" applyFont="1" applyFill="1" applyBorder="1" applyAlignment="1">
      <alignment horizontal="center" vertical="center" wrapText="1"/>
    </xf>
    <xf numFmtId="43" fontId="4" fillId="0" borderId="40" xfId="16" applyFont="1" applyFill="1" applyBorder="1" applyAlignment="1">
      <alignment horizontal="center" vertical="center" wrapText="1"/>
    </xf>
    <xf numFmtId="43" fontId="4" fillId="0" borderId="67" xfId="16"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43" fontId="4" fillId="0" borderId="22" xfId="16" applyFont="1" applyFill="1" applyBorder="1" applyAlignment="1">
      <alignment horizontal="center" vertical="center" wrapText="1"/>
    </xf>
    <xf numFmtId="43" fontId="4" fillId="0" borderId="23" xfId="16" applyFont="1" applyFill="1" applyBorder="1" applyAlignment="1">
      <alignment horizontal="center" vertical="center" wrapText="1"/>
    </xf>
    <xf numFmtId="43" fontId="4" fillId="0" borderId="26" xfId="16" applyFont="1" applyFill="1" applyBorder="1" applyAlignment="1">
      <alignment horizontal="center" vertical="center" wrapText="1"/>
    </xf>
    <xf numFmtId="43" fontId="4" fillId="0" borderId="35" xfId="16" applyFont="1" applyFill="1" applyBorder="1" applyAlignment="1">
      <alignment horizontal="center" vertical="center"/>
    </xf>
    <xf numFmtId="43" fontId="4" fillId="0" borderId="40" xfId="16" applyFont="1" applyFill="1" applyBorder="1" applyAlignment="1">
      <alignment horizontal="center" vertical="center"/>
    </xf>
    <xf numFmtId="43" fontId="4" fillId="0" borderId="67" xfId="16" applyFont="1" applyFill="1" applyBorder="1" applyAlignment="1">
      <alignment horizontal="center" vertical="center"/>
    </xf>
    <xf numFmtId="0" fontId="2" fillId="10" borderId="24" xfId="0" applyFont="1" applyFill="1" applyBorder="1" applyAlignment="1">
      <alignment horizontal="center" vertical="center" wrapText="1"/>
    </xf>
    <xf numFmtId="0" fontId="2" fillId="10" borderId="50" xfId="0" applyFont="1" applyFill="1" applyBorder="1" applyAlignment="1">
      <alignment horizontal="left" vertical="center" wrapText="1"/>
    </xf>
    <xf numFmtId="0" fontId="2" fillId="10" borderId="50" xfId="0" applyFont="1" applyFill="1" applyBorder="1" applyAlignment="1">
      <alignment vertical="center" wrapText="1"/>
    </xf>
    <xf numFmtId="0" fontId="2" fillId="10" borderId="20" xfId="0" applyFont="1" applyFill="1" applyBorder="1" applyAlignment="1">
      <alignment horizontal="center" vertical="center" wrapText="1"/>
    </xf>
    <xf numFmtId="0" fontId="2" fillId="10" borderId="20" xfId="0" applyFont="1" applyFill="1" applyBorder="1" applyAlignment="1">
      <alignment horizontal="justify" vertical="center" wrapText="1"/>
    </xf>
    <xf numFmtId="43" fontId="2" fillId="10" borderId="20" xfId="16" applyFont="1" applyFill="1" applyBorder="1" applyAlignment="1">
      <alignment horizontal="center" vertical="center" wrapText="1"/>
    </xf>
    <xf numFmtId="43" fontId="2" fillId="10" borderId="48" xfId="16"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33" xfId="0" applyFont="1" applyFill="1" applyBorder="1" applyAlignment="1">
      <alignment horizontal="center" vertical="center" wrapText="1"/>
    </xf>
    <xf numFmtId="0" fontId="9" fillId="0" borderId="19" xfId="0" applyFont="1" applyFill="1" applyBorder="1" applyAlignment="1">
      <alignment vertical="center" wrapText="1"/>
    </xf>
    <xf numFmtId="0" fontId="2" fillId="3" borderId="3" xfId="0" applyFont="1" applyFill="1" applyBorder="1" applyAlignment="1">
      <alignment horizontal="center" vertical="center"/>
    </xf>
    <xf numFmtId="171" fontId="2" fillId="3" borderId="3" xfId="0" applyNumberFormat="1" applyFont="1" applyFill="1" applyBorder="1" applyAlignment="1">
      <alignment horizontal="center" vertical="center"/>
    </xf>
    <xf numFmtId="4" fontId="2" fillId="3" borderId="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69" fontId="2" fillId="3" borderId="3"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0" fillId="0" borderId="2"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9"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9" fontId="4" fillId="2" borderId="2" xfId="4" applyFont="1" applyFill="1" applyBorder="1" applyAlignment="1">
      <alignment horizontal="center" vertical="center" wrapText="1"/>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9" fillId="0" borderId="2" xfId="0" applyFont="1" applyBorder="1" applyAlignment="1">
      <alignment horizontal="justify" vertical="center" wrapText="1"/>
    </xf>
    <xf numFmtId="0" fontId="9" fillId="0" borderId="15" xfId="0" applyFont="1" applyBorder="1" applyAlignment="1">
      <alignment horizontal="justify" vertical="center" wrapText="1"/>
    </xf>
    <xf numFmtId="9" fontId="4" fillId="2" borderId="15" xfId="4"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38" xfId="0" applyFont="1" applyBorder="1" applyAlignment="1">
      <alignment horizontal="center" vertical="center" wrapText="1"/>
    </xf>
    <xf numFmtId="0" fontId="4" fillId="2" borderId="38" xfId="0" applyFont="1" applyFill="1" applyBorder="1" applyAlignment="1">
      <alignment horizontal="center" vertical="center"/>
    </xf>
    <xf numFmtId="0" fontId="9"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35" xfId="0" applyFont="1" applyBorder="1" applyAlignment="1">
      <alignment horizontal="center" vertical="center" wrapText="1"/>
    </xf>
    <xf numFmtId="0" fontId="4" fillId="0" borderId="26" xfId="0" applyFont="1" applyBorder="1" applyAlignment="1">
      <alignment horizontal="center" vertical="center" wrapText="1"/>
    </xf>
    <xf numFmtId="9" fontId="4" fillId="0" borderId="18" xfId="4" applyFont="1" applyFill="1" applyBorder="1" applyAlignment="1">
      <alignment horizontal="center" vertical="center" wrapText="1"/>
    </xf>
    <xf numFmtId="0" fontId="9" fillId="0" borderId="9" xfId="0" applyFont="1" applyBorder="1" applyAlignment="1">
      <alignment horizontal="center" vertical="center" wrapText="1"/>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Border="1" applyAlignment="1">
      <alignment horizontal="justify" vertical="center" wrapText="1"/>
    </xf>
    <xf numFmtId="0" fontId="4" fillId="2" borderId="15" xfId="0" applyFont="1" applyFill="1" applyBorder="1" applyAlignment="1">
      <alignment horizontal="justify" vertical="center" wrapText="1"/>
    </xf>
    <xf numFmtId="0" fontId="4" fillId="0" borderId="6" xfId="0" applyFont="1" applyBorder="1" applyAlignment="1">
      <alignment horizontal="center" vertical="center"/>
    </xf>
    <xf numFmtId="0" fontId="4" fillId="0" borderId="16" xfId="0" applyFont="1" applyBorder="1" applyAlignment="1">
      <alignment horizontal="center" vertical="center"/>
    </xf>
    <xf numFmtId="169" fontId="2" fillId="5" borderId="2" xfId="0" applyNumberFormat="1" applyFont="1" applyFill="1" applyBorder="1" applyAlignment="1">
      <alignment horizontal="center" vertical="center" wrapText="1"/>
    </xf>
    <xf numFmtId="0" fontId="2" fillId="15" borderId="8" xfId="0" applyFont="1" applyFill="1" applyBorder="1" applyAlignment="1">
      <alignment horizontal="center" vertical="center"/>
    </xf>
    <xf numFmtId="0" fontId="2" fillId="15" borderId="9" xfId="0" applyFont="1" applyFill="1" applyBorder="1" applyAlignment="1">
      <alignment horizontal="center"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9" fillId="0" borderId="2" xfId="7" applyFont="1" applyBorder="1" applyAlignment="1">
      <alignment horizontal="center" vertical="center" wrapText="1"/>
    </xf>
    <xf numFmtId="170" fontId="4" fillId="2" borderId="2" xfId="0" applyNumberFormat="1" applyFont="1" applyFill="1" applyBorder="1" applyAlignment="1">
      <alignment horizontal="center" vertical="center" wrapText="1"/>
    </xf>
    <xf numFmtId="9" fontId="4" fillId="0" borderId="15" xfId="4" applyFont="1" applyFill="1" applyBorder="1" applyAlignment="1">
      <alignment horizontal="center" vertical="center" wrapText="1"/>
    </xf>
    <xf numFmtId="1" fontId="4" fillId="0" borderId="38" xfId="0" applyNumberFormat="1" applyFont="1" applyFill="1" applyBorder="1" applyAlignment="1">
      <alignment horizontal="center" vertical="center" wrapText="1"/>
    </xf>
    <xf numFmtId="0" fontId="4" fillId="0" borderId="38" xfId="0" applyFont="1" applyFill="1" applyBorder="1" applyAlignment="1">
      <alignment horizontal="justify" vertical="center" wrapText="1"/>
    </xf>
    <xf numFmtId="0" fontId="4" fillId="0" borderId="3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9" fillId="0" borderId="38" xfId="0" applyFont="1" applyBorder="1" applyAlignment="1">
      <alignment horizontal="justify" vertical="center" wrapText="1"/>
    </xf>
    <xf numFmtId="0" fontId="9" fillId="0" borderId="37" xfId="0" applyFont="1" applyBorder="1" applyAlignment="1">
      <alignment horizontal="justify" vertical="center" wrapText="1"/>
    </xf>
    <xf numFmtId="0" fontId="4" fillId="0" borderId="18" xfId="0" applyFont="1" applyFill="1" applyBorder="1" applyAlignment="1">
      <alignment horizontal="center" vertical="center" wrapText="1"/>
    </xf>
    <xf numFmtId="9" fontId="4" fillId="0" borderId="2" xfId="4"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13" xfId="0"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6" xfId="0" applyFont="1" applyBorder="1" applyAlignment="1">
      <alignment horizontal="justify" vertical="center" wrapText="1"/>
    </xf>
    <xf numFmtId="0" fontId="33" fillId="0" borderId="2" xfId="0" applyFont="1" applyBorder="1" applyAlignment="1">
      <alignment horizontal="center" vertical="center"/>
    </xf>
    <xf numFmtId="0" fontId="33" fillId="0" borderId="2" xfId="0" applyFont="1" applyFill="1" applyBorder="1" applyAlignment="1">
      <alignment horizontal="center" vertical="center"/>
    </xf>
    <xf numFmtId="173" fontId="11" fillId="0" borderId="2" xfId="0" applyNumberFormat="1" applyFont="1" applyFill="1" applyBorder="1" applyAlignment="1">
      <alignment horizontal="left" vertical="center"/>
    </xf>
    <xf numFmtId="3" fontId="34" fillId="0" borderId="2" xfId="0" applyNumberFormat="1" applyFont="1" applyFill="1" applyBorder="1" applyAlignment="1">
      <alignment horizontal="center" vertical="center" wrapText="1"/>
    </xf>
    <xf numFmtId="3" fontId="2" fillId="0" borderId="0" xfId="0" applyNumberFormat="1" applyFont="1" applyBorder="1" applyAlignment="1">
      <alignment horizontal="center" vertical="center"/>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5" xfId="0" applyFont="1" applyFill="1" applyBorder="1" applyAlignment="1">
      <alignment horizontal="center" wrapText="1"/>
    </xf>
    <xf numFmtId="0" fontId="20" fillId="6" borderId="5" xfId="0" applyFont="1" applyFill="1" applyBorder="1" applyAlignment="1">
      <alignment horizontal="center" vertical="center" wrapText="1"/>
    </xf>
    <xf numFmtId="0" fontId="30" fillId="6" borderId="5" xfId="0" applyFont="1" applyFill="1" applyBorder="1" applyAlignment="1">
      <alignment horizontal="center" wrapText="1"/>
    </xf>
    <xf numFmtId="3" fontId="20" fillId="6" borderId="5" xfId="0" applyNumberFormat="1" applyFont="1" applyFill="1" applyBorder="1" applyAlignment="1">
      <alignment horizontal="center" wrapText="1"/>
    </xf>
    <xf numFmtId="0" fontId="20" fillId="6" borderId="14" xfId="0" applyFont="1" applyFill="1" applyBorder="1" applyAlignment="1">
      <alignment horizont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3" fillId="8" borderId="0" xfId="0" applyFont="1" applyFill="1" applyBorder="1" applyAlignment="1">
      <alignment horizontal="center" vertical="center" wrapText="1"/>
    </xf>
    <xf numFmtId="0" fontId="20" fillId="8" borderId="25" xfId="0" applyFont="1" applyFill="1" applyBorder="1" applyAlignment="1">
      <alignment horizontal="center" wrapText="1"/>
    </xf>
    <xf numFmtId="0" fontId="20" fillId="8" borderId="25" xfId="0" applyFont="1" applyFill="1" applyBorder="1" applyAlignment="1">
      <alignment horizontal="center" vertical="center" wrapText="1"/>
    </xf>
    <xf numFmtId="0" fontId="30" fillId="8" borderId="25" xfId="0" applyFont="1" applyFill="1" applyBorder="1" applyAlignment="1">
      <alignment horizontal="center" wrapText="1"/>
    </xf>
    <xf numFmtId="3" fontId="20" fillId="8" borderId="25" xfId="0" applyNumberFormat="1" applyFont="1" applyFill="1" applyBorder="1" applyAlignment="1">
      <alignment horizontal="center" wrapText="1"/>
    </xf>
    <xf numFmtId="0" fontId="20" fillId="8" borderId="22" xfId="0" applyFont="1" applyFill="1" applyBorder="1" applyAlignment="1">
      <alignment horizontal="center" wrapText="1"/>
    </xf>
    <xf numFmtId="0" fontId="9" fillId="0" borderId="6"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9" borderId="22" xfId="0" applyFont="1" applyFill="1" applyBorder="1" applyAlignment="1">
      <alignment horizontal="center" vertical="center" wrapText="1"/>
    </xf>
    <xf numFmtId="0" fontId="3" fillId="9" borderId="24" xfId="0" applyFont="1" applyFill="1" applyBorder="1" applyAlignment="1">
      <alignment horizontal="center" wrapText="1"/>
    </xf>
    <xf numFmtId="0" fontId="3" fillId="9" borderId="24" xfId="0" applyFont="1" applyFill="1" applyBorder="1" applyAlignment="1">
      <alignment horizontal="center" vertical="center" wrapText="1"/>
    </xf>
    <xf numFmtId="3" fontId="3" fillId="9" borderId="24" xfId="0" applyNumberFormat="1" applyFont="1" applyFill="1" applyBorder="1" applyAlignment="1">
      <alignment horizontal="center" wrapText="1"/>
    </xf>
    <xf numFmtId="3" fontId="9" fillId="9" borderId="24" xfId="0" applyNumberFormat="1" applyFont="1" applyFill="1" applyBorder="1" applyAlignment="1">
      <alignment horizontal="center" wrapText="1"/>
    </xf>
    <xf numFmtId="3" fontId="9" fillId="9" borderId="25" xfId="0" applyNumberFormat="1" applyFont="1" applyFill="1" applyBorder="1" applyAlignment="1">
      <alignment horizontal="center" wrapText="1"/>
    </xf>
    <xf numFmtId="0" fontId="9" fillId="9" borderId="24" xfId="0" applyFont="1" applyFill="1" applyBorder="1" applyAlignment="1">
      <alignment horizontal="center" wrapText="1"/>
    </xf>
    <xf numFmtId="0" fontId="9" fillId="9" borderId="35" xfId="0" applyFont="1" applyFill="1" applyBorder="1" applyAlignment="1">
      <alignment horizontal="center" wrapText="1"/>
    </xf>
    <xf numFmtId="0" fontId="4" fillId="0" borderId="6" xfId="0" applyFont="1" applyBorder="1" applyAlignment="1">
      <alignment horizontal="center"/>
    </xf>
    <xf numFmtId="0" fontId="10" fillId="0" borderId="3" xfId="0" applyFont="1" applyBorder="1" applyAlignment="1">
      <alignment horizontal="justify" vertical="center" wrapText="1"/>
    </xf>
    <xf numFmtId="43" fontId="10" fillId="0" borderId="4" xfId="16" applyFont="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justify" vertical="center" wrapText="1"/>
    </xf>
    <xf numFmtId="43" fontId="10" fillId="0" borderId="1" xfId="16"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3" fillId="20" borderId="0" xfId="0" applyFont="1" applyFill="1" applyBorder="1" applyAlignment="1">
      <alignment horizontal="center" vertical="center" wrapText="1"/>
    </xf>
    <xf numFmtId="0" fontId="10" fillId="8" borderId="25" xfId="0" applyFont="1" applyFill="1" applyBorder="1" applyAlignment="1">
      <alignment horizontal="justify" vertical="center" wrapText="1"/>
    </xf>
    <xf numFmtId="9" fontId="10" fillId="8" borderId="25" xfId="0" applyNumberFormat="1" applyFont="1" applyFill="1" applyBorder="1" applyAlignment="1">
      <alignment horizontal="center" vertical="center" wrapText="1"/>
    </xf>
    <xf numFmtId="167" fontId="10" fillId="8" borderId="25" xfId="19" applyFont="1" applyFill="1" applyBorder="1" applyAlignment="1">
      <alignment horizontal="center" vertical="center" wrapText="1"/>
    </xf>
    <xf numFmtId="43" fontId="10" fillId="8" borderId="25" xfId="16" applyFont="1" applyFill="1" applyBorder="1" applyAlignment="1">
      <alignment horizontal="center" vertical="center" wrapText="1"/>
    </xf>
    <xf numFmtId="0" fontId="10" fillId="8" borderId="22"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0" xfId="0" applyFont="1" applyFill="1" applyBorder="1" applyAlignment="1">
      <alignment vertical="center"/>
    </xf>
    <xf numFmtId="0" fontId="3" fillId="9" borderId="24" xfId="0" applyFont="1" applyFill="1" applyBorder="1" applyAlignment="1">
      <alignment vertical="center"/>
    </xf>
    <xf numFmtId="0" fontId="3" fillId="9" borderId="24" xfId="0" applyFont="1" applyFill="1" applyBorder="1" applyAlignment="1">
      <alignment horizontal="justify" vertical="center"/>
    </xf>
    <xf numFmtId="167" fontId="3" fillId="9" borderId="24" xfId="19" applyFont="1" applyFill="1" applyBorder="1" applyAlignment="1">
      <alignment horizontal="center" vertical="center" wrapText="1"/>
    </xf>
    <xf numFmtId="0" fontId="3" fillId="9" borderId="24" xfId="0" applyFont="1" applyFill="1" applyBorder="1" applyAlignment="1">
      <alignment horizontal="justify" vertical="center" wrapText="1"/>
    </xf>
    <xf numFmtId="43" fontId="3" fillId="9" borderId="24" xfId="16" applyFont="1" applyFill="1" applyBorder="1" applyAlignment="1">
      <alignment horizontal="center" vertical="center" wrapText="1"/>
    </xf>
    <xf numFmtId="3" fontId="3" fillId="9" borderId="24" xfId="0" applyNumberFormat="1" applyFont="1" applyFill="1" applyBorder="1" applyAlignment="1">
      <alignment horizontal="center" vertical="center" wrapText="1"/>
    </xf>
    <xf numFmtId="3" fontId="9" fillId="9" borderId="24" xfId="0" applyNumberFormat="1" applyFont="1" applyFill="1" applyBorder="1" applyAlignment="1">
      <alignment horizontal="center" vertical="center" wrapText="1"/>
    </xf>
    <xf numFmtId="3" fontId="9" fillId="9" borderId="25" xfId="0" applyNumberFormat="1"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10" fillId="0" borderId="6" xfId="0" applyFont="1" applyBorder="1" applyAlignment="1">
      <alignment horizontal="center" wrapText="1"/>
    </xf>
    <xf numFmtId="0" fontId="10" fillId="0" borderId="0" xfId="0" applyFont="1" applyBorder="1" applyAlignment="1">
      <alignment horizontal="center" vertical="center" wrapText="1"/>
    </xf>
    <xf numFmtId="0" fontId="10" fillId="0" borderId="16" xfId="0" applyFont="1" applyBorder="1" applyAlignment="1">
      <alignment horizontal="center" wrapText="1"/>
    </xf>
    <xf numFmtId="0" fontId="10" fillId="0" borderId="3" xfId="0" applyFont="1" applyBorder="1" applyAlignment="1">
      <alignment horizontal="center" vertical="center" wrapText="1"/>
    </xf>
    <xf numFmtId="0" fontId="10" fillId="0" borderId="5" xfId="0" applyFont="1" applyBorder="1" applyAlignment="1">
      <alignment horizontal="justify" vertical="center" wrapText="1"/>
    </xf>
    <xf numFmtId="43" fontId="10" fillId="0" borderId="17" xfId="16" applyFont="1" applyBorder="1" applyAlignment="1">
      <alignment horizontal="center" vertical="center" wrapText="1"/>
    </xf>
    <xf numFmtId="0" fontId="3" fillId="6"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167" fontId="3" fillId="6" borderId="24" xfId="19" applyFont="1" applyFill="1" applyBorder="1" applyAlignment="1">
      <alignment horizontal="center" vertical="center" wrapText="1"/>
    </xf>
    <xf numFmtId="43" fontId="3" fillId="6" borderId="24" xfId="16" applyFont="1" applyFill="1" applyBorder="1" applyAlignment="1">
      <alignment horizontal="center" vertical="center" wrapText="1"/>
    </xf>
    <xf numFmtId="3" fontId="3" fillId="6" borderId="24" xfId="0" applyNumberFormat="1" applyFont="1" applyFill="1" applyBorder="1" applyAlignment="1">
      <alignment horizontal="center" vertical="center" wrapText="1"/>
    </xf>
    <xf numFmtId="3" fontId="9" fillId="6" borderId="24" xfId="0" applyNumberFormat="1" applyFont="1" applyFill="1" applyBorder="1" applyAlignment="1">
      <alignment horizontal="center" vertical="center" wrapText="1"/>
    </xf>
    <xf numFmtId="3" fontId="9" fillId="6" borderId="20" xfId="0" applyNumberFormat="1" applyFont="1" applyFill="1" applyBorder="1" applyAlignment="1">
      <alignment horizontal="center" vertical="center" wrapText="1"/>
    </xf>
    <xf numFmtId="0" fontId="9" fillId="6" borderId="35" xfId="0" applyFont="1" applyFill="1" applyBorder="1" applyAlignment="1">
      <alignment horizontal="center" vertical="center" wrapText="1"/>
    </xf>
    <xf numFmtId="0" fontId="3" fillId="20" borderId="22" xfId="0" applyFont="1" applyFill="1" applyBorder="1" applyAlignment="1">
      <alignment horizontal="center" wrapText="1"/>
    </xf>
    <xf numFmtId="0" fontId="3" fillId="8" borderId="23" xfId="0" applyFont="1" applyFill="1" applyBorder="1" applyAlignment="1">
      <alignment vertical="center"/>
    </xf>
    <xf numFmtId="167" fontId="3" fillId="8" borderId="0" xfId="19" applyFont="1" applyFill="1" applyBorder="1" applyAlignment="1">
      <alignment horizontal="center" vertical="center" wrapText="1"/>
    </xf>
    <xf numFmtId="43" fontId="3" fillId="8" borderId="0" xfId="16" applyFont="1" applyFill="1" applyBorder="1" applyAlignment="1">
      <alignment horizontal="center" vertical="center" wrapText="1"/>
    </xf>
    <xf numFmtId="3" fontId="3" fillId="8" borderId="0" xfId="0" applyNumberFormat="1" applyFont="1" applyFill="1" applyBorder="1" applyAlignment="1">
      <alignment horizontal="center" vertical="center" wrapText="1"/>
    </xf>
    <xf numFmtId="3" fontId="9" fillId="8" borderId="0" xfId="0" applyNumberFormat="1" applyFont="1" applyFill="1" applyBorder="1" applyAlignment="1">
      <alignment horizontal="center" vertical="center" wrapText="1"/>
    </xf>
    <xf numFmtId="0" fontId="9" fillId="8" borderId="21" xfId="0" applyFont="1" applyFill="1" applyBorder="1" applyAlignment="1">
      <alignment horizontal="center" vertical="center" wrapText="1"/>
    </xf>
    <xf numFmtId="167" fontId="3" fillId="10" borderId="24" xfId="19" applyFont="1" applyFill="1" applyBorder="1" applyAlignment="1">
      <alignment horizontal="center" vertical="center" wrapText="1"/>
    </xf>
    <xf numFmtId="0" fontId="3" fillId="10" borderId="25" xfId="0" applyFont="1" applyFill="1" applyBorder="1" applyAlignment="1">
      <alignment horizontal="center" vertical="center" wrapText="1"/>
    </xf>
    <xf numFmtId="3" fontId="3" fillId="10" borderId="24" xfId="0" applyNumberFormat="1" applyFont="1" applyFill="1" applyBorder="1" applyAlignment="1">
      <alignment horizontal="center" vertical="center" wrapText="1"/>
    </xf>
    <xf numFmtId="3" fontId="9" fillId="10" borderId="24" xfId="0" applyNumberFormat="1" applyFont="1" applyFill="1" applyBorder="1" applyAlignment="1">
      <alignment horizontal="center" vertical="center" wrapText="1"/>
    </xf>
    <xf numFmtId="3" fontId="9" fillId="10" borderId="25" xfId="0" applyNumberFormat="1" applyFont="1" applyFill="1" applyBorder="1" applyAlignment="1">
      <alignment horizontal="center" vertical="center" wrapText="1"/>
    </xf>
    <xf numFmtId="0" fontId="9" fillId="10" borderId="35" xfId="0" applyFont="1" applyFill="1" applyBorder="1" applyAlignment="1">
      <alignment horizontal="center" vertical="center" wrapText="1"/>
    </xf>
    <xf numFmtId="0" fontId="10" fillId="0" borderId="6" xfId="0" applyFont="1" applyBorder="1" applyAlignment="1">
      <alignment horizontal="center" vertical="center" wrapText="1"/>
    </xf>
    <xf numFmtId="43" fontId="10" fillId="0" borderId="2" xfId="16" applyFont="1" applyBorder="1" applyAlignment="1">
      <alignment horizontal="center" vertical="center" wrapText="1"/>
    </xf>
    <xf numFmtId="0" fontId="10" fillId="0" borderId="16" xfId="0" applyFont="1" applyBorder="1" applyAlignment="1">
      <alignment horizontal="center" vertical="center" wrapText="1"/>
    </xf>
    <xf numFmtId="0" fontId="3" fillId="8" borderId="19" xfId="0" applyFont="1" applyFill="1" applyBorder="1" applyAlignment="1">
      <alignment vertical="center"/>
    </xf>
    <xf numFmtId="0" fontId="3" fillId="8" borderId="24" xfId="0" applyFont="1" applyFill="1" applyBorder="1" applyAlignment="1">
      <alignment vertical="center"/>
    </xf>
    <xf numFmtId="43" fontId="10" fillId="8" borderId="0" xfId="16" applyFont="1" applyFill="1" applyBorder="1" applyAlignment="1">
      <alignment horizontal="center" vertical="center" wrapText="1"/>
    </xf>
    <xf numFmtId="0" fontId="0" fillId="0" borderId="0" xfId="0" applyAlignment="1">
      <alignment vertical="center"/>
    </xf>
    <xf numFmtId="0" fontId="3" fillId="9" borderId="24" xfId="0" applyFont="1" applyFill="1" applyBorder="1" applyAlignment="1">
      <alignment horizontal="left" vertical="center"/>
    </xf>
    <xf numFmtId="0" fontId="10" fillId="0" borderId="37" xfId="0" applyFont="1" applyBorder="1" applyAlignment="1">
      <alignment horizontal="center" vertical="center" wrapText="1"/>
    </xf>
    <xf numFmtId="0" fontId="10" fillId="0" borderId="61" xfId="0" applyFont="1" applyBorder="1" applyAlignment="1">
      <alignment horizontal="justify" vertical="center" wrapText="1"/>
    </xf>
    <xf numFmtId="0" fontId="10" fillId="0" borderId="26" xfId="0" applyFont="1" applyBorder="1" applyAlignment="1">
      <alignment horizontal="center" vertical="center" wrapText="1"/>
    </xf>
    <xf numFmtId="0" fontId="10" fillId="0" borderId="26" xfId="0" applyFont="1" applyBorder="1" applyAlignment="1">
      <alignment horizontal="justify" vertical="center" wrapText="1"/>
    </xf>
    <xf numFmtId="10" fontId="10" fillId="0" borderId="26" xfId="0" applyNumberFormat="1" applyFont="1" applyBorder="1" applyAlignment="1">
      <alignment horizontal="center" vertical="center" wrapText="1"/>
    </xf>
    <xf numFmtId="0" fontId="10" fillId="2" borderId="17" xfId="0" applyFont="1" applyFill="1" applyBorder="1" applyAlignment="1">
      <alignment horizontal="justify" vertical="center" wrapText="1"/>
    </xf>
    <xf numFmtId="43" fontId="10" fillId="2" borderId="17" xfId="16" applyFont="1" applyFill="1" applyBorder="1" applyAlignment="1">
      <alignment horizontal="center" vertical="center" wrapText="1"/>
    </xf>
    <xf numFmtId="43" fontId="10" fillId="2" borderId="9" xfId="16" applyFont="1" applyFill="1" applyBorder="1" applyAlignment="1">
      <alignment horizontal="center" vertical="center" wrapText="1"/>
    </xf>
    <xf numFmtId="0" fontId="10" fillId="0" borderId="9" xfId="0" applyFont="1" applyBorder="1" applyAlignment="1">
      <alignment horizontal="center" vertical="center" wrapText="1"/>
    </xf>
    <xf numFmtId="167" fontId="9" fillId="2" borderId="2" xfId="11" applyFont="1" applyFill="1" applyBorder="1" applyAlignment="1" applyProtection="1">
      <alignment horizontal="right" vertical="center"/>
      <protection locked="0"/>
    </xf>
    <xf numFmtId="0" fontId="10" fillId="2" borderId="18" xfId="0" applyFont="1" applyFill="1" applyBorder="1" applyAlignment="1">
      <alignment horizontal="justify" vertical="center" wrapText="1"/>
    </xf>
    <xf numFmtId="43" fontId="10" fillId="2" borderId="4" xfId="16" applyFont="1" applyFill="1" applyBorder="1" applyAlignment="1">
      <alignment horizontal="center" vertical="center" wrapText="1"/>
    </xf>
    <xf numFmtId="0" fontId="10" fillId="2" borderId="4" xfId="0" applyFont="1" applyFill="1" applyBorder="1" applyAlignment="1">
      <alignment horizontal="justify" vertical="center" wrapText="1"/>
    </xf>
    <xf numFmtId="0" fontId="10" fillId="2" borderId="15" xfId="0" applyFont="1" applyFill="1" applyBorder="1" applyAlignment="1">
      <alignment horizontal="justify" vertical="center" wrapText="1"/>
    </xf>
    <xf numFmtId="43" fontId="10" fillId="2" borderId="15" xfId="16" applyFont="1" applyFill="1" applyBorder="1" applyAlignment="1">
      <alignment horizontal="center" vertical="center" wrapText="1"/>
    </xf>
    <xf numFmtId="0" fontId="10" fillId="2" borderId="9" xfId="0" applyFont="1" applyFill="1" applyBorder="1" applyAlignment="1">
      <alignment horizontal="justify" vertical="center" wrapText="1"/>
    </xf>
    <xf numFmtId="0" fontId="10" fillId="0" borderId="20" xfId="0" applyFont="1" applyBorder="1" applyAlignment="1">
      <alignment horizontal="center" vertical="center" wrapText="1"/>
    </xf>
    <xf numFmtId="0" fontId="20" fillId="21" borderId="3" xfId="0" applyFont="1" applyFill="1" applyBorder="1" applyAlignment="1">
      <alignment horizontal="center" vertical="center" wrapText="1"/>
    </xf>
    <xf numFmtId="167" fontId="20" fillId="21" borderId="3" xfId="19" applyFont="1" applyFill="1" applyBorder="1" applyAlignment="1">
      <alignment horizontal="center" vertical="center" wrapText="1"/>
    </xf>
    <xf numFmtId="0" fontId="30" fillId="21" borderId="3" xfId="0" applyFont="1" applyFill="1" applyBorder="1" applyAlignment="1">
      <alignment horizontal="center" vertical="center" wrapText="1"/>
    </xf>
    <xf numFmtId="43" fontId="20" fillId="21" borderId="3" xfId="16" applyFont="1" applyFill="1" applyBorder="1" applyAlignment="1">
      <alignment horizontal="center" vertical="center" wrapText="1"/>
    </xf>
    <xf numFmtId="3" fontId="20" fillId="21" borderId="3" xfId="0" applyNumberFormat="1" applyFont="1" applyFill="1" applyBorder="1" applyAlignment="1">
      <alignment horizontal="center" wrapText="1"/>
    </xf>
    <xf numFmtId="0" fontId="20" fillId="21" borderId="3" xfId="0" applyFont="1" applyFill="1" applyBorder="1" applyAlignment="1">
      <alignment horizontal="center" wrapText="1"/>
    </xf>
    <xf numFmtId="0" fontId="20" fillId="21" borderId="4" xfId="0" applyFont="1" applyFill="1" applyBorder="1" applyAlignment="1">
      <alignment horizontal="center" wrapText="1"/>
    </xf>
    <xf numFmtId="3" fontId="4" fillId="0" borderId="0" xfId="0" applyNumberFormat="1" applyFont="1" applyAlignment="1">
      <alignment horizontal="center"/>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9" fillId="0" borderId="38" xfId="0" applyFont="1" applyBorder="1" applyAlignment="1">
      <alignment horizontal="center" vertical="center" wrapText="1"/>
    </xf>
    <xf numFmtId="0" fontId="4"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9" fillId="0" borderId="15"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18" xfId="0" applyFont="1" applyFill="1" applyBorder="1" applyAlignment="1">
      <alignment horizontal="center" vertical="center" wrapText="1"/>
    </xf>
    <xf numFmtId="169"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4" fillId="0" borderId="18" xfId="0" applyFont="1" applyBorder="1" applyAlignment="1">
      <alignment horizontal="justify" vertical="center" wrapText="1"/>
    </xf>
    <xf numFmtId="3" fontId="4" fillId="0" borderId="15" xfId="0" applyNumberFormat="1" applyFont="1" applyBorder="1" applyAlignment="1">
      <alignment horizontal="justify" vertical="center" wrapText="1"/>
    </xf>
    <xf numFmtId="3" fontId="4" fillId="0" borderId="18" xfId="0" applyNumberFormat="1" applyFont="1" applyBorder="1" applyAlignment="1">
      <alignment horizontal="justify" vertical="center" wrapText="1"/>
    </xf>
    <xf numFmtId="0" fontId="9" fillId="0" borderId="2" xfId="7" applyFont="1" applyBorder="1" applyAlignment="1">
      <alignment horizontal="center" vertical="center" wrapText="1"/>
    </xf>
    <xf numFmtId="0" fontId="4" fillId="0" borderId="4" xfId="0" applyFont="1" applyBorder="1" applyAlignment="1">
      <alignment horizontal="center"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2" fillId="0" borderId="14" xfId="0" applyFont="1" applyBorder="1" applyAlignment="1">
      <alignment horizontal="center" vertical="center"/>
    </xf>
    <xf numFmtId="0" fontId="2" fillId="15" borderId="5" xfId="0" applyFont="1" applyFill="1" applyBorder="1" applyAlignment="1">
      <alignment horizontal="center" vertical="center"/>
    </xf>
    <xf numFmtId="0" fontId="2" fillId="5" borderId="2" xfId="0"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9" fillId="0" borderId="18" xfId="7" applyFont="1" applyBorder="1" applyAlignment="1">
      <alignment horizontal="justify" vertical="center" wrapText="1"/>
    </xf>
    <xf numFmtId="0" fontId="9" fillId="0" borderId="37" xfId="7" applyFont="1" applyBorder="1" applyAlignment="1">
      <alignment horizontal="center" vertical="center" wrapText="1"/>
    </xf>
    <xf numFmtId="0" fontId="9" fillId="0" borderId="13" xfId="0" applyFont="1" applyBorder="1" applyAlignment="1">
      <alignment horizontal="center" vertical="center" wrapText="1"/>
    </xf>
    <xf numFmtId="0" fontId="2" fillId="0" borderId="0" xfId="0" applyFont="1" applyBorder="1" applyAlignment="1">
      <alignment horizontal="justify" vertical="center" wrapText="1"/>
    </xf>
    <xf numFmtId="9" fontId="2" fillId="0" borderId="0" xfId="4" applyFont="1" applyBorder="1" applyAlignment="1">
      <alignment horizontal="center" vertical="center"/>
    </xf>
    <xf numFmtId="0" fontId="3" fillId="6" borderId="43" xfId="0" applyFont="1" applyFill="1" applyBorder="1" applyAlignment="1">
      <alignment horizontal="center" vertical="center" wrapText="1"/>
    </xf>
    <xf numFmtId="0" fontId="2" fillId="6" borderId="0" xfId="0" applyFont="1" applyFill="1" applyBorder="1" applyAlignment="1">
      <alignment horizontal="justify" vertical="center" wrapText="1"/>
    </xf>
    <xf numFmtId="9" fontId="2" fillId="6" borderId="0" xfId="4" applyFont="1" applyFill="1" applyBorder="1" applyAlignment="1">
      <alignment horizontal="center" vertical="center"/>
    </xf>
    <xf numFmtId="0" fontId="3" fillId="0" borderId="13"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4" xfId="0" applyFont="1" applyFill="1" applyBorder="1" applyAlignment="1">
      <alignment horizontal="justify" vertical="center" wrapText="1"/>
    </xf>
    <xf numFmtId="0" fontId="2" fillId="10" borderId="3" xfId="0" applyFont="1" applyFill="1" applyBorder="1" applyAlignment="1">
      <alignment horizontal="justify" vertical="center" wrapText="1"/>
    </xf>
    <xf numFmtId="41" fontId="4" fillId="0" borderId="7" xfId="20" applyFont="1" applyFill="1" applyBorder="1" applyAlignment="1">
      <alignment horizontal="center" vertical="center" wrapText="1"/>
    </xf>
    <xf numFmtId="41" fontId="4" fillId="0" borderId="2" xfId="20" applyFont="1" applyFill="1" applyBorder="1" applyAlignment="1">
      <alignment horizontal="center" vertical="center" wrapText="1"/>
    </xf>
    <xf numFmtId="0" fontId="4" fillId="0" borderId="0" xfId="0" applyFont="1" applyFill="1" applyAlignment="1">
      <alignment horizontal="center" vertical="center" wrapText="1"/>
    </xf>
    <xf numFmtId="41" fontId="9" fillId="0" borderId="7" xfId="20" applyFont="1" applyFill="1" applyBorder="1" applyAlignment="1">
      <alignment horizontal="center" vertical="center" wrapText="1"/>
    </xf>
    <xf numFmtId="41" fontId="9" fillId="0" borderId="2" xfId="20" applyFont="1" applyFill="1" applyBorder="1" applyAlignment="1">
      <alignment horizontal="center" vertical="center" wrapText="1"/>
    </xf>
    <xf numFmtId="170" fontId="4" fillId="0" borderId="15" xfId="0" applyNumberFormat="1" applyFont="1" applyFill="1" applyBorder="1" applyAlignment="1">
      <alignment horizontal="justify" vertical="center" wrapText="1"/>
    </xf>
    <xf numFmtId="41" fontId="29" fillId="0" borderId="13" xfId="20" applyFont="1" applyFill="1" applyBorder="1" applyAlignment="1">
      <alignment horizontal="center" vertical="center" wrapText="1"/>
    </xf>
    <xf numFmtId="41" fontId="29" fillId="0" borderId="2" xfId="2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2" fillId="10" borderId="8" xfId="0" applyFont="1" applyFill="1" applyBorder="1" applyAlignment="1">
      <alignment horizontal="justify" vertical="center" wrapText="1"/>
    </xf>
    <xf numFmtId="41" fontId="2" fillId="10" borderId="8" xfId="20" applyFont="1" applyFill="1" applyBorder="1" applyAlignment="1">
      <alignment horizontal="center" vertical="center" wrapText="1"/>
    </xf>
    <xf numFmtId="41" fontId="2" fillId="10" borderId="2" xfId="20" applyFont="1" applyFill="1" applyBorder="1" applyAlignment="1">
      <alignment horizontal="center" vertical="center" wrapText="1"/>
    </xf>
    <xf numFmtId="0" fontId="2" fillId="10" borderId="8"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68" xfId="0" applyFont="1" applyBorder="1" applyAlignment="1">
      <alignment horizontal="center" vertical="center" wrapText="1"/>
    </xf>
    <xf numFmtId="0" fontId="4" fillId="0" borderId="26" xfId="0" applyFont="1" applyBorder="1" applyAlignment="1">
      <alignment horizontal="justify" vertical="center" wrapText="1"/>
    </xf>
    <xf numFmtId="0" fontId="4" fillId="0" borderId="9" xfId="0" applyFont="1" applyBorder="1" applyAlignment="1">
      <alignment horizontal="justify" vertical="center" wrapText="1"/>
    </xf>
    <xf numFmtId="0" fontId="9" fillId="0" borderId="38" xfId="7" applyFont="1" applyBorder="1" applyAlignment="1">
      <alignment horizontal="center" vertical="center" wrapText="1"/>
    </xf>
    <xf numFmtId="1" fontId="4" fillId="0" borderId="38" xfId="0" applyNumberFormat="1" applyFont="1" applyBorder="1" applyAlignment="1">
      <alignment horizontal="center" vertical="center" wrapText="1"/>
    </xf>
    <xf numFmtId="41" fontId="4" fillId="0" borderId="13" xfId="20" applyFont="1" applyFill="1" applyBorder="1" applyAlignment="1">
      <alignment horizontal="center" vertical="center" wrapText="1"/>
    </xf>
    <xf numFmtId="41" fontId="4" fillId="0" borderId="40" xfId="20" applyFont="1" applyFill="1" applyBorder="1" applyAlignment="1">
      <alignment horizontal="center" vertical="center"/>
    </xf>
    <xf numFmtId="41" fontId="4" fillId="0" borderId="2" xfId="20" applyFont="1" applyFill="1" applyBorder="1" applyAlignment="1">
      <alignment horizontal="center" vertical="center"/>
    </xf>
    <xf numFmtId="0" fontId="9" fillId="0" borderId="18" xfId="7" applyFont="1" applyBorder="1" applyAlignment="1">
      <alignment horizontal="center" vertical="center" wrapText="1"/>
    </xf>
    <xf numFmtId="41" fontId="4" fillId="0" borderId="16" xfId="20" applyFont="1" applyFill="1" applyBorder="1" applyAlignment="1">
      <alignment horizontal="center" vertical="center" wrapText="1"/>
    </xf>
    <xf numFmtId="0" fontId="4" fillId="0" borderId="7" xfId="0" applyFont="1" applyBorder="1" applyAlignment="1">
      <alignment horizontal="center" vertical="center" wrapText="1"/>
    </xf>
    <xf numFmtId="0" fontId="10"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justify" vertical="center" wrapText="1"/>
    </xf>
    <xf numFmtId="0" fontId="9" fillId="0" borderId="70" xfId="0" applyFont="1" applyBorder="1" applyAlignment="1">
      <alignment horizontal="center" vertical="center" wrapText="1"/>
    </xf>
    <xf numFmtId="0" fontId="9" fillId="0" borderId="15" xfId="7" applyFont="1" applyBorder="1" applyAlignment="1">
      <alignment horizontal="center" vertical="center" wrapText="1"/>
    </xf>
    <xf numFmtId="0" fontId="2" fillId="6" borderId="25" xfId="0" applyFont="1" applyFill="1" applyBorder="1" applyAlignment="1">
      <alignment horizontal="justify" vertical="center" wrapText="1"/>
    </xf>
    <xf numFmtId="41" fontId="2" fillId="6" borderId="25" xfId="20" applyFont="1" applyFill="1" applyBorder="1" applyAlignment="1">
      <alignment horizontal="center" vertical="center"/>
    </xf>
    <xf numFmtId="41" fontId="2" fillId="6" borderId="2" xfId="20" applyFont="1" applyFill="1" applyBorder="1" applyAlignment="1">
      <alignment horizontal="center" vertical="center"/>
    </xf>
    <xf numFmtId="0" fontId="2" fillId="8" borderId="25" xfId="0" applyFont="1" applyFill="1" applyBorder="1" applyAlignment="1">
      <alignment horizontal="justify" vertical="center" wrapText="1"/>
    </xf>
    <xf numFmtId="9" fontId="2" fillId="8" borderId="25" xfId="4" applyFont="1" applyFill="1" applyBorder="1" applyAlignment="1">
      <alignment horizontal="center" vertical="center"/>
    </xf>
    <xf numFmtId="41" fontId="2" fillId="8" borderId="24" xfId="20" applyFont="1" applyFill="1" applyBorder="1" applyAlignment="1">
      <alignment horizontal="center" vertical="center"/>
    </xf>
    <xf numFmtId="41" fontId="2" fillId="8" borderId="2" xfId="20" applyFont="1" applyFill="1" applyBorder="1" applyAlignment="1">
      <alignment horizontal="center" vertical="center"/>
    </xf>
    <xf numFmtId="41" fontId="2" fillId="10" borderId="3" xfId="20" applyFont="1" applyFill="1" applyBorder="1" applyAlignment="1">
      <alignment horizontal="center" vertical="center" wrapText="1"/>
    </xf>
    <xf numFmtId="0" fontId="2" fillId="10" borderId="3" xfId="0" applyFont="1" applyFill="1" applyBorder="1" applyAlignment="1">
      <alignment horizontal="center" vertical="center" wrapText="1"/>
    </xf>
    <xf numFmtId="0" fontId="9" fillId="0" borderId="40" xfId="15" applyFont="1" applyFill="1" applyBorder="1" applyAlignment="1">
      <alignment horizontal="center" vertical="center" wrapText="1"/>
    </xf>
    <xf numFmtId="0" fontId="4" fillId="0" borderId="57" xfId="0" applyFont="1" applyBorder="1" applyAlignment="1">
      <alignment horizontal="center" vertical="center" wrapText="1"/>
    </xf>
    <xf numFmtId="0" fontId="4" fillId="0" borderId="47" xfId="0" applyFont="1" applyBorder="1" applyAlignment="1">
      <alignment horizontal="center" vertical="center" wrapText="1"/>
    </xf>
    <xf numFmtId="0" fontId="9" fillId="0" borderId="23" xfId="15" applyFont="1" applyFill="1" applyBorder="1" applyAlignment="1">
      <alignment horizontal="center" vertical="center" wrapText="1"/>
    </xf>
    <xf numFmtId="9" fontId="4" fillId="0" borderId="15" xfId="4" applyFont="1" applyFill="1" applyBorder="1" applyAlignment="1">
      <alignment horizontal="justify" vertical="center" wrapText="1"/>
    </xf>
    <xf numFmtId="0" fontId="3" fillId="10" borderId="46" xfId="0" applyFont="1" applyFill="1" applyBorder="1" applyAlignment="1">
      <alignment horizontal="center" vertical="center"/>
    </xf>
    <xf numFmtId="1" fontId="9" fillId="0" borderId="36" xfId="7" applyNumberFormat="1" applyFont="1" applyBorder="1" applyAlignment="1">
      <alignment horizontal="center" vertical="center" wrapText="1"/>
    </xf>
    <xf numFmtId="0" fontId="9" fillId="0" borderId="30" xfId="7" applyFont="1" applyBorder="1" applyAlignment="1">
      <alignment horizontal="justify" vertical="center" wrapText="1"/>
    </xf>
    <xf numFmtId="1" fontId="4" fillId="0" borderId="9" xfId="0" applyNumberFormat="1" applyFont="1" applyBorder="1" applyAlignment="1">
      <alignment horizontal="center" vertical="center" wrapText="1"/>
    </xf>
    <xf numFmtId="1" fontId="9" fillId="0" borderId="38" xfId="7" applyNumberFormat="1" applyFont="1" applyBorder="1" applyAlignment="1">
      <alignment horizontal="center" vertical="center" wrapText="1"/>
    </xf>
    <xf numFmtId="0" fontId="9" fillId="0" borderId="40" xfId="7" applyFont="1" applyBorder="1" applyAlignment="1">
      <alignment horizontal="justify" vertical="center" wrapText="1"/>
    </xf>
    <xf numFmtId="0" fontId="30" fillId="10" borderId="3" xfId="0" applyFont="1" applyFill="1" applyBorder="1" applyAlignment="1">
      <alignment horizontal="center" vertical="center"/>
    </xf>
    <xf numFmtId="0" fontId="9" fillId="0" borderId="36" xfId="15" applyFont="1" applyFill="1" applyBorder="1" applyAlignment="1">
      <alignment horizontal="center" vertical="center" wrapText="1"/>
    </xf>
    <xf numFmtId="41" fontId="4" fillId="2" borderId="13" xfId="20" applyFont="1" applyFill="1" applyBorder="1" applyAlignment="1">
      <alignment horizontal="center" vertical="center" wrapText="1"/>
    </xf>
    <xf numFmtId="41" fontId="4" fillId="2" borderId="2" xfId="20" applyFont="1" applyFill="1" applyBorder="1" applyAlignment="1">
      <alignment horizontal="center" vertical="center" wrapText="1"/>
    </xf>
    <xf numFmtId="169" fontId="4" fillId="0" borderId="2" xfId="0" applyNumberFormat="1" applyFont="1" applyBorder="1" applyAlignment="1">
      <alignment horizontal="center" vertical="center" wrapText="1"/>
    </xf>
    <xf numFmtId="1" fontId="4" fillId="22" borderId="8" xfId="0" applyNumberFormat="1" applyFont="1" applyFill="1" applyBorder="1" applyAlignment="1">
      <alignment horizontal="center" vertical="center"/>
    </xf>
    <xf numFmtId="0" fontId="4" fillId="22" borderId="8" xfId="0" applyFont="1" applyFill="1" applyBorder="1" applyAlignment="1">
      <alignment horizontal="center" vertical="center"/>
    </xf>
    <xf numFmtId="0" fontId="4" fillId="22" borderId="3" xfId="0" applyFont="1" applyFill="1" applyBorder="1" applyAlignment="1">
      <alignment horizontal="center" vertical="center"/>
    </xf>
    <xf numFmtId="0" fontId="4" fillId="22" borderId="3" xfId="0" applyFont="1" applyFill="1" applyBorder="1" applyAlignment="1">
      <alignment horizontal="justify" vertical="center" wrapText="1"/>
    </xf>
    <xf numFmtId="0" fontId="4" fillId="22" borderId="3" xfId="0" applyFont="1" applyFill="1" applyBorder="1" applyAlignment="1">
      <alignment horizontal="center" vertical="center" wrapText="1"/>
    </xf>
    <xf numFmtId="9" fontId="4" fillId="22" borderId="3" xfId="4" applyFont="1" applyFill="1" applyBorder="1" applyAlignment="1">
      <alignment horizontal="center" vertical="center"/>
    </xf>
    <xf numFmtId="170" fontId="2" fillId="22" borderId="3" xfId="0" applyNumberFormat="1" applyFont="1" applyFill="1" applyBorder="1" applyAlignment="1">
      <alignment horizontal="center" vertical="center"/>
    </xf>
    <xf numFmtId="0" fontId="2" fillId="22" borderId="73" xfId="0" applyFont="1" applyFill="1" applyBorder="1" applyAlignment="1">
      <alignment horizontal="justify" vertical="center" wrapText="1"/>
    </xf>
    <xf numFmtId="41" fontId="2" fillId="22" borderId="73" xfId="20" applyFont="1" applyFill="1" applyBorder="1" applyAlignment="1">
      <alignment horizontal="center" vertical="center"/>
    </xf>
    <xf numFmtId="170" fontId="4" fillId="22" borderId="3" xfId="0" applyNumberFormat="1" applyFont="1" applyFill="1" applyBorder="1" applyAlignment="1">
      <alignment horizontal="center" vertical="center"/>
    </xf>
    <xf numFmtId="1" fontId="4" fillId="22" borderId="3" xfId="0" applyNumberFormat="1" applyFont="1" applyFill="1" applyBorder="1" applyAlignment="1">
      <alignment horizontal="center" vertical="center"/>
    </xf>
    <xf numFmtId="41" fontId="2" fillId="22" borderId="3" xfId="0" applyNumberFormat="1" applyFont="1" applyFill="1" applyBorder="1" applyAlignment="1">
      <alignment horizontal="center" vertical="center"/>
    </xf>
    <xf numFmtId="169" fontId="4" fillId="22" borderId="3" xfId="0" applyNumberFormat="1" applyFont="1" applyFill="1" applyBorder="1" applyAlignment="1">
      <alignment horizontal="center" vertical="center"/>
    </xf>
    <xf numFmtId="0" fontId="4" fillId="22" borderId="9" xfId="0" applyFont="1" applyFill="1" applyBorder="1" applyAlignment="1">
      <alignment horizontal="center" vertical="center"/>
    </xf>
    <xf numFmtId="9" fontId="4" fillId="2" borderId="0" xfId="4" applyFont="1" applyFill="1" applyAlignment="1">
      <alignment horizontal="center" vertical="center"/>
    </xf>
    <xf numFmtId="41" fontId="4" fillId="0" borderId="0" xfId="20" applyFont="1" applyAlignment="1">
      <alignment horizontal="center" vertical="center"/>
    </xf>
    <xf numFmtId="41" fontId="4"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8" fillId="4" borderId="4" xfId="0" applyFont="1" applyFill="1" applyBorder="1" applyAlignment="1">
      <alignment horizontal="center" vertical="center" wrapText="1"/>
    </xf>
    <xf numFmtId="0" fontId="9" fillId="0" borderId="30"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xf>
    <xf numFmtId="0" fontId="9" fillId="0" borderId="17" xfId="0" applyFont="1" applyBorder="1" applyAlignment="1">
      <alignment horizontal="center" vertical="center" wrapText="1"/>
    </xf>
    <xf numFmtId="0" fontId="2" fillId="0" borderId="0" xfId="0" applyFont="1" applyAlignment="1">
      <alignment horizontal="center" vertical="center"/>
    </xf>
    <xf numFmtId="0" fontId="9"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4" fillId="0" borderId="18" xfId="0" applyFont="1" applyBorder="1" applyAlignment="1">
      <alignment horizontal="center" vertical="center" wrapText="1"/>
    </xf>
    <xf numFmtId="9" fontId="4" fillId="0" borderId="15" xfId="4" applyFont="1" applyFill="1" applyBorder="1" applyAlignment="1">
      <alignment horizontal="center" vertical="center"/>
    </xf>
    <xf numFmtId="0" fontId="4" fillId="0" borderId="6" xfId="0" applyFont="1" applyBorder="1" applyAlignment="1">
      <alignment horizontal="center" vertical="center"/>
    </xf>
    <xf numFmtId="0" fontId="9" fillId="0" borderId="40" xfId="0" applyFont="1" applyFill="1" applyBorder="1" applyAlignment="1">
      <alignment horizontal="justify"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15" xfId="16" applyNumberFormat="1" applyFont="1" applyFill="1" applyBorder="1" applyAlignment="1">
      <alignment horizontal="center" vertical="center" wrapText="1"/>
    </xf>
    <xf numFmtId="0" fontId="4" fillId="0" borderId="38"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38" xfId="0" applyFont="1" applyFill="1" applyBorder="1" applyAlignment="1">
      <alignment horizontal="justify"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14" xfId="0" applyFont="1" applyBorder="1" applyAlignment="1">
      <alignment horizontal="center" vertical="center"/>
    </xf>
    <xf numFmtId="0" fontId="2" fillId="10" borderId="50" xfId="0" applyFont="1" applyFill="1" applyBorder="1" applyAlignment="1">
      <alignment horizontal="left" vertical="center"/>
    </xf>
    <xf numFmtId="9" fontId="4" fillId="0" borderId="2" xfId="4" applyFont="1" applyFill="1" applyBorder="1" applyAlignment="1">
      <alignment horizontal="center" vertical="center" wrapText="1"/>
    </xf>
    <xf numFmtId="0" fontId="9" fillId="0" borderId="2" xfId="7" applyFont="1" applyFill="1" applyBorder="1" applyAlignment="1">
      <alignment horizontal="justify" vertical="center" wrapText="1"/>
    </xf>
    <xf numFmtId="1" fontId="4" fillId="0" borderId="6" xfId="0" applyNumberFormat="1" applyFont="1" applyBorder="1" applyAlignment="1">
      <alignment horizontal="center" vertical="center"/>
    </xf>
    <xf numFmtId="1" fontId="4" fillId="0" borderId="4" xfId="0" applyNumberFormat="1" applyFont="1" applyBorder="1" applyAlignment="1">
      <alignment horizontal="center" vertical="center"/>
    </xf>
    <xf numFmtId="0" fontId="9" fillId="0" borderId="15" xfId="7" applyFont="1" applyFill="1" applyBorder="1" applyAlignment="1">
      <alignment horizontal="center" vertical="center" wrapText="1"/>
    </xf>
    <xf numFmtId="0" fontId="9" fillId="0" borderId="15" xfId="7" applyFont="1" applyFill="1" applyBorder="1" applyAlignment="1">
      <alignment horizontal="justify" vertical="center" wrapText="1"/>
    </xf>
    <xf numFmtId="0" fontId="4" fillId="0" borderId="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2"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8"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0" borderId="8" xfId="0" applyFont="1" applyBorder="1" applyAlignment="1">
      <alignment horizontal="center" vertical="center"/>
    </xf>
    <xf numFmtId="0" fontId="3" fillId="5" borderId="2" xfId="0" applyFont="1" applyFill="1" applyBorder="1" applyAlignment="1">
      <alignment horizontal="center" vertical="center" wrapText="1"/>
    </xf>
    <xf numFmtId="0" fontId="2" fillId="10" borderId="25" xfId="0" applyFont="1" applyFill="1" applyBorder="1" applyAlignment="1">
      <alignment horizontal="justify" vertical="center" wrapText="1"/>
    </xf>
    <xf numFmtId="170" fontId="2" fillId="10" borderId="24" xfId="0" applyNumberFormat="1" applyFont="1" applyFill="1" applyBorder="1" applyAlignment="1">
      <alignment horizontal="center" vertical="center"/>
    </xf>
    <xf numFmtId="0" fontId="9" fillId="0" borderId="36" xfId="0" applyFont="1" applyBorder="1" applyAlignment="1">
      <alignment horizontal="center" vertical="center"/>
    </xf>
    <xf numFmtId="0" fontId="9" fillId="2" borderId="4" xfId="0" applyFont="1" applyFill="1" applyBorder="1" applyAlignment="1">
      <alignment horizontal="justify" vertical="center" wrapText="1"/>
    </xf>
    <xf numFmtId="0" fontId="9" fillId="2" borderId="16" xfId="0" applyFont="1" applyFill="1" applyBorder="1" applyAlignment="1">
      <alignment horizontal="justify" vertical="center" wrapText="1"/>
    </xf>
    <xf numFmtId="10" fontId="4" fillId="2" borderId="4" xfId="0" applyNumberFormat="1" applyFont="1" applyFill="1" applyBorder="1" applyAlignment="1">
      <alignment horizontal="center" vertical="center" wrapText="1"/>
    </xf>
    <xf numFmtId="167" fontId="9" fillId="0" borderId="30" xfId="12" applyFont="1" applyFill="1" applyBorder="1" applyAlignment="1">
      <alignment horizontal="center" vertical="center" wrapText="1"/>
    </xf>
    <xf numFmtId="0" fontId="10" fillId="0" borderId="38" xfId="0" applyFont="1" applyBorder="1" applyAlignment="1">
      <alignment horizontal="center" vertical="center" wrapText="1"/>
    </xf>
    <xf numFmtId="1" fontId="4" fillId="0" borderId="4" xfId="0" applyNumberFormat="1" applyFont="1" applyBorder="1" applyAlignment="1">
      <alignment horizontal="center" vertical="center" wrapText="1"/>
    </xf>
    <xf numFmtId="167" fontId="9" fillId="0" borderId="40" xfId="12" applyFont="1" applyFill="1" applyBorder="1" applyAlignment="1">
      <alignment horizontal="center" vertical="center" wrapText="1"/>
    </xf>
    <xf numFmtId="1" fontId="4" fillId="0" borderId="14" xfId="0" applyNumberFormat="1" applyFont="1" applyBorder="1" applyAlignment="1">
      <alignment horizontal="center" vertical="center" wrapText="1"/>
    </xf>
    <xf numFmtId="0" fontId="9" fillId="0" borderId="38" xfId="13" applyNumberFormat="1" applyFont="1" applyFill="1" applyBorder="1">
      <alignment horizontal="center" vertical="center" wrapText="1"/>
    </xf>
    <xf numFmtId="0" fontId="9" fillId="0" borderId="9" xfId="0" applyFont="1" applyBorder="1" applyAlignment="1">
      <alignment horizontal="justify" vertical="center" wrapText="1"/>
    </xf>
    <xf numFmtId="0" fontId="9" fillId="0" borderId="2" xfId="15" applyFont="1" applyFill="1" applyBorder="1">
      <alignment horizontal="center" vertical="center" wrapText="1"/>
    </xf>
    <xf numFmtId="0" fontId="9" fillId="0" borderId="7" xfId="7" applyFont="1" applyBorder="1" applyAlignment="1">
      <alignment horizontal="justify" vertical="center" wrapText="1"/>
    </xf>
    <xf numFmtId="10" fontId="4" fillId="2" borderId="9" xfId="0" applyNumberFormat="1" applyFont="1" applyFill="1" applyBorder="1" applyAlignment="1">
      <alignment horizontal="center" vertical="center" wrapText="1"/>
    </xf>
    <xf numFmtId="0" fontId="9" fillId="0" borderId="14" xfId="0" applyFont="1" applyBorder="1" applyAlignment="1">
      <alignment horizontal="justify" vertical="center" wrapText="1"/>
    </xf>
    <xf numFmtId="0" fontId="9" fillId="0" borderId="6" xfId="7" applyFont="1" applyBorder="1" applyAlignment="1">
      <alignment horizontal="center" vertical="center" wrapText="1"/>
    </xf>
    <xf numFmtId="10" fontId="4" fillId="2" borderId="8"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3" xfId="7" applyFont="1" applyBorder="1" applyAlignment="1">
      <alignment horizontal="center" vertical="center" wrapText="1"/>
    </xf>
    <xf numFmtId="2" fontId="9" fillId="0" borderId="2" xfId="7" applyNumberFormat="1" applyFont="1" applyBorder="1" applyAlignment="1">
      <alignment horizontal="center" vertical="center" wrapText="1"/>
    </xf>
    <xf numFmtId="10" fontId="4" fillId="2" borderId="5" xfId="0" applyNumberFormat="1" applyFont="1" applyFill="1" applyBorder="1" applyAlignment="1">
      <alignment horizontal="center" vertical="center" wrapText="1"/>
    </xf>
    <xf numFmtId="0" fontId="10" fillId="0" borderId="40" xfId="0" applyFont="1" applyBorder="1" applyAlignment="1">
      <alignment horizontal="center" vertical="center" wrapText="1"/>
    </xf>
    <xf numFmtId="167" fontId="9" fillId="0" borderId="23" xfId="12" applyFont="1" applyFill="1" applyBorder="1" applyAlignment="1">
      <alignment horizontal="center" vertical="center" wrapText="1"/>
    </xf>
    <xf numFmtId="167" fontId="9" fillId="0" borderId="23" xfId="12" applyFont="1" applyFill="1" applyBorder="1" applyAlignment="1">
      <alignment horizontal="center" vertical="center"/>
    </xf>
    <xf numFmtId="0" fontId="9" fillId="8" borderId="25" xfId="0" applyFont="1" applyFill="1" applyBorder="1" applyAlignment="1">
      <alignment horizontal="center" vertical="center" wrapText="1"/>
    </xf>
    <xf numFmtId="0" fontId="9" fillId="8" borderId="25" xfId="0" applyFont="1" applyFill="1" applyBorder="1" applyAlignment="1">
      <alignment horizontal="justify" vertical="center" wrapText="1"/>
    </xf>
    <xf numFmtId="0" fontId="9" fillId="8" borderId="25" xfId="7" applyFont="1" applyFill="1" applyBorder="1" applyAlignment="1">
      <alignment horizontal="center" vertical="center" wrapText="1"/>
    </xf>
    <xf numFmtId="167" fontId="9" fillId="8" borderId="25" xfId="12" applyFont="1" applyFill="1" applyBorder="1" applyAlignment="1">
      <alignment horizontal="center" vertical="center"/>
    </xf>
    <xf numFmtId="167" fontId="9" fillId="8" borderId="50" xfId="12" applyFont="1" applyFill="1" applyBorder="1" applyAlignment="1">
      <alignment horizontal="center" vertical="center"/>
    </xf>
    <xf numFmtId="0" fontId="4" fillId="8" borderId="0" xfId="0" applyFont="1" applyFill="1" applyAlignment="1">
      <alignment horizontal="center" vertical="center" wrapText="1"/>
    </xf>
    <xf numFmtId="41" fontId="4" fillId="8" borderId="25" xfId="20" applyFont="1" applyFill="1" applyBorder="1" applyAlignment="1">
      <alignment horizontal="center" vertical="center" wrapText="1"/>
    </xf>
    <xf numFmtId="1" fontId="2" fillId="0" borderId="6" xfId="0" applyNumberFormat="1" applyFont="1" applyBorder="1" applyAlignment="1">
      <alignment horizontal="center" vertical="center" wrapText="1" indent="1"/>
    </xf>
    <xf numFmtId="1" fontId="2" fillId="0" borderId="1" xfId="0" applyNumberFormat="1" applyFont="1" applyBorder="1" applyAlignment="1">
      <alignment horizontal="center" vertical="center" wrapText="1" indent="1"/>
    </xf>
    <xf numFmtId="1" fontId="2" fillId="0" borderId="13" xfId="0" applyNumberFormat="1" applyFont="1" applyBorder="1" applyAlignment="1">
      <alignment horizontal="center" vertical="center" wrapText="1" indent="1"/>
    </xf>
    <xf numFmtId="1" fontId="2" fillId="0" borderId="14" xfId="0" applyNumberFormat="1" applyFont="1" applyBorder="1" applyAlignment="1">
      <alignment horizontal="center" vertical="center" wrapText="1" indent="1"/>
    </xf>
    <xf numFmtId="170" fontId="3" fillId="10" borderId="24" xfId="0" applyNumberFormat="1" applyFont="1" applyFill="1" applyBorder="1" applyAlignment="1">
      <alignment horizontal="center" vertical="center"/>
    </xf>
    <xf numFmtId="170" fontId="3" fillId="10" borderId="72" xfId="0" applyNumberFormat="1" applyFont="1" applyFill="1" applyBorder="1" applyAlignment="1">
      <alignment horizontal="center" vertical="center"/>
    </xf>
    <xf numFmtId="0" fontId="4" fillId="10" borderId="24" xfId="0" applyFont="1" applyFill="1" applyBorder="1" applyAlignment="1">
      <alignment horizontal="center" vertical="center"/>
    </xf>
    <xf numFmtId="41" fontId="4" fillId="10" borderId="24" xfId="20" applyFont="1" applyFill="1" applyBorder="1" applyAlignment="1">
      <alignment horizontal="center" vertical="center"/>
    </xf>
    <xf numFmtId="0" fontId="9" fillId="0" borderId="18" xfId="15" applyFont="1" applyFill="1" applyBorder="1">
      <alignment horizontal="center" vertical="center" wrapText="1"/>
    </xf>
    <xf numFmtId="9" fontId="4" fillId="2" borderId="18" xfId="0" applyNumberFormat="1" applyFont="1" applyFill="1" applyBorder="1" applyAlignment="1">
      <alignment horizontal="center" vertical="center"/>
    </xf>
    <xf numFmtId="1" fontId="4" fillId="22" borderId="7" xfId="0" applyNumberFormat="1" applyFont="1" applyFill="1" applyBorder="1" applyAlignment="1">
      <alignment horizontal="center" vertical="center"/>
    </xf>
    <xf numFmtId="0" fontId="4" fillId="22" borderId="8" xfId="0" applyFont="1" applyFill="1" applyBorder="1" applyAlignment="1">
      <alignment horizontal="justify" vertical="center" wrapText="1"/>
    </xf>
    <xf numFmtId="171" fontId="4" fillId="22" borderId="9" xfId="0" applyNumberFormat="1" applyFont="1" applyFill="1" applyBorder="1" applyAlignment="1">
      <alignment horizontal="center" vertical="center"/>
    </xf>
    <xf numFmtId="180" fontId="2" fillId="22" borderId="2" xfId="0" applyNumberFormat="1" applyFont="1" applyFill="1" applyBorder="1" applyAlignment="1">
      <alignment horizontal="center" vertical="center"/>
    </xf>
    <xf numFmtId="0" fontId="4" fillId="22" borderId="7" xfId="0" applyFont="1" applyFill="1" applyBorder="1" applyAlignment="1">
      <alignment horizontal="justify" vertical="center" wrapText="1"/>
    </xf>
    <xf numFmtId="0" fontId="4" fillId="22" borderId="9" xfId="0" applyFont="1" applyFill="1" applyBorder="1" applyAlignment="1">
      <alignment horizontal="justify" vertical="center" wrapText="1"/>
    </xf>
    <xf numFmtId="0" fontId="2" fillId="22" borderId="2" xfId="0" applyFont="1" applyFill="1" applyBorder="1" applyAlignment="1">
      <alignment horizontal="justify" vertical="center" wrapText="1"/>
    </xf>
    <xf numFmtId="170" fontId="2" fillId="22" borderId="16" xfId="0" applyNumberFormat="1" applyFont="1" applyFill="1" applyBorder="1" applyAlignment="1">
      <alignment horizontal="center" vertical="center"/>
    </xf>
    <xf numFmtId="180" fontId="4" fillId="2" borderId="0" xfId="0" applyNumberFormat="1" applyFont="1" applyFill="1" applyAlignment="1">
      <alignment horizontal="center" vertical="center"/>
    </xf>
    <xf numFmtId="0" fontId="9" fillId="0" borderId="1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justify" vertical="center" wrapText="1"/>
    </xf>
    <xf numFmtId="0" fontId="9" fillId="0" borderId="7"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35" xfId="0" applyFont="1" applyBorder="1" applyAlignment="1">
      <alignment horizontal="center" vertical="center" wrapText="1"/>
    </xf>
    <xf numFmtId="0" fontId="9" fillId="0" borderId="23" xfId="0" applyFont="1" applyBorder="1" applyAlignment="1">
      <alignment horizontal="justify" vertical="center" wrapText="1"/>
    </xf>
    <xf numFmtId="0" fontId="9" fillId="0" borderId="19" xfId="0" applyFont="1" applyBorder="1" applyAlignment="1">
      <alignment horizontal="justify" vertical="center" wrapText="1"/>
    </xf>
    <xf numFmtId="0" fontId="9" fillId="2" borderId="17" xfId="0" applyFont="1" applyFill="1" applyBorder="1" applyAlignment="1">
      <alignment horizontal="justify" vertical="center" wrapText="1"/>
    </xf>
    <xf numFmtId="0" fontId="9" fillId="0" borderId="38" xfId="16" applyNumberFormat="1" applyFont="1" applyFill="1" applyBorder="1" applyAlignment="1">
      <alignment horizontal="center" vertical="center" wrapText="1"/>
    </xf>
    <xf numFmtId="0" fontId="9" fillId="0" borderId="36" xfId="0" applyFont="1" applyBorder="1" applyAlignment="1">
      <alignment horizontal="center" vertical="center"/>
    </xf>
    <xf numFmtId="0" fontId="9" fillId="0" borderId="38" xfId="13" applyNumberFormat="1" applyFont="1" applyFill="1" applyBorder="1">
      <alignment horizontal="center" vertical="center" wrapText="1"/>
    </xf>
    <xf numFmtId="0" fontId="9" fillId="0" borderId="37" xfId="13" applyNumberFormat="1" applyFont="1" applyFill="1" applyBorder="1">
      <alignment horizontal="center" vertical="center" wrapText="1"/>
    </xf>
    <xf numFmtId="0" fontId="9" fillId="0" borderId="36" xfId="0" applyFont="1" applyBorder="1" applyAlignment="1">
      <alignment horizontal="justify" vertical="center" wrapText="1"/>
    </xf>
    <xf numFmtId="0" fontId="9" fillId="0" borderId="38" xfId="0" applyFont="1" applyBorder="1" applyAlignment="1">
      <alignment horizontal="justify"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9" fillId="0" borderId="37"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 xfId="0" applyFont="1" applyBorder="1" applyAlignment="1">
      <alignment horizontal="center" vertical="center" wrapText="1"/>
    </xf>
    <xf numFmtId="14" fontId="2" fillId="0" borderId="2" xfId="0" applyNumberFormat="1" applyFont="1" applyBorder="1" applyAlignment="1">
      <alignment horizontal="left" vertical="center"/>
    </xf>
    <xf numFmtId="173" fontId="4" fillId="0" borderId="2" xfId="0" applyNumberFormat="1" applyFont="1" applyBorder="1" applyAlignment="1">
      <alignment horizontal="left" vertical="center"/>
    </xf>
    <xf numFmtId="14" fontId="2" fillId="0" borderId="15" xfId="0" applyNumberFormat="1" applyFont="1" applyBorder="1" applyAlignment="1">
      <alignment horizontal="left" vertical="center"/>
    </xf>
    <xf numFmtId="3" fontId="12" fillId="0" borderId="15" xfId="0" applyNumberFormat="1" applyFont="1" applyBorder="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14" fontId="2" fillId="0" borderId="3" xfId="0" applyNumberFormat="1" applyFont="1" applyBorder="1" applyAlignment="1">
      <alignment horizontal="center" vertical="center"/>
    </xf>
    <xf numFmtId="0" fontId="13" fillId="5" borderId="9"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1" fontId="2" fillId="6" borderId="15" xfId="0" applyNumberFormat="1" applyFont="1" applyFill="1" applyBorder="1" applyAlignment="1">
      <alignment horizontal="center" vertical="center" wrapText="1"/>
    </xf>
    <xf numFmtId="0" fontId="2" fillId="6" borderId="5" xfId="0" applyFont="1" applyFill="1" applyBorder="1" applyAlignment="1">
      <alignment vertical="center"/>
    </xf>
    <xf numFmtId="14" fontId="2" fillId="6" borderId="5" xfId="0" applyNumberFormat="1" applyFont="1" applyFill="1" applyBorder="1" applyAlignment="1">
      <alignment horizontal="center" vertical="center"/>
    </xf>
    <xf numFmtId="0" fontId="3" fillId="8" borderId="25" xfId="0" applyFont="1" applyFill="1" applyBorder="1" applyAlignment="1">
      <alignment vertical="center"/>
    </xf>
    <xf numFmtId="0" fontId="2" fillId="8" borderId="25" xfId="0" applyFont="1" applyFill="1" applyBorder="1" applyAlignment="1">
      <alignment vertical="center"/>
    </xf>
    <xf numFmtId="14" fontId="2" fillId="8" borderId="25" xfId="0" applyNumberFormat="1" applyFont="1" applyFill="1" applyBorder="1" applyAlignment="1">
      <alignment horizontal="center" vertical="center"/>
    </xf>
    <xf numFmtId="1" fontId="2" fillId="0" borderId="6" xfId="0" applyNumberFormat="1" applyFont="1" applyBorder="1" applyAlignment="1">
      <alignment vertical="center" wrapText="1"/>
    </xf>
    <xf numFmtId="1" fontId="2" fillId="0" borderId="1" xfId="0" applyNumberFormat="1" applyFont="1" applyBorder="1" applyAlignment="1">
      <alignment vertical="center" wrapText="1"/>
    </xf>
    <xf numFmtId="0" fontId="2" fillId="10" borderId="24" xfId="0" applyFont="1" applyFill="1" applyBorder="1" applyAlignment="1">
      <alignment vertical="center"/>
    </xf>
    <xf numFmtId="14" fontId="2" fillId="10" borderId="24" xfId="0" applyNumberFormat="1" applyFont="1" applyFill="1" applyBorder="1" applyAlignment="1">
      <alignment horizontal="center" vertical="center"/>
    </xf>
    <xf numFmtId="175" fontId="4" fillId="0" borderId="18" xfId="20" applyNumberFormat="1" applyFont="1" applyFill="1" applyBorder="1" applyAlignment="1">
      <alignment horizontal="center" vertical="center" wrapText="1"/>
    </xf>
    <xf numFmtId="0" fontId="10" fillId="0" borderId="38" xfId="0" applyFont="1" applyFill="1" applyBorder="1" applyAlignment="1">
      <alignment horizontal="left" vertical="center" wrapText="1"/>
    </xf>
    <xf numFmtId="175" fontId="4" fillId="0" borderId="2" xfId="20" applyNumberFormat="1" applyFont="1" applyFill="1" applyBorder="1" applyAlignment="1">
      <alignment horizontal="center" vertical="center" wrapText="1"/>
    </xf>
    <xf numFmtId="175" fontId="4" fillId="0" borderId="15" xfId="20" applyNumberFormat="1" applyFont="1" applyFill="1" applyBorder="1" applyAlignment="1">
      <alignment horizontal="center" vertical="center" wrapText="1"/>
    </xf>
    <xf numFmtId="0" fontId="4" fillId="0" borderId="7" xfId="0" applyFont="1" applyFill="1" applyBorder="1" applyAlignment="1">
      <alignment horizontal="justify" vertical="center" wrapText="1"/>
    </xf>
    <xf numFmtId="175" fontId="4" fillId="0" borderId="38" xfId="20" applyNumberFormat="1" applyFont="1" applyFill="1" applyBorder="1" applyAlignment="1">
      <alignment horizontal="center" vertical="center" wrapText="1"/>
    </xf>
    <xf numFmtId="175" fontId="4" fillId="0" borderId="38" xfId="20" applyNumberFormat="1"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xf>
    <xf numFmtId="0" fontId="10" fillId="0" borderId="36" xfId="0" applyFont="1" applyFill="1" applyBorder="1" applyAlignment="1">
      <alignment horizontal="left" vertical="center"/>
    </xf>
    <xf numFmtId="1" fontId="9" fillId="0" borderId="36" xfId="7" applyNumberFormat="1" applyFont="1" applyFill="1" applyBorder="1" applyAlignment="1">
      <alignment horizontal="center" vertical="center" wrapText="1"/>
    </xf>
    <xf numFmtId="0" fontId="4" fillId="0" borderId="2" xfId="16" applyNumberFormat="1" applyFont="1" applyFill="1" applyBorder="1" applyAlignment="1">
      <alignment horizontal="center" vertical="center" wrapText="1"/>
    </xf>
    <xf numFmtId="0" fontId="10" fillId="0" borderId="36" xfId="0" applyFont="1" applyFill="1" applyBorder="1" applyAlignment="1">
      <alignment horizontal="left" vertical="center" wrapText="1"/>
    </xf>
    <xf numFmtId="1" fontId="9" fillId="0" borderId="37" xfId="7" applyNumberFormat="1" applyFont="1" applyFill="1" applyBorder="1" applyAlignment="1">
      <alignment horizontal="center" vertical="center" wrapText="1"/>
    </xf>
    <xf numFmtId="0" fontId="9" fillId="0" borderId="23" xfId="7" applyFont="1" applyFill="1" applyBorder="1" applyAlignment="1">
      <alignment horizontal="justify" vertical="center" wrapText="1"/>
    </xf>
    <xf numFmtId="0" fontId="4" fillId="0" borderId="15" xfId="16"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8" xfId="0" applyFont="1" applyFill="1" applyBorder="1" applyAlignment="1">
      <alignment horizontal="justify" vertical="center" wrapText="1"/>
    </xf>
    <xf numFmtId="1" fontId="4" fillId="0" borderId="8"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75" fontId="4" fillId="0" borderId="6" xfId="20" applyNumberFormat="1" applyFont="1" applyFill="1" applyBorder="1" applyAlignment="1">
      <alignment horizontal="center" vertical="center" wrapText="1"/>
    </xf>
    <xf numFmtId="175" fontId="4" fillId="0" borderId="36" xfId="20" applyNumberFormat="1" applyFont="1" applyFill="1" applyBorder="1" applyAlignment="1">
      <alignment horizontal="center" vertical="center" wrapText="1"/>
    </xf>
    <xf numFmtId="175" fontId="4" fillId="0" borderId="13" xfId="20" applyNumberFormat="1" applyFont="1" applyFill="1" applyBorder="1" applyAlignment="1">
      <alignment horizontal="center" vertical="center" wrapText="1"/>
    </xf>
    <xf numFmtId="175" fontId="4" fillId="0" borderId="7" xfId="20" applyNumberFormat="1" applyFont="1" applyFill="1" applyBorder="1" applyAlignment="1">
      <alignment horizontal="center" vertical="center" wrapText="1"/>
    </xf>
    <xf numFmtId="175" fontId="4" fillId="0" borderId="37" xfId="20" applyNumberFormat="1" applyFont="1" applyFill="1" applyBorder="1" applyAlignment="1">
      <alignment horizontal="center" vertical="center" wrapText="1"/>
    </xf>
    <xf numFmtId="175" fontId="4" fillId="0" borderId="16" xfId="20" applyNumberFormat="1" applyFont="1" applyFill="1" applyBorder="1" applyAlignment="1">
      <alignment horizontal="center" vertical="center" wrapText="1"/>
    </xf>
    <xf numFmtId="175" fontId="4" fillId="0" borderId="15" xfId="20" applyNumberFormat="1" applyFont="1" applyFill="1" applyBorder="1" applyAlignment="1">
      <alignment horizontal="center" vertical="center"/>
    </xf>
    <xf numFmtId="175" fontId="4" fillId="0" borderId="13" xfId="20" applyNumberFormat="1" applyFont="1" applyFill="1" applyBorder="1" applyAlignment="1">
      <alignment horizontal="center" vertical="center"/>
    </xf>
    <xf numFmtId="1" fontId="9" fillId="0" borderId="2" xfId="7" applyNumberFormat="1" applyFont="1" applyFill="1" applyBorder="1" applyAlignment="1">
      <alignment horizontal="center" vertical="center" wrapText="1"/>
    </xf>
    <xf numFmtId="1" fontId="9" fillId="0" borderId="38" xfId="7" applyNumberFormat="1" applyFont="1" applyFill="1" applyBorder="1" applyAlignment="1">
      <alignment horizontal="center" vertical="center" wrapText="1"/>
    </xf>
    <xf numFmtId="0" fontId="9" fillId="0" borderId="40" xfId="7" applyFont="1" applyFill="1" applyBorder="1" applyAlignment="1">
      <alignment horizontal="justify" vertical="center" wrapText="1"/>
    </xf>
    <xf numFmtId="0" fontId="2" fillId="10" borderId="5" xfId="0" applyFont="1" applyFill="1" applyBorder="1" applyAlignment="1">
      <alignment vertical="center"/>
    </xf>
    <xf numFmtId="0" fontId="2" fillId="10" borderId="5" xfId="0" applyFont="1" applyFill="1" applyBorder="1" applyAlignment="1">
      <alignment horizontal="justify" vertical="center"/>
    </xf>
    <xf numFmtId="0" fontId="2" fillId="10" borderId="24" xfId="16" applyNumberFormat="1" applyFont="1" applyFill="1" applyBorder="1" applyAlignment="1">
      <alignment horizontal="center" vertical="center"/>
    </xf>
    <xf numFmtId="175" fontId="2" fillId="10" borderId="24" xfId="20" applyNumberFormat="1" applyFont="1" applyFill="1" applyBorder="1" applyAlignment="1">
      <alignment horizontal="center" vertical="center"/>
    </xf>
    <xf numFmtId="0" fontId="2" fillId="10" borderId="0" xfId="0" applyFont="1" applyFill="1" applyAlignment="1">
      <alignment horizontal="left" vertical="center"/>
    </xf>
    <xf numFmtId="0" fontId="4" fillId="0" borderId="2" xfId="0" applyFont="1" applyFill="1" applyBorder="1" applyAlignment="1">
      <alignment vertical="center"/>
    </xf>
    <xf numFmtId="0" fontId="9" fillId="0" borderId="6" xfId="0" applyFont="1" applyBorder="1" applyAlignment="1">
      <alignment horizontal="center" vertical="center"/>
    </xf>
    <xf numFmtId="1" fontId="9" fillId="0" borderId="6" xfId="0" applyNumberFormat="1" applyFont="1" applyBorder="1" applyAlignment="1">
      <alignment horizontal="center" vertical="center"/>
    </xf>
    <xf numFmtId="1" fontId="4" fillId="0" borderId="9" xfId="0" applyNumberFormat="1" applyFont="1" applyBorder="1" applyAlignment="1">
      <alignment horizontal="center" vertical="center"/>
    </xf>
    <xf numFmtId="0" fontId="4" fillId="0" borderId="0" xfId="0" applyFont="1" applyFill="1" applyAlignment="1">
      <alignment vertical="center"/>
    </xf>
    <xf numFmtId="0" fontId="4" fillId="0" borderId="21" xfId="0" applyFont="1" applyFill="1" applyBorder="1" applyAlignment="1">
      <alignment vertical="center"/>
    </xf>
    <xf numFmtId="0" fontId="9" fillId="0" borderId="35" xfId="0" applyFont="1" applyFill="1" applyBorder="1" applyAlignment="1">
      <alignment horizontal="center" vertical="center" wrapText="1"/>
    </xf>
    <xf numFmtId="0" fontId="9" fillId="0" borderId="16" xfId="0" applyFont="1" applyBorder="1" applyAlignment="1">
      <alignment horizontal="center" vertical="center"/>
    </xf>
    <xf numFmtId="1" fontId="9" fillId="0" borderId="16" xfId="0" applyNumberFormat="1" applyFont="1" applyBorder="1" applyAlignment="1">
      <alignment horizontal="center" vertical="center"/>
    </xf>
    <xf numFmtId="0" fontId="9" fillId="0" borderId="35" xfId="0" applyFont="1" applyFill="1" applyBorder="1" applyAlignment="1">
      <alignment horizontal="justify" vertical="center" wrapText="1"/>
    </xf>
    <xf numFmtId="1" fontId="9" fillId="0" borderId="38" xfId="0" applyNumberFormat="1" applyFont="1" applyFill="1" applyBorder="1" applyAlignment="1">
      <alignment horizontal="center" vertical="center" wrapText="1"/>
    </xf>
    <xf numFmtId="0" fontId="4" fillId="0" borderId="2" xfId="16" applyNumberFormat="1" applyFont="1" applyFill="1" applyBorder="1" applyAlignment="1">
      <alignment horizontal="center" vertical="center"/>
    </xf>
    <xf numFmtId="9" fontId="4" fillId="0" borderId="2" xfId="4" applyFont="1" applyFill="1" applyBorder="1" applyAlignment="1">
      <alignment horizontal="center" vertical="center"/>
    </xf>
    <xf numFmtId="0" fontId="4" fillId="0" borderId="2" xfId="0" applyFont="1" applyFill="1" applyBorder="1" applyAlignment="1">
      <alignment horizontal="justify" vertical="center"/>
    </xf>
    <xf numFmtId="175" fontId="4" fillId="0" borderId="2" xfId="20" applyNumberFormat="1" applyFont="1" applyFill="1" applyBorder="1" applyAlignment="1">
      <alignment horizontal="center" vertical="center"/>
    </xf>
    <xf numFmtId="175" fontId="4" fillId="0" borderId="7" xfId="20" applyNumberFormat="1" applyFont="1" applyFill="1" applyBorder="1" applyAlignment="1">
      <alignment horizontal="center" vertical="center"/>
    </xf>
    <xf numFmtId="175" fontId="4" fillId="0" borderId="40" xfId="20" applyNumberFormat="1" applyFont="1" applyFill="1" applyBorder="1" applyAlignment="1">
      <alignment horizontal="center" vertical="center"/>
    </xf>
    <xf numFmtId="175" fontId="4" fillId="0" borderId="0" xfId="20" applyNumberFormat="1" applyFont="1" applyFill="1" applyAlignment="1">
      <alignment horizontal="center" vertical="center"/>
    </xf>
    <xf numFmtId="175" fontId="4" fillId="0" borderId="16" xfId="20" applyNumberFormat="1" applyFont="1" applyFill="1" applyBorder="1" applyAlignment="1">
      <alignment horizontal="center" vertical="center"/>
    </xf>
    <xf numFmtId="175" fontId="4" fillId="0" borderId="18" xfId="20" applyNumberFormat="1" applyFont="1" applyFill="1" applyBorder="1" applyAlignment="1">
      <alignment horizontal="center" vertical="center"/>
    </xf>
    <xf numFmtId="43" fontId="26" fillId="0" borderId="2" xfId="16" applyFont="1" applyFill="1" applyBorder="1" applyAlignment="1">
      <alignment horizontal="center" vertical="center" wrapText="1"/>
    </xf>
    <xf numFmtId="43" fontId="26" fillId="0" borderId="2" xfId="16" applyFont="1" applyFill="1" applyBorder="1" applyAlignment="1">
      <alignment horizontal="center" vertical="center"/>
    </xf>
    <xf numFmtId="43" fontId="26" fillId="0" borderId="2" xfId="16" applyFont="1" applyFill="1" applyBorder="1" applyAlignment="1">
      <alignment vertical="center" wrapText="1"/>
    </xf>
    <xf numFmtId="43" fontId="26" fillId="0" borderId="15" xfId="16" applyFont="1" applyFill="1" applyBorder="1" applyAlignment="1">
      <alignment horizontal="center" vertical="center" wrapText="1"/>
    </xf>
    <xf numFmtId="0" fontId="9" fillId="0" borderId="22" xfId="0" applyFont="1" applyFill="1" applyBorder="1" applyAlignment="1">
      <alignment horizontal="justify" vertical="center" wrapText="1"/>
    </xf>
    <xf numFmtId="1" fontId="9" fillId="0" borderId="37" xfId="0" applyNumberFormat="1" applyFont="1" applyFill="1" applyBorder="1" applyAlignment="1">
      <alignment horizontal="center" vertical="center" wrapText="1"/>
    </xf>
    <xf numFmtId="0" fontId="4" fillId="0" borderId="2" xfId="0" applyFont="1" applyBorder="1" applyAlignment="1">
      <alignment horizontal="justify" vertical="center"/>
    </xf>
    <xf numFmtId="0" fontId="4" fillId="0" borderId="38" xfId="0" applyFont="1" applyFill="1" applyBorder="1" applyAlignment="1">
      <alignment horizontal="left" vertical="center" wrapText="1"/>
    </xf>
    <xf numFmtId="0" fontId="4" fillId="0" borderId="9" xfId="21" applyFont="1" applyBorder="1" applyAlignment="1">
      <alignment horizontal="center" vertical="center" wrapText="1"/>
    </xf>
    <xf numFmtId="0" fontId="4" fillId="0" borderId="7" xfId="21" applyFont="1" applyBorder="1" applyAlignment="1">
      <alignment horizontal="center" vertical="center" wrapText="1"/>
    </xf>
    <xf numFmtId="41" fontId="26" fillId="0" borderId="2" xfId="20" applyFont="1" applyFill="1" applyBorder="1" applyAlignment="1">
      <alignment horizontal="center" vertical="center" wrapText="1"/>
    </xf>
    <xf numFmtId="0" fontId="9" fillId="0" borderId="2" xfId="21" applyFont="1" applyBorder="1" applyAlignment="1">
      <alignment horizontal="center" vertical="center" wrapText="1"/>
    </xf>
    <xf numFmtId="1" fontId="4" fillId="0" borderId="9" xfId="21" applyNumberFormat="1" applyFont="1" applyBorder="1" applyAlignment="1">
      <alignment horizontal="center" vertical="center" wrapText="1"/>
    </xf>
    <xf numFmtId="0" fontId="4" fillId="0" borderId="2" xfId="21" applyFont="1" applyFill="1" applyBorder="1" applyAlignment="1">
      <alignment horizontal="justify" vertical="center"/>
    </xf>
    <xf numFmtId="43" fontId="35" fillId="0" borderId="2" xfId="16" applyFont="1" applyFill="1" applyBorder="1" applyAlignment="1">
      <alignment horizontal="center" vertical="center" wrapText="1"/>
    </xf>
    <xf numFmtId="175" fontId="9" fillId="0" borderId="2" xfId="20" applyNumberFormat="1" applyFont="1" applyFill="1" applyBorder="1" applyAlignment="1">
      <alignment horizontal="center" vertical="center" wrapText="1"/>
    </xf>
    <xf numFmtId="175" fontId="9" fillId="0" borderId="7" xfId="20" applyNumberFormat="1" applyFont="1" applyFill="1" applyBorder="1" applyAlignment="1">
      <alignment horizontal="center" vertical="center" wrapText="1"/>
    </xf>
    <xf numFmtId="175" fontId="9" fillId="0" borderId="15" xfId="20" applyNumberFormat="1" applyFont="1" applyFill="1" applyBorder="1" applyAlignment="1">
      <alignment horizontal="center" vertical="center" wrapText="1"/>
    </xf>
    <xf numFmtId="175" fontId="9" fillId="0" borderId="13" xfId="20" applyNumberFormat="1" applyFont="1" applyFill="1" applyBorder="1" applyAlignment="1">
      <alignment horizontal="center" vertical="center" wrapText="1"/>
    </xf>
    <xf numFmtId="175" fontId="9" fillId="0" borderId="15" xfId="20" applyNumberFormat="1" applyFont="1" applyFill="1" applyBorder="1" applyAlignment="1">
      <alignment horizontal="center" vertical="center"/>
    </xf>
    <xf numFmtId="175" fontId="9" fillId="0" borderId="13" xfId="20" applyNumberFormat="1" applyFont="1" applyFill="1" applyBorder="1" applyAlignment="1">
      <alignment horizontal="center" vertical="center"/>
    </xf>
    <xf numFmtId="0" fontId="4" fillId="0" borderId="20" xfId="0" applyFont="1" applyFill="1" applyBorder="1" applyAlignment="1">
      <alignment vertical="center"/>
    </xf>
    <xf numFmtId="1" fontId="2" fillId="10" borderId="50" xfId="0" applyNumberFormat="1" applyFont="1" applyFill="1" applyBorder="1" applyAlignment="1">
      <alignment horizontal="left" vertical="center"/>
    </xf>
    <xf numFmtId="175" fontId="2" fillId="10" borderId="20" xfId="20" applyNumberFormat="1" applyFont="1" applyFill="1" applyBorder="1" applyAlignment="1">
      <alignment horizontal="center" vertical="center"/>
    </xf>
    <xf numFmtId="1" fontId="2" fillId="10" borderId="20" xfId="0" applyNumberFormat="1" applyFont="1" applyFill="1" applyBorder="1" applyAlignment="1">
      <alignment horizontal="center" vertical="center"/>
    </xf>
    <xf numFmtId="1" fontId="9" fillId="10" borderId="2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 fontId="9" fillId="0" borderId="18" xfId="7" applyNumberFormat="1" applyFont="1" applyFill="1" applyBorder="1" applyAlignment="1">
      <alignment horizontal="center" vertical="center" wrapText="1"/>
    </xf>
    <xf numFmtId="0" fontId="4" fillId="0" borderId="18" xfId="16" applyNumberFormat="1" applyFont="1" applyFill="1" applyBorder="1" applyAlignment="1">
      <alignment horizontal="center" vertical="center"/>
    </xf>
    <xf numFmtId="175" fontId="4" fillId="0" borderId="17" xfId="20" applyNumberFormat="1" applyFont="1" applyFill="1" applyBorder="1" applyAlignment="1">
      <alignment horizontal="center" vertical="center" wrapText="1"/>
    </xf>
    <xf numFmtId="0" fontId="4" fillId="0" borderId="38" xfId="0" applyFont="1" applyFill="1" applyBorder="1" applyAlignment="1">
      <alignment horizontal="left" vertical="center"/>
    </xf>
    <xf numFmtId="175" fontId="10" fillId="0" borderId="38" xfId="20" applyNumberFormat="1" applyFont="1" applyFill="1" applyBorder="1" applyAlignment="1">
      <alignment horizontal="center" vertical="center" wrapText="1"/>
    </xf>
    <xf numFmtId="0" fontId="9" fillId="0" borderId="2" xfId="16" applyNumberFormat="1" applyFont="1" applyFill="1" applyBorder="1" applyAlignment="1">
      <alignment horizontal="center" vertical="center" wrapText="1"/>
    </xf>
    <xf numFmtId="0" fontId="4" fillId="0" borderId="2" xfId="21" applyFont="1" applyBorder="1" applyAlignment="1">
      <alignment horizontal="center" vertical="center" wrapText="1"/>
    </xf>
    <xf numFmtId="0" fontId="10" fillId="0" borderId="38" xfId="0" quotePrefix="1" applyFont="1" applyFill="1" applyBorder="1" applyAlignment="1">
      <alignment horizontal="left" vertical="center" wrapText="1"/>
    </xf>
    <xf numFmtId="1" fontId="9" fillId="0" borderId="17" xfId="0" applyNumberFormat="1" applyFont="1" applyBorder="1" applyAlignment="1">
      <alignment horizontal="center" vertical="center" wrapText="1"/>
    </xf>
    <xf numFmtId="9" fontId="9" fillId="0" borderId="17" xfId="4" applyFont="1" applyBorder="1" applyAlignment="1">
      <alignment horizontal="center" vertical="center" wrapText="1"/>
    </xf>
    <xf numFmtId="1" fontId="4" fillId="0" borderId="9" xfId="21" applyNumberFormat="1" applyFont="1" applyFill="1" applyBorder="1" applyAlignment="1">
      <alignment horizontal="center" vertical="center" wrapText="1"/>
    </xf>
    <xf numFmtId="0" fontId="4" fillId="0" borderId="2" xfId="21" applyFont="1" applyFill="1" applyBorder="1" applyAlignment="1">
      <alignment horizontal="center" vertical="center" wrapText="1"/>
    </xf>
    <xf numFmtId="0" fontId="9" fillId="0" borderId="30" xfId="7" applyFont="1" applyFill="1" applyBorder="1" applyAlignment="1">
      <alignment horizontal="center" vertical="center" wrapText="1"/>
    </xf>
    <xf numFmtId="0" fontId="9" fillId="0" borderId="30" xfId="16" applyNumberFormat="1" applyFont="1" applyFill="1" applyBorder="1" applyAlignment="1">
      <alignment horizontal="center" vertical="center" wrapText="1"/>
    </xf>
    <xf numFmtId="0" fontId="9" fillId="0" borderId="40" xfId="7" applyFont="1" applyFill="1" applyBorder="1" applyAlignment="1">
      <alignment horizontal="center" vertical="center" wrapText="1"/>
    </xf>
    <xf numFmtId="0" fontId="9" fillId="0" borderId="40" xfId="16"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7" applyFont="1" applyFill="1" applyBorder="1" applyAlignment="1">
      <alignment horizontal="center" vertical="center" wrapText="1"/>
    </xf>
    <xf numFmtId="0" fontId="9" fillId="0" borderId="23" xfId="16"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 fontId="9" fillId="0" borderId="15" xfId="7"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1" fontId="4" fillId="0" borderId="14" xfId="21" applyNumberFormat="1" applyFont="1" applyBorder="1" applyAlignment="1">
      <alignment horizontal="center" vertical="center" wrapText="1"/>
    </xf>
    <xf numFmtId="0" fontId="4" fillId="0" borderId="15" xfId="21" applyFont="1" applyBorder="1" applyAlignment="1">
      <alignment horizontal="center" vertical="center" wrapText="1"/>
    </xf>
    <xf numFmtId="0" fontId="2" fillId="3" borderId="2" xfId="20" applyNumberFormat="1" applyFont="1" applyFill="1" applyBorder="1" applyAlignment="1">
      <alignment horizontal="center" vertical="center"/>
    </xf>
    <xf numFmtId="175" fontId="2" fillId="3" borderId="2" xfId="20" applyNumberFormat="1" applyFont="1" applyFill="1" applyBorder="1" applyAlignment="1">
      <alignment horizontal="center" vertical="center"/>
    </xf>
    <xf numFmtId="0" fontId="4" fillId="0" borderId="0" xfId="0" applyFont="1" applyAlignment="1">
      <alignment vertical="center"/>
    </xf>
    <xf numFmtId="171" fontId="4" fillId="0" borderId="0" xfId="0" applyNumberFormat="1" applyFont="1" applyAlignment="1">
      <alignment horizontal="center" vertical="center"/>
    </xf>
    <xf numFmtId="170" fontId="4" fillId="0" borderId="0" xfId="0" applyNumberFormat="1" applyFont="1" applyAlignment="1">
      <alignment horizontal="center" vertical="center"/>
    </xf>
    <xf numFmtId="0" fontId="2" fillId="0" borderId="0" xfId="0" applyFont="1" applyFill="1" applyAlignment="1">
      <alignment vertical="center"/>
    </xf>
    <xf numFmtId="180" fontId="2" fillId="0" borderId="0" xfId="0" applyNumberFormat="1" applyFont="1" applyFill="1" applyAlignment="1">
      <alignment horizontal="center" vertical="center"/>
    </xf>
    <xf numFmtId="170" fontId="2" fillId="0" borderId="0" xfId="0" applyNumberFormat="1" applyFont="1" applyFill="1" applyAlignment="1">
      <alignment horizontal="center" vertical="center"/>
    </xf>
    <xf numFmtId="170" fontId="2" fillId="0" borderId="0" xfId="0" applyNumberFormat="1" applyFont="1" applyAlignment="1">
      <alignment horizontal="center" vertical="center"/>
    </xf>
    <xf numFmtId="180" fontId="2" fillId="0" borderId="0" xfId="0" applyNumberFormat="1" applyFont="1" applyAlignment="1">
      <alignment horizontal="center" vertical="center"/>
    </xf>
    <xf numFmtId="14" fontId="4" fillId="0" borderId="0" xfId="0" applyNumberFormat="1" applyFont="1" applyAlignment="1">
      <alignment horizontal="center" vertical="center"/>
    </xf>
    <xf numFmtId="0" fontId="4" fillId="2" borderId="0" xfId="0" applyFont="1" applyFill="1" applyAlignment="1">
      <alignment vertical="center"/>
    </xf>
    <xf numFmtId="170" fontId="4" fillId="0" borderId="0" xfId="0" applyNumberFormat="1" applyFont="1" applyFill="1" applyAlignment="1">
      <alignment horizontal="center" vertical="center"/>
    </xf>
    <xf numFmtId="0" fontId="0" fillId="0" borderId="0" xfId="0" applyAlignment="1"/>
    <xf numFmtId="0" fontId="9" fillId="0" borderId="19"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40"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38" xfId="0" applyFont="1" applyFill="1" applyBorder="1" applyAlignment="1">
      <alignment horizontal="justify" vertical="center" wrapText="1"/>
    </xf>
    <xf numFmtId="0" fontId="9" fillId="0" borderId="2" xfId="7" applyFont="1" applyFill="1" applyBorder="1" applyAlignment="1">
      <alignment horizontal="justify" vertical="center" wrapText="1"/>
    </xf>
    <xf numFmtId="0" fontId="9" fillId="0" borderId="15" xfId="7" applyFont="1" applyFill="1" applyBorder="1" applyAlignment="1">
      <alignment horizontal="justify" vertical="center" wrapText="1"/>
    </xf>
    <xf numFmtId="0" fontId="9" fillId="0" borderId="17" xfId="7" applyFont="1" applyFill="1" applyBorder="1" applyAlignment="1">
      <alignment horizontal="justify" vertical="center" wrapText="1"/>
    </xf>
    <xf numFmtId="0" fontId="9" fillId="0" borderId="18" xfId="7" applyFont="1" applyFill="1" applyBorder="1" applyAlignment="1">
      <alignment horizontal="justify" vertical="center" wrapText="1"/>
    </xf>
    <xf numFmtId="0" fontId="9" fillId="0" borderId="37" xfId="0" applyFont="1" applyFill="1" applyBorder="1" applyAlignment="1">
      <alignment horizontal="justify" vertical="center" wrapText="1"/>
    </xf>
    <xf numFmtId="0" fontId="3" fillId="0" borderId="5" xfId="0" applyFont="1" applyBorder="1" applyAlignment="1">
      <alignment horizontal="center"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justify" vertical="center" wrapText="1"/>
    </xf>
    <xf numFmtId="43" fontId="3" fillId="0" borderId="0" xfId="16"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3" xfId="0" applyFont="1" applyBorder="1" applyAlignment="1">
      <alignment horizontal="center" vertical="center"/>
    </xf>
    <xf numFmtId="0" fontId="3" fillId="0" borderId="4" xfId="0" applyFont="1" applyBorder="1" applyAlignment="1">
      <alignment horizontal="center" vertical="center"/>
    </xf>
    <xf numFmtId="0" fontId="3" fillId="5" borderId="2" xfId="0"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169" fontId="3" fillId="5" borderId="2"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5" xfId="0" applyFont="1" applyFill="1" applyBorder="1" applyAlignment="1">
      <alignment horizontal="justify" vertical="center" wrapText="1"/>
    </xf>
    <xf numFmtId="0" fontId="3" fillId="6" borderId="5" xfId="0" applyFont="1" applyFill="1" applyBorder="1" applyAlignment="1">
      <alignment horizontal="center" vertical="center"/>
    </xf>
    <xf numFmtId="0" fontId="3" fillId="6" borderId="0" xfId="0" applyFont="1" applyFill="1" applyAlignment="1">
      <alignment horizontal="center" vertical="center"/>
    </xf>
    <xf numFmtId="0" fontId="3" fillId="6" borderId="0" xfId="0" applyFont="1" applyFill="1" applyAlignment="1">
      <alignment horizontal="justify" vertical="center" wrapText="1"/>
    </xf>
    <xf numFmtId="171" fontId="3" fillId="6" borderId="0" xfId="0" applyNumberFormat="1" applyFont="1" applyFill="1" applyAlignment="1">
      <alignment horizontal="center" vertical="center"/>
    </xf>
    <xf numFmtId="170" fontId="3" fillId="6" borderId="0" xfId="0" applyNumberFormat="1" applyFont="1" applyFill="1" applyAlignment="1">
      <alignment horizontal="center" vertical="center"/>
    </xf>
    <xf numFmtId="41" fontId="3" fillId="6" borderId="0" xfId="20" applyFont="1" applyFill="1" applyAlignment="1">
      <alignment horizontal="center" vertical="center"/>
    </xf>
    <xf numFmtId="0" fontId="3" fillId="6" borderId="5" xfId="0" applyFont="1" applyFill="1" applyBorder="1" applyAlignment="1">
      <alignment horizontal="center" vertical="center" wrapText="1"/>
    </xf>
    <xf numFmtId="1" fontId="3" fillId="6" borderId="5" xfId="0" applyNumberFormat="1" applyFont="1" applyFill="1" applyBorder="1" applyAlignment="1">
      <alignment horizontal="center" vertical="center"/>
    </xf>
    <xf numFmtId="0" fontId="9" fillId="6" borderId="0" xfId="0" applyFont="1" applyFill="1" applyBorder="1" applyAlignment="1">
      <alignment horizontal="center" vertical="center"/>
    </xf>
    <xf numFmtId="169" fontId="3" fillId="6" borderId="0"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5" xfId="0" applyFont="1" applyFill="1" applyBorder="1" applyAlignment="1">
      <alignment horizontal="justify" vertical="center" wrapText="1"/>
    </xf>
    <xf numFmtId="171" fontId="3" fillId="8" borderId="25" xfId="0" applyNumberFormat="1" applyFont="1" applyFill="1" applyBorder="1" applyAlignment="1">
      <alignment horizontal="center" vertical="center"/>
    </xf>
    <xf numFmtId="170" fontId="3" fillId="8" borderId="25" xfId="0" applyNumberFormat="1" applyFont="1" applyFill="1" applyBorder="1" applyAlignment="1">
      <alignment horizontal="center" vertical="center"/>
    </xf>
    <xf numFmtId="41" fontId="3" fillId="8" borderId="25" xfId="20" applyFont="1" applyFill="1" applyBorder="1" applyAlignment="1">
      <alignment horizontal="center" vertical="center"/>
    </xf>
    <xf numFmtId="0" fontId="3" fillId="8" borderId="25" xfId="0" applyFont="1" applyFill="1" applyBorder="1" applyAlignment="1">
      <alignment horizontal="center" vertical="center" wrapText="1"/>
    </xf>
    <xf numFmtId="1" fontId="3" fillId="8" borderId="25" xfId="0" applyNumberFormat="1" applyFont="1" applyFill="1" applyBorder="1" applyAlignment="1">
      <alignment horizontal="center" vertical="center"/>
    </xf>
    <xf numFmtId="0" fontId="9" fillId="8" borderId="25" xfId="0" applyFont="1" applyFill="1" applyBorder="1" applyAlignment="1">
      <alignment horizontal="center" vertical="center"/>
    </xf>
    <xf numFmtId="169" fontId="3" fillId="8" borderId="25" xfId="0" applyNumberFormat="1" applyFont="1" applyFill="1" applyBorder="1" applyAlignment="1">
      <alignment horizontal="center" vertical="center"/>
    </xf>
    <xf numFmtId="0" fontId="3" fillId="8" borderId="22" xfId="0" applyFont="1" applyFill="1" applyBorder="1" applyAlignment="1">
      <alignment horizontal="center" vertical="center"/>
    </xf>
    <xf numFmtId="1" fontId="3" fillId="2" borderId="13"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41" fontId="3" fillId="10" borderId="25" xfId="20" applyFont="1" applyFill="1" applyBorder="1" applyAlignment="1">
      <alignment horizontal="center" vertical="center"/>
    </xf>
    <xf numFmtId="0" fontId="9" fillId="10" borderId="24" xfId="0" applyFont="1" applyFill="1" applyBorder="1" applyAlignment="1">
      <alignment horizontal="center" vertical="center"/>
    </xf>
    <xf numFmtId="1" fontId="3" fillId="2" borderId="6"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1" fontId="9" fillId="0" borderId="9"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0" fontId="9" fillId="0" borderId="25" xfId="0" applyFont="1" applyBorder="1" applyAlignment="1">
      <alignment horizontal="center" vertical="center" wrapText="1"/>
    </xf>
    <xf numFmtId="1" fontId="9" fillId="0" borderId="38"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3" fontId="9" fillId="0" borderId="2" xfId="7" applyNumberFormat="1" applyFont="1" applyFill="1" applyBorder="1" applyAlignment="1">
      <alignment horizontal="center" vertical="center" wrapText="1"/>
    </xf>
    <xf numFmtId="10" fontId="9" fillId="0" borderId="7" xfId="7"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9" fillId="0" borderId="2" xfId="13" applyNumberFormat="1" applyFont="1" applyFill="1" applyBorder="1">
      <alignment horizontal="center" vertical="center" wrapText="1"/>
    </xf>
    <xf numFmtId="0" fontId="9" fillId="0" borderId="1" xfId="0" applyFont="1" applyBorder="1" applyAlignment="1">
      <alignment horizontal="center" vertical="center"/>
    </xf>
    <xf numFmtId="49" fontId="9" fillId="0" borderId="36" xfId="0" applyNumberFormat="1" applyFont="1" applyBorder="1" applyAlignment="1">
      <alignment horizontal="center" vertical="center" wrapText="1"/>
    </xf>
    <xf numFmtId="0" fontId="9" fillId="0" borderId="36" xfId="13" applyNumberFormat="1" applyFont="1" applyFill="1" applyBorder="1">
      <alignment horizontal="center" vertical="center" wrapText="1"/>
    </xf>
    <xf numFmtId="3" fontId="9" fillId="0" borderId="36" xfId="7" applyNumberFormat="1" applyFont="1" applyFill="1" applyBorder="1" applyAlignment="1">
      <alignment horizontal="center" vertical="center" wrapText="1"/>
    </xf>
    <xf numFmtId="10" fontId="9" fillId="0" borderId="36" xfId="7"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0" fontId="9" fillId="0" borderId="38" xfId="7" applyFont="1" applyBorder="1" applyAlignment="1">
      <alignment horizontal="justify" vertical="center" wrapText="1"/>
    </xf>
    <xf numFmtId="3" fontId="9" fillId="0" borderId="38" xfId="7" applyNumberFormat="1" applyFont="1" applyFill="1" applyBorder="1" applyAlignment="1">
      <alignment horizontal="center" vertical="center" wrapText="1"/>
    </xf>
    <xf numFmtId="3" fontId="9" fillId="0" borderId="37" xfId="7" applyNumberFormat="1" applyFont="1" applyFill="1" applyBorder="1" applyAlignment="1">
      <alignment horizontal="center" vertical="center" wrapText="1"/>
    </xf>
    <xf numFmtId="10" fontId="9" fillId="0" borderId="38" xfId="7" applyNumberFormat="1" applyFont="1" applyBorder="1" applyAlignment="1">
      <alignment horizontal="center" vertical="center" wrapText="1"/>
    </xf>
    <xf numFmtId="0" fontId="9" fillId="0" borderId="24" xfId="0" applyFont="1" applyBorder="1" applyAlignment="1">
      <alignment horizontal="center" vertical="center" wrapText="1"/>
    </xf>
    <xf numFmtId="49" fontId="9" fillId="0" borderId="78" xfId="0" applyNumberFormat="1" applyFont="1" applyBorder="1" applyAlignment="1">
      <alignment horizontal="justify" vertical="center" wrapText="1"/>
    </xf>
    <xf numFmtId="1" fontId="9" fillId="0" borderId="9" xfId="0" applyNumberFormat="1" applyFont="1" applyBorder="1" applyAlignment="1">
      <alignment horizontal="center" vertical="center"/>
    </xf>
    <xf numFmtId="0" fontId="9" fillId="0" borderId="24" xfId="0" applyFont="1" applyBorder="1" applyAlignment="1">
      <alignment horizontal="justify" vertical="center" wrapText="1"/>
    </xf>
    <xf numFmtId="49" fontId="9" fillId="0" borderId="37" xfId="0" applyNumberFormat="1" applyFont="1" applyBorder="1" applyAlignment="1">
      <alignment horizontal="center" vertical="center" wrapText="1"/>
    </xf>
    <xf numFmtId="10" fontId="9" fillId="0" borderId="23" xfId="7" applyNumberFormat="1" applyFont="1" applyBorder="1" applyAlignment="1">
      <alignment horizontal="center" vertical="center" wrapText="1"/>
    </xf>
    <xf numFmtId="0" fontId="9" fillId="0" borderId="0" xfId="0" applyFont="1" applyBorder="1" applyAlignment="1">
      <alignment horizontal="justify" vertical="center" wrapText="1"/>
    </xf>
    <xf numFmtId="10" fontId="9" fillId="0" borderId="15" xfId="7" applyNumberFormat="1" applyFont="1" applyBorder="1" applyAlignment="1">
      <alignment horizontal="center" vertical="center" wrapText="1"/>
    </xf>
    <xf numFmtId="0" fontId="9" fillId="0" borderId="5" xfId="0" applyFont="1" applyBorder="1" applyAlignment="1">
      <alignment horizontal="justify" vertical="center" wrapText="1"/>
    </xf>
    <xf numFmtId="1" fontId="9" fillId="0" borderId="14" xfId="0" applyNumberFormat="1" applyFont="1" applyBorder="1" applyAlignment="1">
      <alignment horizontal="center" vertical="center"/>
    </xf>
    <xf numFmtId="187" fontId="9" fillId="0" borderId="2" xfId="20" applyNumberFormat="1" applyFont="1" applyFill="1" applyBorder="1" applyAlignment="1">
      <alignment horizontal="center" vertical="center" wrapText="1"/>
    </xf>
    <xf numFmtId="1" fontId="9" fillId="0" borderId="2" xfId="0" applyNumberFormat="1" applyFont="1" applyBorder="1" applyAlignment="1">
      <alignment horizontal="center" vertical="center"/>
    </xf>
    <xf numFmtId="1" fontId="9" fillId="0" borderId="24" xfId="0" applyNumberFormat="1" applyFont="1" applyBorder="1" applyAlignment="1">
      <alignment horizontal="center" vertical="center"/>
    </xf>
    <xf numFmtId="1" fontId="9" fillId="0" borderId="35" xfId="0" applyNumberFormat="1" applyFont="1" applyBorder="1" applyAlignment="1">
      <alignment horizontal="center" vertical="center"/>
    </xf>
    <xf numFmtId="1" fontId="9" fillId="0" borderId="22" xfId="0" applyNumberFormat="1" applyFont="1" applyBorder="1" applyAlignment="1">
      <alignment horizontal="center" vertical="center"/>
    </xf>
    <xf numFmtId="41" fontId="3" fillId="10" borderId="2" xfId="20" applyFont="1" applyFill="1" applyBorder="1" applyAlignment="1">
      <alignment horizontal="center" vertical="center"/>
    </xf>
    <xf numFmtId="0" fontId="3" fillId="10" borderId="0" xfId="0" applyFont="1" applyFill="1" applyAlignment="1">
      <alignment horizontal="center" vertical="center" wrapText="1"/>
    </xf>
    <xf numFmtId="0" fontId="9" fillId="10" borderId="20" xfId="0" applyFont="1" applyFill="1" applyBorder="1" applyAlignment="1">
      <alignment horizontal="center" vertical="center"/>
    </xf>
    <xf numFmtId="0" fontId="9" fillId="0" borderId="4" xfId="0" applyFont="1" applyBorder="1" applyAlignment="1">
      <alignment horizontal="center" vertical="center"/>
    </xf>
    <xf numFmtId="49" fontId="9" fillId="0" borderId="17" xfId="0" applyNumberFormat="1" applyFont="1" applyBorder="1" applyAlignment="1">
      <alignment horizontal="center" vertical="center" wrapText="1"/>
    </xf>
    <xf numFmtId="3" fontId="9" fillId="0" borderId="17" xfId="7" applyNumberFormat="1" applyFont="1" applyBorder="1" applyAlignment="1">
      <alignment horizontal="center" vertical="center" wrapText="1"/>
    </xf>
    <xf numFmtId="9" fontId="9" fillId="2" borderId="17" xfId="0" applyNumberFormat="1" applyFont="1" applyFill="1" applyBorder="1" applyAlignment="1">
      <alignment horizontal="center" vertical="center"/>
    </xf>
    <xf numFmtId="170" fontId="9" fillId="0" borderId="17" xfId="22" applyNumberFormat="1" applyFont="1" applyFill="1" applyBorder="1" applyAlignment="1">
      <alignment horizontal="center" vertical="center"/>
    </xf>
    <xf numFmtId="0" fontId="9" fillId="2" borderId="6" xfId="0" applyFont="1" applyFill="1" applyBorder="1" applyAlignment="1">
      <alignment horizontal="justify" vertical="center" wrapText="1"/>
    </xf>
    <xf numFmtId="1" fontId="9" fillId="2" borderId="1" xfId="0" applyNumberFormat="1" applyFont="1" applyFill="1" applyBorder="1" applyAlignment="1">
      <alignment horizontal="center" vertical="center"/>
    </xf>
    <xf numFmtId="3" fontId="9" fillId="0" borderId="17" xfId="0" applyNumberFormat="1" applyFont="1" applyBorder="1" applyAlignment="1">
      <alignment horizontal="center" vertical="center" wrapText="1"/>
    </xf>
    <xf numFmtId="169" fontId="9" fillId="0" borderId="17" xfId="0" applyNumberFormat="1" applyFont="1" applyFill="1" applyBorder="1" applyAlignment="1">
      <alignment horizontal="center" vertical="center" wrapText="1"/>
    </xf>
    <xf numFmtId="16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wrapText="1"/>
    </xf>
    <xf numFmtId="1" fontId="9" fillId="6" borderId="5" xfId="0" applyNumberFormat="1" applyFont="1" applyFill="1" applyBorder="1" applyAlignment="1">
      <alignment horizontal="justify" vertical="center" wrapText="1"/>
    </xf>
    <xf numFmtId="41" fontId="9" fillId="6" borderId="2" xfId="20" applyFont="1" applyFill="1" applyBorder="1" applyAlignment="1">
      <alignment horizontal="center" vertical="center" wrapText="1"/>
    </xf>
    <xf numFmtId="1" fontId="9" fillId="6" borderId="0" xfId="0" applyNumberFormat="1" applyFont="1" applyFill="1" applyAlignment="1">
      <alignment horizontal="center" vertical="center" wrapText="1"/>
    </xf>
    <xf numFmtId="1" fontId="9" fillId="6" borderId="14" xfId="0" applyNumberFormat="1" applyFont="1" applyFill="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xf>
    <xf numFmtId="0" fontId="3" fillId="20" borderId="25" xfId="0" applyFont="1" applyFill="1" applyBorder="1" applyAlignment="1">
      <alignment horizontal="center" vertical="center" wrapText="1"/>
    </xf>
    <xf numFmtId="1" fontId="9" fillId="8" borderId="25" xfId="0" applyNumberFormat="1" applyFont="1" applyFill="1" applyBorder="1" applyAlignment="1">
      <alignment horizontal="justify" vertical="center" wrapText="1"/>
    </xf>
    <xf numFmtId="1" fontId="9" fillId="8" borderId="25" xfId="0" applyNumberFormat="1" applyFont="1" applyFill="1" applyBorder="1" applyAlignment="1">
      <alignment horizontal="center" vertical="center" wrapText="1"/>
    </xf>
    <xf numFmtId="41" fontId="9" fillId="8" borderId="2" xfId="20" applyFont="1" applyFill="1" applyBorder="1" applyAlignment="1">
      <alignment horizontal="center" vertical="center" wrapText="1"/>
    </xf>
    <xf numFmtId="1" fontId="9" fillId="8" borderId="22" xfId="0" applyNumberFormat="1" applyFont="1" applyFill="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41" fontId="9" fillId="0" borderId="15" xfId="20" applyFont="1" applyFill="1" applyBorder="1" applyAlignment="1">
      <alignment horizontal="center" vertical="center" wrapText="1"/>
    </xf>
    <xf numFmtId="1" fontId="9" fillId="22" borderId="8" xfId="0" applyNumberFormat="1" applyFont="1" applyFill="1" applyBorder="1" applyAlignment="1">
      <alignment horizontal="center" vertical="center"/>
    </xf>
    <xf numFmtId="0" fontId="9" fillId="22" borderId="8" xfId="0" applyFont="1" applyFill="1" applyBorder="1" applyAlignment="1">
      <alignment horizontal="center" vertical="center"/>
    </xf>
    <xf numFmtId="0" fontId="9" fillId="22" borderId="8" xfId="0" applyFont="1" applyFill="1" applyBorder="1" applyAlignment="1">
      <alignment horizontal="justify" vertical="center" wrapText="1"/>
    </xf>
    <xf numFmtId="171" fontId="9" fillId="22" borderId="8" xfId="0" applyNumberFormat="1" applyFont="1" applyFill="1" applyBorder="1" applyAlignment="1">
      <alignment horizontal="center" vertical="center"/>
    </xf>
    <xf numFmtId="180" fontId="3" fillId="22" borderId="2" xfId="0" applyNumberFormat="1" applyFont="1" applyFill="1" applyBorder="1" applyAlignment="1">
      <alignment horizontal="center" vertical="center"/>
    </xf>
    <xf numFmtId="0" fontId="3" fillId="22" borderId="7" xfId="0" applyFont="1" applyFill="1" applyBorder="1" applyAlignment="1">
      <alignment horizontal="justify" vertical="center" wrapText="1"/>
    </xf>
    <xf numFmtId="175" fontId="3" fillId="22" borderId="2" xfId="20" applyNumberFormat="1" applyFont="1" applyFill="1" applyBorder="1" applyAlignment="1">
      <alignment horizontal="center" vertical="center"/>
    </xf>
    <xf numFmtId="170" fontId="3" fillId="22" borderId="8" xfId="0" applyNumberFormat="1" applyFont="1" applyFill="1" applyBorder="1" applyAlignment="1">
      <alignment horizontal="center" vertical="center" wrapText="1"/>
    </xf>
    <xf numFmtId="0" fontId="9" fillId="22" borderId="9" xfId="0" applyFont="1" applyFill="1" applyBorder="1" applyAlignment="1">
      <alignment horizontal="justify" vertical="center" wrapText="1"/>
    </xf>
    <xf numFmtId="0" fontId="9" fillId="22" borderId="3" xfId="0" applyFont="1" applyFill="1" applyBorder="1" applyAlignment="1">
      <alignment horizontal="justify" vertical="center" wrapText="1"/>
    </xf>
    <xf numFmtId="1" fontId="9" fillId="0" borderId="0" xfId="0" applyNumberFormat="1" applyFont="1" applyAlignment="1">
      <alignment horizontal="center" vertical="center"/>
    </xf>
    <xf numFmtId="0" fontId="9" fillId="2" borderId="0" xfId="0" applyFont="1" applyFill="1" applyAlignment="1">
      <alignment horizontal="justify" vertical="center" wrapText="1"/>
    </xf>
    <xf numFmtId="171" fontId="9" fillId="2" borderId="0" xfId="0" applyNumberFormat="1" applyFont="1" applyFill="1" applyAlignment="1">
      <alignment horizontal="center" vertical="center"/>
    </xf>
    <xf numFmtId="170" fontId="9" fillId="2" borderId="0" xfId="0" applyNumberFormat="1" applyFont="1" applyFill="1" applyAlignment="1">
      <alignment horizontal="center" vertical="center"/>
    </xf>
    <xf numFmtId="41" fontId="9" fillId="0" borderId="0" xfId="20" applyFont="1" applyFill="1" applyAlignment="1">
      <alignment horizontal="center" vertical="center"/>
    </xf>
    <xf numFmtId="170" fontId="9" fillId="0" borderId="0" xfId="0" applyNumberFormat="1" applyFont="1" applyFill="1" applyAlignment="1">
      <alignment horizontal="center" vertical="center" wrapText="1"/>
    </xf>
    <xf numFmtId="1" fontId="9" fillId="2" borderId="0" xfId="0" applyNumberFormat="1" applyFont="1" applyFill="1" applyAlignment="1">
      <alignment horizontal="center" vertical="center"/>
    </xf>
    <xf numFmtId="169" fontId="9" fillId="0" borderId="0" xfId="0" applyNumberFormat="1" applyFont="1" applyAlignment="1">
      <alignment horizontal="center" vertical="center"/>
    </xf>
    <xf numFmtId="175" fontId="9" fillId="2" borderId="0" xfId="20" applyNumberFormat="1" applyFont="1" applyFill="1" applyAlignment="1">
      <alignment horizontal="center" vertical="center"/>
    </xf>
    <xf numFmtId="170" fontId="9" fillId="2" borderId="0" xfId="0" applyNumberFormat="1" applyFont="1" applyFill="1" applyAlignment="1">
      <alignment horizontal="center" vertical="center" wrapText="1"/>
    </xf>
    <xf numFmtId="41" fontId="9" fillId="2" borderId="0" xfId="20" applyFont="1" applyFill="1" applyAlignment="1">
      <alignment horizontal="center" vertical="center"/>
    </xf>
    <xf numFmtId="43" fontId="9" fillId="0" borderId="0" xfId="16" applyFont="1" applyAlignment="1">
      <alignment horizontal="center" vertical="center"/>
    </xf>
    <xf numFmtId="43" fontId="9" fillId="0" borderId="0" xfId="0" applyNumberFormat="1" applyFont="1" applyAlignment="1">
      <alignment horizontal="center" vertical="center"/>
    </xf>
    <xf numFmtId="3" fontId="9" fillId="0" borderId="0" xfId="0" applyNumberFormat="1" applyFont="1" applyAlignment="1">
      <alignment horizontal="center" vertical="center"/>
    </xf>
    <xf numFmtId="0" fontId="37" fillId="0" borderId="0" xfId="0" applyFont="1" applyAlignment="1">
      <alignment horizontal="center" vertical="center"/>
    </xf>
    <xf numFmtId="0" fontId="9" fillId="0" borderId="0" xfId="0" applyFont="1" applyAlignment="1">
      <alignment horizontal="justify" vertical="center" wrapText="1"/>
    </xf>
    <xf numFmtId="180" fontId="9" fillId="2" borderId="0" xfId="0" applyNumberFormat="1" applyFont="1" applyFill="1" applyAlignment="1">
      <alignment horizontal="justify" vertical="center" wrapText="1"/>
    </xf>
    <xf numFmtId="0" fontId="2" fillId="2" borderId="0" xfId="0" applyFont="1" applyFill="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2" borderId="18" xfId="0" applyFont="1" applyFill="1" applyBorder="1" applyAlignment="1">
      <alignment horizontal="justify" vertical="center" wrapText="1"/>
    </xf>
    <xf numFmtId="9" fontId="4" fillId="0" borderId="17" xfId="4" applyFont="1" applyFill="1" applyBorder="1" applyAlignment="1">
      <alignment horizontal="center" vertical="center" wrapText="1"/>
    </xf>
    <xf numFmtId="9" fontId="4" fillId="2" borderId="15" xfId="4" applyFont="1" applyFill="1" applyBorder="1" applyAlignment="1">
      <alignment horizontal="center" vertical="center" wrapText="1"/>
    </xf>
    <xf numFmtId="0" fontId="4" fillId="2" borderId="2" xfId="0" applyFont="1" applyFill="1" applyBorder="1" applyAlignment="1">
      <alignment horizontal="justify" vertical="center" wrapText="1"/>
    </xf>
    <xf numFmtId="169" fontId="4" fillId="0" borderId="17" xfId="0" applyNumberFormat="1" applyFont="1" applyFill="1" applyBorder="1" applyAlignment="1">
      <alignment horizontal="center" vertical="center" wrapText="1"/>
    </xf>
    <xf numFmtId="169" fontId="4" fillId="2" borderId="15" xfId="0" applyNumberFormat="1" applyFont="1" applyFill="1" applyBorder="1" applyAlignment="1">
      <alignment horizontal="center" vertical="center" wrapText="1"/>
    </xf>
    <xf numFmtId="169" fontId="4" fillId="2" borderId="17"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9" fontId="4" fillId="2" borderId="17" xfId="4"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16" xfId="0" applyFont="1" applyFill="1" applyBorder="1" applyAlignment="1">
      <alignment horizontal="justify" vertical="center" wrapText="1"/>
    </xf>
    <xf numFmtId="3" fontId="4" fillId="2" borderId="15" xfId="0" applyNumberFormat="1" applyFont="1" applyFill="1" applyBorder="1" applyAlignment="1">
      <alignment horizontal="justify" vertical="center" wrapText="1"/>
    </xf>
    <xf numFmtId="3" fontId="4" fillId="2" borderId="17" xfId="0" applyNumberFormat="1" applyFont="1" applyFill="1" applyBorder="1" applyAlignment="1">
      <alignment horizontal="justify" vertical="center" wrapText="1"/>
    </xf>
    <xf numFmtId="1" fontId="2" fillId="0" borderId="0"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38" xfId="0" applyFont="1" applyFill="1" applyBorder="1" applyAlignment="1">
      <alignment horizontal="justify"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4" fillId="0" borderId="38" xfId="0" applyFont="1" applyFill="1" applyBorder="1" applyAlignment="1">
      <alignment horizontal="justify" vertical="center" wrapText="1"/>
    </xf>
    <xf numFmtId="0" fontId="9" fillId="0" borderId="36" xfId="0" applyFont="1" applyFill="1" applyBorder="1" applyAlignment="1">
      <alignment horizontal="justify" vertical="center" wrapText="1"/>
    </xf>
    <xf numFmtId="1" fontId="4" fillId="0" borderId="17"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1" fontId="4" fillId="2" borderId="4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8" xfId="0"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9" fontId="4" fillId="2" borderId="17"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9" fontId="4" fillId="0" borderId="2" xfId="4"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3" fillId="10" borderId="49" xfId="0" applyFont="1" applyFill="1" applyBorder="1" applyAlignment="1">
      <alignment horizontal="left" vertical="center"/>
    </xf>
    <xf numFmtId="0" fontId="3" fillId="10" borderId="50" xfId="0" applyFont="1" applyFill="1" applyBorder="1" applyAlignment="1">
      <alignment horizontal="left" vertical="center"/>
    </xf>
    <xf numFmtId="0" fontId="10" fillId="0" borderId="35" xfId="0" applyFont="1" applyFill="1" applyBorder="1" applyAlignment="1">
      <alignment horizontal="center" vertical="center" wrapText="1"/>
    </xf>
    <xf numFmtId="9" fontId="4" fillId="0" borderId="38" xfId="0" applyNumberFormat="1" applyFont="1" applyFill="1" applyBorder="1" applyAlignment="1">
      <alignment horizontal="center" vertical="center" wrapText="1"/>
    </xf>
    <xf numFmtId="0" fontId="4" fillId="2" borderId="38" xfId="0" applyFont="1" applyFill="1" applyBorder="1" applyAlignment="1">
      <alignment horizontal="justify" vertical="center" wrapText="1"/>
    </xf>
    <xf numFmtId="3" fontId="4" fillId="2" borderId="38" xfId="0" applyNumberFormat="1" applyFont="1" applyFill="1" applyBorder="1" applyAlignment="1">
      <alignment horizontal="justify" vertical="center" wrapText="1"/>
    </xf>
    <xf numFmtId="0" fontId="4" fillId="2"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35" xfId="0" applyFont="1" applyFill="1" applyBorder="1" applyAlignment="1">
      <alignment horizontal="center" vertical="center" wrapText="1"/>
    </xf>
    <xf numFmtId="43" fontId="4" fillId="2" borderId="17" xfId="16"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0" fillId="0" borderId="37" xfId="0" applyFont="1" applyFill="1" applyBorder="1" applyAlignment="1">
      <alignment horizontal="center" vertical="center" wrapText="1"/>
    </xf>
    <xf numFmtId="3" fontId="4" fillId="2" borderId="36" xfId="0" applyNumberFormat="1" applyFont="1" applyFill="1" applyBorder="1" applyAlignment="1">
      <alignment horizontal="justify" vertical="center" wrapText="1"/>
    </xf>
    <xf numFmtId="1" fontId="4" fillId="0" borderId="5"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43" fontId="4" fillId="2" borderId="15" xfId="16"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166" fontId="4" fillId="0" borderId="17" xfId="2"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6" xfId="0" applyFont="1" applyFill="1" applyBorder="1" applyAlignment="1">
      <alignment horizontal="center" vertical="center" wrapText="1"/>
    </xf>
    <xf numFmtId="166" fontId="4" fillId="2" borderId="15" xfId="2" applyFont="1" applyFill="1" applyBorder="1" applyAlignment="1">
      <alignment horizontal="center" vertical="center" wrapText="1"/>
    </xf>
    <xf numFmtId="166" fontId="4" fillId="2" borderId="17" xfId="2" applyFont="1" applyFill="1" applyBorder="1" applyAlignment="1">
      <alignment horizontal="center" vertical="center" wrapText="1"/>
    </xf>
    <xf numFmtId="0" fontId="4" fillId="2" borderId="35" xfId="0" applyFont="1" applyFill="1" applyBorder="1" applyAlignment="1">
      <alignment horizontal="justify" vertical="center" wrapText="1"/>
    </xf>
    <xf numFmtId="0" fontId="10" fillId="0" borderId="36"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10" fillId="2" borderId="38"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2" borderId="9"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9" fillId="0" borderId="2" xfId="0" applyFont="1" applyBorder="1" applyAlignment="1">
      <alignment horizontal="left" vertical="center"/>
    </xf>
    <xf numFmtId="0" fontId="3" fillId="0" borderId="3" xfId="0" applyFont="1" applyBorder="1" applyAlignment="1">
      <alignment horizontal="justify" vertical="center" wrapText="1"/>
    </xf>
    <xf numFmtId="175" fontId="3" fillId="0" borderId="3" xfId="20" applyNumberFormat="1" applyFont="1" applyBorder="1" applyAlignment="1">
      <alignment horizontal="center" vertical="center"/>
    </xf>
    <xf numFmtId="10" fontId="3" fillId="0" borderId="3" xfId="0" applyNumberFormat="1" applyFont="1" applyBorder="1" applyAlignment="1">
      <alignment horizontal="center" vertical="center"/>
    </xf>
    <xf numFmtId="0" fontId="9" fillId="0" borderId="0" xfId="7" applyFont="1" applyAlignment="1">
      <alignment horizontal="center" vertical="center"/>
    </xf>
    <xf numFmtId="0" fontId="3" fillId="5" borderId="2" xfId="7" applyFont="1" applyFill="1" applyBorder="1" applyAlignment="1">
      <alignment horizontal="center" vertical="center" wrapText="1"/>
    </xf>
    <xf numFmtId="0" fontId="3" fillId="5" borderId="18" xfId="7" applyFont="1" applyFill="1" applyBorder="1" applyAlignment="1">
      <alignment horizontal="center" vertical="center" wrapText="1"/>
    </xf>
    <xf numFmtId="49" fontId="3" fillId="5" borderId="18" xfId="7" applyNumberFormat="1" applyFont="1" applyFill="1" applyBorder="1" applyAlignment="1">
      <alignment horizontal="center" vertical="center" wrapText="1"/>
    </xf>
    <xf numFmtId="0" fontId="3" fillId="3" borderId="2" xfId="7" applyFont="1" applyFill="1" applyBorder="1" applyAlignment="1">
      <alignment horizontal="center" vertical="center" wrapText="1"/>
    </xf>
    <xf numFmtId="1" fontId="3" fillId="6" borderId="33" xfId="7" applyNumberFormat="1" applyFont="1" applyFill="1" applyBorder="1" applyAlignment="1">
      <alignment horizontal="center" vertical="center" wrapText="1"/>
    </xf>
    <xf numFmtId="0" fontId="3" fillId="6" borderId="0" xfId="7" applyFont="1" applyFill="1" applyBorder="1" applyAlignment="1">
      <alignment horizontal="center" vertical="center"/>
    </xf>
    <xf numFmtId="0" fontId="3" fillId="6" borderId="0" xfId="7" applyFont="1" applyFill="1" applyBorder="1" applyAlignment="1">
      <alignment horizontal="justify" vertical="center" wrapText="1"/>
    </xf>
    <xf numFmtId="0" fontId="3" fillId="6" borderId="20" xfId="7" applyFont="1" applyFill="1" applyBorder="1" applyAlignment="1">
      <alignment horizontal="justify" vertical="center" wrapText="1"/>
    </xf>
    <xf numFmtId="0" fontId="3" fillId="6" borderId="20" xfId="7" applyFont="1" applyFill="1" applyBorder="1" applyAlignment="1">
      <alignment horizontal="center" vertical="center"/>
    </xf>
    <xf numFmtId="171" fontId="3" fillId="6" borderId="20" xfId="7" applyNumberFormat="1" applyFont="1" applyFill="1" applyBorder="1" applyAlignment="1">
      <alignment horizontal="center" vertical="center"/>
    </xf>
    <xf numFmtId="43" fontId="3" fillId="6" borderId="20" xfId="7" applyNumberFormat="1" applyFont="1" applyFill="1" applyBorder="1" applyAlignment="1">
      <alignment horizontal="center" vertical="center"/>
    </xf>
    <xf numFmtId="175" fontId="3" fillId="6" borderId="20" xfId="7" applyNumberFormat="1" applyFont="1" applyFill="1" applyBorder="1" applyAlignment="1">
      <alignment horizontal="center" vertical="center"/>
    </xf>
    <xf numFmtId="1" fontId="3" fillId="6" borderId="20" xfId="7" applyNumberFormat="1" applyFont="1" applyFill="1" applyBorder="1" applyAlignment="1">
      <alignment horizontal="center" vertical="center"/>
    </xf>
    <xf numFmtId="0" fontId="3" fillId="6" borderId="24" xfId="7" applyFont="1" applyFill="1" applyBorder="1" applyAlignment="1">
      <alignment horizontal="center" vertical="center"/>
    </xf>
    <xf numFmtId="175" fontId="3" fillId="6" borderId="20" xfId="20" applyNumberFormat="1" applyFont="1" applyFill="1" applyBorder="1" applyAlignment="1">
      <alignment horizontal="center" vertical="center"/>
    </xf>
    <xf numFmtId="10" fontId="3" fillId="6" borderId="20" xfId="7" applyNumberFormat="1" applyFont="1" applyFill="1" applyBorder="1" applyAlignment="1">
      <alignment horizontal="center" vertical="center"/>
    </xf>
    <xf numFmtId="169" fontId="3" fillId="6" borderId="24" xfId="7" applyNumberFormat="1" applyFont="1" applyFill="1" applyBorder="1" applyAlignment="1">
      <alignment horizontal="center" vertical="center"/>
    </xf>
    <xf numFmtId="0" fontId="9" fillId="6" borderId="46" xfId="7" applyFont="1" applyFill="1" applyBorder="1" applyAlignment="1">
      <alignment horizontal="center" vertical="center"/>
    </xf>
    <xf numFmtId="0" fontId="9" fillId="0" borderId="0" xfId="7" applyFont="1" applyBorder="1" applyAlignment="1">
      <alignment horizontal="center" vertical="center"/>
    </xf>
    <xf numFmtId="1" fontId="3" fillId="0" borderId="13" xfId="7" applyNumberFormat="1" applyFont="1" applyFill="1" applyBorder="1" applyAlignment="1">
      <alignment horizontal="center" vertical="center" wrapText="1"/>
    </xf>
    <xf numFmtId="0" fontId="3" fillId="0" borderId="14" xfId="7" applyFont="1" applyFill="1" applyBorder="1" applyAlignment="1">
      <alignment horizontal="center" vertical="center"/>
    </xf>
    <xf numFmtId="0" fontId="3" fillId="8" borderId="3" xfId="7" applyFont="1" applyFill="1" applyBorder="1" applyAlignment="1">
      <alignment horizontal="justify" vertical="center" wrapText="1"/>
    </xf>
    <xf numFmtId="0" fontId="3" fillId="8" borderId="3" xfId="7" applyFont="1" applyFill="1" applyBorder="1" applyAlignment="1">
      <alignment horizontal="center" vertical="center"/>
    </xf>
    <xf numFmtId="171" fontId="3" fillId="8" borderId="3" xfId="7" applyNumberFormat="1" applyFont="1" applyFill="1" applyBorder="1" applyAlignment="1">
      <alignment horizontal="center" vertical="center"/>
    </xf>
    <xf numFmtId="43" fontId="3" fillId="8" borderId="3" xfId="7" applyNumberFormat="1" applyFont="1" applyFill="1" applyBorder="1" applyAlignment="1">
      <alignment horizontal="center" vertical="center"/>
    </xf>
    <xf numFmtId="175" fontId="3" fillId="8" borderId="3" xfId="7" applyNumberFormat="1" applyFont="1" applyFill="1" applyBorder="1" applyAlignment="1">
      <alignment horizontal="center" vertical="center"/>
    </xf>
    <xf numFmtId="1" fontId="3" fillId="8" borderId="3" xfId="7" applyNumberFormat="1" applyFont="1" applyFill="1" applyBorder="1" applyAlignment="1">
      <alignment horizontal="center" vertical="center"/>
    </xf>
    <xf numFmtId="175" fontId="3" fillId="8" borderId="3" xfId="20" applyNumberFormat="1" applyFont="1" applyFill="1" applyBorder="1" applyAlignment="1">
      <alignment horizontal="center" vertical="center"/>
    </xf>
    <xf numFmtId="10" fontId="3" fillId="8" borderId="3" xfId="7" applyNumberFormat="1" applyFont="1" applyFill="1" applyBorder="1" applyAlignment="1">
      <alignment horizontal="center" vertical="center"/>
    </xf>
    <xf numFmtId="169" fontId="3" fillId="8" borderId="3" xfId="7" applyNumberFormat="1" applyFont="1" applyFill="1" applyBorder="1" applyAlignment="1">
      <alignment horizontal="center" vertical="center"/>
    </xf>
    <xf numFmtId="0" fontId="9" fillId="8" borderId="4" xfId="7" applyFont="1" applyFill="1" applyBorder="1" applyAlignment="1">
      <alignment horizontal="center" vertical="center"/>
    </xf>
    <xf numFmtId="0" fontId="9" fillId="0" borderId="0" xfId="7"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10" borderId="69" xfId="0" applyFont="1" applyFill="1" applyBorder="1" applyAlignment="1">
      <alignment horizontal="center" vertical="center"/>
    </xf>
    <xf numFmtId="0" fontId="3" fillId="10" borderId="8" xfId="0" applyFont="1" applyFill="1" applyBorder="1" applyAlignment="1">
      <alignment horizontal="justify" vertical="center" wrapText="1"/>
    </xf>
    <xf numFmtId="0" fontId="3" fillId="10" borderId="8" xfId="0" applyFont="1" applyFill="1" applyBorder="1" applyAlignment="1">
      <alignment horizontal="center" vertical="center"/>
    </xf>
    <xf numFmtId="43" fontId="3" fillId="10" borderId="8" xfId="0" applyNumberFormat="1" applyFont="1" applyFill="1" applyBorder="1" applyAlignment="1">
      <alignment horizontal="center" vertical="center"/>
    </xf>
    <xf numFmtId="175" fontId="3" fillId="10" borderId="5" xfId="0" applyNumberFormat="1" applyFont="1" applyFill="1" applyBorder="1" applyAlignment="1">
      <alignment horizontal="center" vertical="center"/>
    </xf>
    <xf numFmtId="0" fontId="3" fillId="10" borderId="5" xfId="0" applyFont="1" applyFill="1" applyBorder="1" applyAlignment="1">
      <alignment horizontal="center" vertical="center"/>
    </xf>
    <xf numFmtId="175" fontId="3" fillId="10" borderId="8" xfId="20" applyNumberFormat="1" applyFont="1" applyFill="1" applyBorder="1" applyAlignment="1">
      <alignment horizontal="center" vertical="center"/>
    </xf>
    <xf numFmtId="10" fontId="3" fillId="10" borderId="8" xfId="0" applyNumberFormat="1" applyFont="1" applyFill="1" applyBorder="1" applyAlignment="1">
      <alignment horizontal="center" vertical="center"/>
    </xf>
    <xf numFmtId="0" fontId="9" fillId="10" borderId="9" xfId="0" applyFont="1" applyFill="1" applyBorder="1" applyAlignment="1">
      <alignment horizontal="center" vertical="center"/>
    </xf>
    <xf numFmtId="0" fontId="9" fillId="2" borderId="0" xfId="7" applyFont="1" applyFill="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175" fontId="9" fillId="0" borderId="2" xfId="20" applyNumberFormat="1" applyFont="1" applyFill="1" applyBorder="1" applyAlignment="1">
      <alignment horizontal="center" vertical="center"/>
    </xf>
    <xf numFmtId="1" fontId="9" fillId="0" borderId="9" xfId="7" applyNumberFormat="1" applyFont="1" applyFill="1" applyBorder="1" applyAlignment="1">
      <alignment horizontal="center" vertical="center" wrapText="1"/>
    </xf>
    <xf numFmtId="0" fontId="9" fillId="0" borderId="2" xfId="7" applyNumberFormat="1" applyFont="1" applyFill="1" applyBorder="1" applyAlignment="1">
      <alignment horizontal="justify" vertical="center" wrapText="1"/>
    </xf>
    <xf numFmtId="0" fontId="9" fillId="0" borderId="7" xfId="7" applyFont="1" applyFill="1" applyBorder="1" applyAlignment="1">
      <alignment horizontal="justify" vertical="center" wrapText="1"/>
    </xf>
    <xf numFmtId="0" fontId="9" fillId="0" borderId="8" xfId="7" applyFont="1" applyFill="1" applyBorder="1" applyAlignment="1">
      <alignment horizontal="justify" vertical="center" wrapText="1"/>
    </xf>
    <xf numFmtId="0" fontId="9" fillId="0" borderId="8" xfId="25" applyFont="1" applyFill="1" applyBorder="1" applyAlignment="1">
      <alignment horizontal="justify" vertical="center" wrapText="1"/>
    </xf>
    <xf numFmtId="1" fontId="9" fillId="0" borderId="14" xfId="7" applyNumberFormat="1" applyFont="1" applyFill="1" applyBorder="1" applyAlignment="1">
      <alignment horizontal="center" vertical="center" wrapText="1"/>
    </xf>
    <xf numFmtId="0" fontId="9" fillId="0" borderId="15" xfId="7" applyNumberFormat="1" applyFont="1" applyFill="1" applyBorder="1" applyAlignment="1">
      <alignment horizontal="justify" vertical="center" wrapText="1"/>
    </xf>
    <xf numFmtId="3" fontId="9" fillId="0" borderId="24" xfId="0" applyNumberFormat="1" applyFont="1" applyFill="1" applyBorder="1" applyAlignment="1">
      <alignment horizontal="justify" vertical="center" wrapText="1"/>
    </xf>
    <xf numFmtId="1" fontId="9" fillId="0" borderId="35" xfId="7" applyNumberFormat="1" applyFont="1" applyFill="1" applyBorder="1" applyAlignment="1">
      <alignment horizontal="center" vertical="center" wrapText="1"/>
    </xf>
    <xf numFmtId="0" fontId="9" fillId="0" borderId="38" xfId="7" applyNumberFormat="1" applyFont="1" applyFill="1" applyBorder="1" applyAlignment="1">
      <alignment horizontal="justify" vertical="center" wrapText="1"/>
    </xf>
    <xf numFmtId="0" fontId="3" fillId="10" borderId="53"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3" xfId="0" applyFont="1" applyFill="1" applyBorder="1" applyAlignment="1">
      <alignment horizontal="center" vertical="center"/>
    </xf>
    <xf numFmtId="175" fontId="3" fillId="10" borderId="2" xfId="20" applyNumberFormat="1" applyFont="1" applyFill="1" applyBorder="1" applyAlignment="1">
      <alignment horizontal="center" vertical="center"/>
    </xf>
    <xf numFmtId="0" fontId="3" fillId="10" borderId="2" xfId="0" applyFont="1" applyFill="1" applyBorder="1" applyAlignment="1">
      <alignment horizontal="center" vertical="center"/>
    </xf>
    <xf numFmtId="0" fontId="3" fillId="10" borderId="0" xfId="0" applyFont="1" applyFill="1" applyBorder="1" applyAlignment="1">
      <alignment horizontal="justify" vertical="center" wrapText="1"/>
    </xf>
    <xf numFmtId="185" fontId="9" fillId="0" borderId="40" xfId="23" applyFont="1" applyFill="1" applyBorder="1" applyAlignment="1">
      <alignment horizontal="justify" vertical="center" wrapText="1"/>
    </xf>
    <xf numFmtId="0" fontId="9" fillId="0" borderId="7" xfId="7" applyNumberFormat="1" applyFont="1" applyFill="1" applyBorder="1" applyAlignment="1">
      <alignment horizontal="justify" vertical="center" wrapText="1"/>
    </xf>
    <xf numFmtId="0" fontId="3" fillId="10" borderId="3" xfId="0" applyFont="1" applyFill="1" applyBorder="1" applyAlignment="1">
      <alignment horizontal="justify" vertical="center" wrapText="1"/>
    </xf>
    <xf numFmtId="0" fontId="9" fillId="2" borderId="7" xfId="26" applyFont="1" applyFill="1" applyBorder="1" applyAlignment="1">
      <alignment horizontal="justify" vertical="center" wrapText="1"/>
    </xf>
    <xf numFmtId="1" fontId="9" fillId="2" borderId="35" xfId="7" applyNumberFormat="1" applyFont="1" applyFill="1" applyBorder="1" applyAlignment="1">
      <alignment horizontal="center" vertical="center" wrapText="1"/>
    </xf>
    <xf numFmtId="0" fontId="9" fillId="0" borderId="9" xfId="7" applyNumberFormat="1" applyFont="1" applyFill="1" applyBorder="1" applyAlignment="1">
      <alignment horizontal="justify" vertical="center" wrapText="1"/>
    </xf>
    <xf numFmtId="0" fontId="3" fillId="2" borderId="57" xfId="0" applyFont="1" applyFill="1" applyBorder="1" applyAlignment="1">
      <alignment horizontal="center" vertical="center"/>
    </xf>
    <xf numFmtId="0" fontId="3" fillId="2" borderId="47" xfId="0" applyFont="1" applyFill="1" applyBorder="1" applyAlignment="1">
      <alignment horizontal="center" vertical="center"/>
    </xf>
    <xf numFmtId="0" fontId="9" fillId="2" borderId="40" xfId="26" applyFont="1" applyFill="1" applyBorder="1" applyAlignment="1">
      <alignment horizontal="justify" vertical="center" wrapText="1"/>
    </xf>
    <xf numFmtId="0" fontId="3" fillId="8" borderId="36" xfId="0" applyFont="1" applyFill="1" applyBorder="1" applyAlignment="1">
      <alignment horizontal="center" vertical="center" wrapText="1"/>
    </xf>
    <xf numFmtId="0" fontId="9" fillId="8" borderId="3" xfId="7" applyNumberFormat="1" applyFont="1" applyFill="1" applyBorder="1" applyAlignment="1">
      <alignment horizontal="justify" vertical="center" wrapText="1"/>
    </xf>
    <xf numFmtId="0" fontId="9" fillId="8" borderId="3" xfId="13" applyNumberFormat="1" applyFont="1" applyFill="1" applyBorder="1" applyAlignment="1">
      <alignment horizontal="center" vertical="center" wrapText="1"/>
    </xf>
    <xf numFmtId="0" fontId="9" fillId="8" borderId="3" xfId="7" applyNumberFormat="1" applyFont="1" applyFill="1" applyBorder="1" applyAlignment="1">
      <alignment horizontal="center" vertical="center" wrapText="1"/>
    </xf>
    <xf numFmtId="0" fontId="9" fillId="8" borderId="3" xfId="7" applyFont="1" applyFill="1" applyBorder="1" applyAlignment="1">
      <alignment horizontal="justify" vertical="center" wrapText="1"/>
    </xf>
    <xf numFmtId="0" fontId="9" fillId="8" borderId="3" xfId="7" applyFont="1" applyFill="1" applyBorder="1" applyAlignment="1">
      <alignment horizontal="center" vertical="center" wrapText="1"/>
    </xf>
    <xf numFmtId="0" fontId="9" fillId="8" borderId="8" xfId="7" applyNumberFormat="1" applyFont="1" applyFill="1" applyBorder="1" applyAlignment="1">
      <alignment horizontal="justify" vertical="center" wrapText="1"/>
    </xf>
    <xf numFmtId="9" fontId="9" fillId="8" borderId="8" xfId="7" applyNumberFormat="1" applyFont="1" applyFill="1" applyBorder="1" applyAlignment="1">
      <alignment horizontal="center" vertical="center" wrapText="1"/>
    </xf>
    <xf numFmtId="43" fontId="9" fillId="8" borderId="8" xfId="23" applyNumberFormat="1" applyFont="1" applyFill="1" applyBorder="1" applyAlignment="1">
      <alignment horizontal="center" vertical="center"/>
    </xf>
    <xf numFmtId="3" fontId="9" fillId="8" borderId="3" xfId="7" applyNumberFormat="1" applyFont="1" applyFill="1" applyBorder="1" applyAlignment="1">
      <alignment horizontal="justify" vertical="center" wrapText="1"/>
    </xf>
    <xf numFmtId="0" fontId="9" fillId="8" borderId="0" xfId="26" applyFont="1" applyFill="1" applyBorder="1" applyAlignment="1">
      <alignment horizontal="justify" vertical="center" wrapText="1"/>
    </xf>
    <xf numFmtId="175" fontId="9" fillId="8" borderId="2" xfId="20" applyNumberFormat="1" applyFont="1" applyFill="1" applyBorder="1" applyAlignment="1">
      <alignment horizontal="center" vertical="center" wrapText="1"/>
    </xf>
    <xf numFmtId="1" fontId="9" fillId="8" borderId="0" xfId="7" applyNumberFormat="1" applyFont="1" applyFill="1" applyBorder="1" applyAlignment="1">
      <alignment horizontal="center" vertical="center" wrapText="1"/>
    </xf>
    <xf numFmtId="0" fontId="9" fillId="8" borderId="5" xfId="7" applyNumberFormat="1" applyFont="1" applyFill="1" applyBorder="1" applyAlignment="1">
      <alignment horizontal="justify" vertical="center" wrapText="1"/>
    </xf>
    <xf numFmtId="3" fontId="9" fillId="8" borderId="3" xfId="0" applyNumberFormat="1" applyFont="1" applyFill="1" applyBorder="1" applyAlignment="1">
      <alignment horizontal="center" vertical="center"/>
    </xf>
    <xf numFmtId="3" fontId="9" fillId="8" borderId="0" xfId="0" applyNumberFormat="1" applyFont="1" applyFill="1" applyBorder="1" applyAlignment="1">
      <alignment horizontal="center" vertical="center"/>
    </xf>
    <xf numFmtId="1" fontId="9" fillId="8" borderId="0" xfId="20" applyNumberFormat="1" applyFont="1" applyFill="1" applyBorder="1" applyAlignment="1">
      <alignment horizontal="center" vertical="center" wrapText="1"/>
    </xf>
    <xf numFmtId="0" fontId="9" fillId="0" borderId="0" xfId="7" applyFont="1" applyFill="1" applyAlignment="1">
      <alignment horizontal="center" vertical="center"/>
    </xf>
    <xf numFmtId="0" fontId="3" fillId="2" borderId="6" xfId="0" applyFont="1" applyFill="1" applyBorder="1" applyAlignment="1">
      <alignment horizontal="center" vertical="center" wrapText="1"/>
    </xf>
    <xf numFmtId="0" fontId="3" fillId="10" borderId="5" xfId="0" applyFont="1" applyFill="1" applyBorder="1" applyAlignment="1">
      <alignment horizontal="justify" vertical="center" wrapText="1"/>
    </xf>
    <xf numFmtId="0" fontId="9" fillId="0" borderId="35" xfId="0" applyFont="1" applyFill="1" applyBorder="1" applyAlignment="1">
      <alignment horizontal="center" vertical="center"/>
    </xf>
    <xf numFmtId="0" fontId="9" fillId="0" borderId="22" xfId="0" applyFont="1" applyFill="1" applyBorder="1" applyAlignment="1">
      <alignment horizontal="center" vertical="center"/>
    </xf>
    <xf numFmtId="0" fontId="3" fillId="2" borderId="16" xfId="0" applyFont="1" applyFill="1" applyBorder="1" applyAlignment="1">
      <alignment horizontal="center" vertical="center"/>
    </xf>
    <xf numFmtId="0" fontId="9" fillId="8" borderId="20" xfId="0" applyFont="1" applyFill="1" applyBorder="1" applyAlignment="1">
      <alignment horizontal="justify" vertical="center" wrapText="1"/>
    </xf>
    <xf numFmtId="0" fontId="9" fillId="8" borderId="24" xfId="0" applyFont="1" applyFill="1" applyBorder="1" applyAlignment="1">
      <alignment horizontal="center" vertical="center"/>
    </xf>
    <xf numFmtId="0" fontId="9" fillId="8" borderId="24" xfId="0" applyFont="1" applyFill="1" applyBorder="1" applyAlignment="1">
      <alignment horizontal="justify" vertical="center" wrapText="1"/>
    </xf>
    <xf numFmtId="9" fontId="9" fillId="8" borderId="24" xfId="0" applyNumberFormat="1" applyFont="1" applyFill="1" applyBorder="1" applyAlignment="1">
      <alignment horizontal="center" vertical="center"/>
    </xf>
    <xf numFmtId="43" fontId="9" fillId="8" borderId="24" xfId="23" applyNumberFormat="1" applyFont="1" applyFill="1" applyBorder="1" applyAlignment="1">
      <alignment horizontal="center" vertical="center"/>
    </xf>
    <xf numFmtId="0" fontId="9" fillId="8" borderId="20" xfId="27" applyFont="1" applyFill="1" applyBorder="1" applyAlignment="1">
      <alignment horizontal="justify" vertical="center" wrapText="1"/>
    </xf>
    <xf numFmtId="175" fontId="9" fillId="8" borderId="2" xfId="20" applyNumberFormat="1" applyFont="1" applyFill="1" applyBorder="1" applyAlignment="1">
      <alignment horizontal="center" vertical="center"/>
    </xf>
    <xf numFmtId="3" fontId="9" fillId="8" borderId="24" xfId="0" applyNumberFormat="1" applyFont="1" applyFill="1" applyBorder="1" applyAlignment="1">
      <alignment horizontal="center" vertical="center"/>
    </xf>
    <xf numFmtId="1" fontId="9" fillId="8" borderId="24" xfId="20" applyNumberFormat="1" applyFont="1" applyFill="1" applyBorder="1" applyAlignment="1">
      <alignment horizontal="center" vertical="center" wrapText="1"/>
    </xf>
    <xf numFmtId="0" fontId="3" fillId="10" borderId="47" xfId="0" applyFont="1" applyFill="1" applyBorder="1" applyAlignment="1">
      <alignment horizontal="center" vertical="center"/>
    </xf>
    <xf numFmtId="43" fontId="3" fillId="10" borderId="0" xfId="0" applyNumberFormat="1" applyFont="1" applyFill="1" applyBorder="1" applyAlignment="1">
      <alignment horizontal="center" vertical="center"/>
    </xf>
    <xf numFmtId="0" fontId="9" fillId="0" borderId="5" xfId="0" applyFont="1" applyFill="1" applyBorder="1" applyAlignment="1">
      <alignment horizontal="justify" vertical="center" wrapText="1"/>
    </xf>
    <xf numFmtId="0" fontId="9" fillId="0" borderId="8" xfId="0" applyFont="1" applyFill="1" applyBorder="1" applyAlignment="1">
      <alignment horizontal="justify" vertical="center" wrapText="1"/>
    </xf>
    <xf numFmtId="43" fontId="3" fillId="10"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9" fillId="0" borderId="24"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0" xfId="0" applyFont="1" applyFill="1" applyBorder="1" applyAlignment="1">
      <alignment horizontal="justify" vertical="center" wrapText="1"/>
    </xf>
    <xf numFmtId="0" fontId="9" fillId="8" borderId="20" xfId="26" applyFont="1" applyFill="1" applyBorder="1" applyAlignment="1">
      <alignment horizontal="justify" vertical="center" wrapText="1"/>
    </xf>
    <xf numFmtId="0" fontId="9" fillId="8" borderId="20" xfId="0" applyFont="1" applyFill="1" applyBorder="1" applyAlignment="1">
      <alignment horizontal="center" vertical="center"/>
    </xf>
    <xf numFmtId="1" fontId="9" fillId="8" borderId="24"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8" xfId="21" applyFont="1" applyFill="1" applyBorder="1" applyAlignment="1">
      <alignment horizontal="justify" vertical="center" wrapText="1"/>
    </xf>
    <xf numFmtId="0" fontId="9" fillId="0" borderId="3" xfId="21" applyFont="1" applyFill="1" applyBorder="1" applyAlignment="1">
      <alignment horizontal="justify" vertical="center" wrapText="1"/>
    </xf>
    <xf numFmtId="0" fontId="9" fillId="0" borderId="5" xfId="21" applyFont="1" applyFill="1" applyBorder="1" applyAlignment="1">
      <alignment horizontal="justify" vertical="center" wrapText="1"/>
    </xf>
    <xf numFmtId="0" fontId="9" fillId="0" borderId="8"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6" borderId="25" xfId="0" applyFont="1" applyFill="1" applyBorder="1" applyAlignment="1">
      <alignment horizontal="justify" vertical="center" wrapText="1"/>
    </xf>
    <xf numFmtId="0" fontId="3" fillId="6" borderId="25" xfId="0" applyFont="1" applyFill="1" applyBorder="1" applyAlignment="1">
      <alignment horizontal="center" vertical="center"/>
    </xf>
    <xf numFmtId="43" fontId="3" fillId="6" borderId="25" xfId="0" applyNumberFormat="1" applyFont="1" applyFill="1" applyBorder="1" applyAlignment="1">
      <alignment horizontal="center" vertical="center"/>
    </xf>
    <xf numFmtId="175" fontId="3" fillId="6" borderId="2" xfId="20" applyNumberFormat="1" applyFont="1" applyFill="1" applyBorder="1" applyAlignment="1">
      <alignment horizontal="center" vertical="center"/>
    </xf>
    <xf numFmtId="0" fontId="3" fillId="6" borderId="2" xfId="0" applyFont="1" applyFill="1" applyBorder="1" applyAlignment="1">
      <alignment horizontal="center" vertical="center"/>
    </xf>
    <xf numFmtId="0" fontId="3" fillId="8" borderId="24" xfId="0" applyFont="1" applyFill="1" applyBorder="1" applyAlignment="1">
      <alignment horizontal="center" vertical="center"/>
    </xf>
    <xf numFmtId="43" fontId="3" fillId="8" borderId="24" xfId="0" applyNumberFormat="1" applyFont="1" applyFill="1" applyBorder="1" applyAlignment="1">
      <alignment horizontal="center" vertical="center"/>
    </xf>
    <xf numFmtId="0" fontId="3" fillId="8" borderId="24" xfId="0" applyFont="1" applyFill="1" applyBorder="1" applyAlignment="1">
      <alignment horizontal="justify" vertical="center" wrapText="1"/>
    </xf>
    <xf numFmtId="175" fontId="3" fillId="8" borderId="2" xfId="20" applyNumberFormat="1" applyFont="1" applyFill="1" applyBorder="1" applyAlignment="1">
      <alignment horizontal="center" vertical="center"/>
    </xf>
    <xf numFmtId="0" fontId="3" fillId="8" borderId="2" xfId="0" applyFont="1" applyFill="1" applyBorder="1" applyAlignment="1">
      <alignment horizontal="center" vertical="center"/>
    </xf>
    <xf numFmtId="3" fontId="9" fillId="2" borderId="15" xfId="0" applyNumberFormat="1" applyFont="1" applyFill="1" applyBorder="1" applyAlignment="1">
      <alignment horizontal="center" vertical="center"/>
    </xf>
    <xf numFmtId="1" fontId="9" fillId="0" borderId="22" xfId="7" applyNumberFormat="1" applyFont="1" applyFill="1" applyBorder="1" applyAlignment="1">
      <alignment horizontal="center" vertical="center" wrapText="1"/>
    </xf>
    <xf numFmtId="0" fontId="9" fillId="0" borderId="37" xfId="7" applyNumberFormat="1" applyFont="1" applyFill="1" applyBorder="1" applyAlignment="1">
      <alignment horizontal="justify" vertical="center" wrapText="1"/>
    </xf>
    <xf numFmtId="3" fontId="9" fillId="2" borderId="17"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9" fillId="8" borderId="20" xfId="7" applyNumberFormat="1" applyFont="1" applyFill="1" applyBorder="1" applyAlignment="1">
      <alignment horizontal="center" vertical="center"/>
    </xf>
    <xf numFmtId="0" fontId="9" fillId="8" borderId="24" xfId="7" applyNumberFormat="1" applyFont="1" applyFill="1" applyBorder="1" applyAlignment="1">
      <alignment horizontal="justify" vertical="center" wrapText="1"/>
    </xf>
    <xf numFmtId="0" fontId="9" fillId="8" borderId="24" xfId="15" applyNumberFormat="1" applyFont="1" applyFill="1" applyBorder="1" applyAlignment="1">
      <alignment horizontal="center" vertical="center" wrapText="1"/>
    </xf>
    <xf numFmtId="0" fontId="9" fillId="8" borderId="24" xfId="7" applyFont="1" applyFill="1" applyBorder="1" applyAlignment="1">
      <alignment horizontal="justify" vertical="center" wrapText="1"/>
    </xf>
    <xf numFmtId="0" fontId="9" fillId="8" borderId="24" xfId="7" applyFont="1" applyFill="1" applyBorder="1" applyAlignment="1">
      <alignment horizontal="center" vertical="center" wrapText="1"/>
    </xf>
    <xf numFmtId="9" fontId="9" fillId="8" borderId="24" xfId="7" applyNumberFormat="1" applyFont="1" applyFill="1" applyBorder="1" applyAlignment="1">
      <alignment horizontal="center" vertical="center"/>
    </xf>
    <xf numFmtId="43" fontId="9" fillId="8" borderId="24" xfId="23" applyNumberFormat="1" applyFont="1" applyFill="1" applyBorder="1" applyAlignment="1">
      <alignment horizontal="center" vertical="center" wrapText="1"/>
    </xf>
    <xf numFmtId="0" fontId="9" fillId="8" borderId="2" xfId="7" applyFont="1" applyFill="1" applyBorder="1" applyAlignment="1">
      <alignment horizontal="center" vertical="center"/>
    </xf>
    <xf numFmtId="1" fontId="9" fillId="8" borderId="20" xfId="7" applyNumberFormat="1" applyFont="1" applyFill="1" applyBorder="1" applyAlignment="1">
      <alignment horizontal="center" vertical="center" wrapText="1"/>
    </xf>
    <xf numFmtId="0" fontId="9" fillId="8" borderId="20" xfId="7" applyNumberFormat="1" applyFont="1" applyFill="1" applyBorder="1" applyAlignment="1">
      <alignment horizontal="justify" vertical="center" wrapText="1"/>
    </xf>
    <xf numFmtId="0" fontId="3" fillId="0" borderId="0" xfId="7" applyFont="1" applyAlignment="1">
      <alignment horizontal="center" vertical="center"/>
    </xf>
    <xf numFmtId="1" fontId="9" fillId="0" borderId="4" xfId="7" applyNumberFormat="1" applyFont="1" applyFill="1" applyBorder="1" applyAlignment="1">
      <alignment horizontal="center" vertical="center"/>
    </xf>
    <xf numFmtId="1" fontId="9" fillId="0" borderId="9" xfId="7" applyNumberFormat="1" applyFont="1" applyFill="1" applyBorder="1" applyAlignment="1">
      <alignment horizontal="center" vertical="center"/>
    </xf>
    <xf numFmtId="1" fontId="9" fillId="0" borderId="5" xfId="7" applyNumberFormat="1" applyFont="1" applyFill="1" applyBorder="1" applyAlignment="1">
      <alignment horizontal="center" vertical="center"/>
    </xf>
    <xf numFmtId="0" fontId="9" fillId="0" borderId="36" xfId="7" applyNumberFormat="1" applyFont="1" applyFill="1" applyBorder="1" applyAlignment="1">
      <alignment horizontal="justify" vertical="center" wrapText="1"/>
    </xf>
    <xf numFmtId="0" fontId="3" fillId="0" borderId="6" xfId="0" applyFont="1" applyFill="1" applyBorder="1" applyAlignment="1">
      <alignment horizontal="center" vertical="center"/>
    </xf>
    <xf numFmtId="1" fontId="9" fillId="0" borderId="1" xfId="7" applyNumberFormat="1" applyFont="1" applyFill="1" applyBorder="1" applyAlignment="1">
      <alignment horizontal="center" vertical="center"/>
    </xf>
    <xf numFmtId="1" fontId="9" fillId="0" borderId="14" xfId="7" applyNumberFormat="1" applyFont="1" applyFill="1" applyBorder="1" applyAlignment="1">
      <alignment horizontal="center" vertical="center"/>
    </xf>
    <xf numFmtId="1" fontId="9" fillId="0" borderId="46" xfId="7" applyNumberFormat="1" applyFont="1" applyFill="1" applyBorder="1" applyAlignment="1">
      <alignment horizontal="center" vertical="center"/>
    </xf>
    <xf numFmtId="1" fontId="9" fillId="0" borderId="35" xfId="7" applyNumberFormat="1" applyFont="1" applyFill="1" applyBorder="1" applyAlignment="1">
      <alignment horizontal="center" vertical="center"/>
    </xf>
    <xf numFmtId="1" fontId="9" fillId="0" borderId="0" xfId="7" applyNumberFormat="1" applyFont="1" applyFill="1" applyBorder="1" applyAlignment="1">
      <alignment horizontal="center" vertical="center"/>
    </xf>
    <xf numFmtId="0" fontId="3" fillId="6" borderId="0" xfId="0" applyFont="1" applyFill="1" applyBorder="1" applyAlignment="1">
      <alignment horizontal="justify" vertical="center" wrapText="1"/>
    </xf>
    <xf numFmtId="43" fontId="3" fillId="6" borderId="0" xfId="0" applyNumberFormat="1" applyFont="1" applyFill="1" applyBorder="1" applyAlignment="1">
      <alignment horizontal="center" vertical="center"/>
    </xf>
    <xf numFmtId="0" fontId="9" fillId="0" borderId="13" xfId="0" applyFont="1" applyFill="1" applyBorder="1" applyAlignment="1">
      <alignment horizontal="justify" vertical="center" wrapText="1"/>
    </xf>
    <xf numFmtId="0" fontId="9" fillId="0" borderId="25" xfId="0" applyFont="1" applyFill="1" applyBorder="1" applyAlignment="1">
      <alignment horizontal="center" vertical="center"/>
    </xf>
    <xf numFmtId="0" fontId="9" fillId="0" borderId="5" xfId="0" applyFont="1" applyFill="1" applyBorder="1" applyAlignment="1">
      <alignment horizontal="center" vertical="center"/>
    </xf>
    <xf numFmtId="1" fontId="9" fillId="0" borderId="24" xfId="7" applyNumberFormat="1" applyFont="1" applyFill="1" applyBorder="1" applyAlignment="1">
      <alignment horizontal="center" vertical="center"/>
    </xf>
    <xf numFmtId="0" fontId="9" fillId="0" borderId="28" xfId="25" applyFont="1" applyFill="1" applyBorder="1" applyAlignment="1">
      <alignment horizontal="justify" vertical="center" wrapText="1"/>
    </xf>
    <xf numFmtId="1" fontId="9" fillId="0" borderId="25" xfId="7" applyNumberFormat="1" applyFont="1" applyFill="1" applyBorder="1" applyAlignment="1">
      <alignment horizontal="center" vertical="center"/>
    </xf>
    <xf numFmtId="0" fontId="9" fillId="0" borderId="8" xfId="25" applyFont="1" applyFill="1" applyBorder="1" applyAlignment="1">
      <alignment horizontal="justify" vertical="center" wrapText="1" readingOrder="2"/>
    </xf>
    <xf numFmtId="1" fontId="9" fillId="0" borderId="3" xfId="7" applyNumberFormat="1" applyFont="1" applyFill="1" applyBorder="1" applyAlignment="1">
      <alignment horizontal="center" vertical="center"/>
    </xf>
    <xf numFmtId="1" fontId="9" fillId="0" borderId="8" xfId="7" applyNumberFormat="1" applyFont="1" applyFill="1" applyBorder="1" applyAlignment="1">
      <alignment horizontal="center" vertical="center"/>
    </xf>
    <xf numFmtId="0" fontId="9" fillId="2" borderId="33" xfId="7" applyFont="1" applyFill="1" applyBorder="1" applyAlignment="1">
      <alignment horizontal="justify" vertical="center" wrapText="1"/>
    </xf>
    <xf numFmtId="1" fontId="9" fillId="22" borderId="7" xfId="7" applyNumberFormat="1" applyFont="1" applyFill="1" applyBorder="1" applyAlignment="1">
      <alignment horizontal="center" vertical="center"/>
    </xf>
    <xf numFmtId="0" fontId="9" fillId="22" borderId="8" xfId="7" applyFont="1" applyFill="1" applyBorder="1" applyAlignment="1">
      <alignment horizontal="center" vertical="center"/>
    </xf>
    <xf numFmtId="0" fontId="9" fillId="22" borderId="8" xfId="7" applyFont="1" applyFill="1" applyBorder="1" applyAlignment="1">
      <alignment horizontal="justify" vertical="center" wrapText="1"/>
    </xf>
    <xf numFmtId="171" fontId="9" fillId="22" borderId="9" xfId="7" applyNumberFormat="1" applyFont="1" applyFill="1" applyBorder="1" applyAlignment="1">
      <alignment horizontal="center" vertical="center"/>
    </xf>
    <xf numFmtId="43" fontId="3" fillId="22" borderId="18" xfId="7" applyNumberFormat="1" applyFont="1" applyFill="1" applyBorder="1" applyAlignment="1">
      <alignment horizontal="center" vertical="center"/>
    </xf>
    <xf numFmtId="0" fontId="9" fillId="22" borderId="7" xfId="7" applyFont="1" applyFill="1" applyBorder="1" applyAlignment="1">
      <alignment horizontal="justify" vertical="center" wrapText="1"/>
    </xf>
    <xf numFmtId="0" fontId="9" fillId="22" borderId="9" xfId="7" applyFont="1" applyFill="1" applyBorder="1" applyAlignment="1">
      <alignment horizontal="justify" vertical="center" wrapText="1"/>
    </xf>
    <xf numFmtId="170" fontId="3" fillId="22" borderId="2" xfId="7" applyNumberFormat="1" applyFont="1" applyFill="1" applyBorder="1" applyAlignment="1">
      <alignment horizontal="center" vertical="center"/>
    </xf>
    <xf numFmtId="1" fontId="9" fillId="22" borderId="3" xfId="7" applyNumberFormat="1" applyFont="1" applyFill="1" applyBorder="1" applyAlignment="1">
      <alignment horizontal="center" vertical="center"/>
    </xf>
    <xf numFmtId="0" fontId="9" fillId="22" borderId="3" xfId="7" applyFont="1" applyFill="1" applyBorder="1" applyAlignment="1">
      <alignment horizontal="justify" vertical="center" wrapText="1"/>
    </xf>
    <xf numFmtId="0" fontId="9" fillId="22" borderId="3" xfId="7" applyFont="1" applyFill="1" applyBorder="1" applyAlignment="1">
      <alignment horizontal="center" vertical="center"/>
    </xf>
    <xf numFmtId="0" fontId="9" fillId="23" borderId="2" xfId="7" applyFont="1" applyFill="1" applyBorder="1" applyAlignment="1">
      <alignment horizontal="center" vertical="center"/>
    </xf>
    <xf numFmtId="175" fontId="3" fillId="23" borderId="2" xfId="20" applyNumberFormat="1" applyFont="1" applyFill="1" applyBorder="1" applyAlignment="1">
      <alignment vertical="center"/>
    </xf>
    <xf numFmtId="0" fontId="9" fillId="23" borderId="2" xfId="7" applyFont="1" applyFill="1" applyBorder="1" applyAlignment="1">
      <alignment vertical="center"/>
    </xf>
    <xf numFmtId="1" fontId="9" fillId="0" borderId="0" xfId="7" applyNumberFormat="1" applyFont="1" applyAlignment="1">
      <alignment horizontal="center" vertical="center"/>
    </xf>
    <xf numFmtId="0" fontId="9" fillId="2" borderId="0" xfId="7" applyFont="1" applyFill="1" applyAlignment="1">
      <alignment horizontal="justify" vertical="center" wrapText="1"/>
    </xf>
    <xf numFmtId="171" fontId="9" fillId="2" borderId="0" xfId="7" applyNumberFormat="1" applyFont="1" applyFill="1" applyAlignment="1">
      <alignment horizontal="center" vertical="center"/>
    </xf>
    <xf numFmtId="43" fontId="9" fillId="2" borderId="0" xfId="7" applyNumberFormat="1" applyFont="1" applyFill="1" applyAlignment="1">
      <alignment horizontal="center" vertical="center"/>
    </xf>
    <xf numFmtId="175" fontId="9" fillId="2" borderId="0" xfId="7" applyNumberFormat="1" applyFont="1" applyFill="1" applyAlignment="1">
      <alignment horizontal="center" vertical="center"/>
    </xf>
    <xf numFmtId="170" fontId="9" fillId="2" borderId="0" xfId="7" applyNumberFormat="1" applyFont="1" applyFill="1" applyAlignment="1">
      <alignment horizontal="center" vertical="center"/>
    </xf>
    <xf numFmtId="1" fontId="9" fillId="2" borderId="0" xfId="7" applyNumberFormat="1" applyFont="1" applyFill="1" applyAlignment="1">
      <alignment horizontal="center" vertical="center"/>
    </xf>
    <xf numFmtId="175" fontId="9" fillId="0" borderId="0" xfId="20" applyNumberFormat="1" applyFont="1" applyAlignment="1">
      <alignment horizontal="center" vertical="center"/>
    </xf>
    <xf numFmtId="41" fontId="9" fillId="0" borderId="0" xfId="20" applyFont="1" applyAlignment="1">
      <alignment horizontal="center" vertical="center"/>
    </xf>
    <xf numFmtId="175" fontId="9" fillId="0" borderId="0" xfId="7" applyNumberFormat="1" applyFont="1" applyFill="1" applyAlignment="1">
      <alignment horizontal="center" vertical="center"/>
    </xf>
    <xf numFmtId="10" fontId="9" fillId="0" borderId="0" xfId="7" applyNumberFormat="1" applyFont="1" applyAlignment="1">
      <alignment horizontal="center" vertical="center"/>
    </xf>
    <xf numFmtId="0" fontId="3" fillId="0" borderId="2" xfId="0" applyFont="1" applyBorder="1" applyAlignment="1">
      <alignment horizontal="center" vertical="center"/>
    </xf>
    <xf numFmtId="0" fontId="2" fillId="0" borderId="7" xfId="0" applyFont="1" applyBorder="1" applyAlignment="1">
      <alignment horizontal="center" vertical="center"/>
    </xf>
    <xf numFmtId="167" fontId="4" fillId="2" borderId="16" xfId="1" applyFont="1" applyFill="1" applyBorder="1" applyAlignment="1">
      <alignment horizontal="center" vertical="center" wrapText="1"/>
    </xf>
    <xf numFmtId="167" fontId="4" fillId="2" borderId="38" xfId="1" applyFont="1" applyFill="1" applyBorder="1" applyAlignment="1">
      <alignment horizontal="center" vertical="center" wrapText="1"/>
    </xf>
    <xf numFmtId="167" fontId="9" fillId="2" borderId="38" xfId="1" applyFont="1" applyFill="1" applyBorder="1" applyAlignment="1">
      <alignment horizontal="center" vertical="center" wrapText="1"/>
    </xf>
    <xf numFmtId="167" fontId="4" fillId="2" borderId="40" xfId="1" applyFont="1" applyFill="1" applyBorder="1" applyAlignment="1">
      <alignment horizontal="center" vertical="center" wrapText="1"/>
    </xf>
    <xf numFmtId="167" fontId="9" fillId="2" borderId="37" xfId="1" applyFont="1" applyFill="1" applyBorder="1" applyAlignment="1">
      <alignment horizontal="center" vertical="center" wrapText="1"/>
    </xf>
    <xf numFmtId="167" fontId="9" fillId="2" borderId="2" xfId="1" applyFont="1" applyFill="1" applyBorder="1" applyAlignment="1">
      <alignment horizontal="center" vertical="center" wrapText="1"/>
    </xf>
    <xf numFmtId="167" fontId="4" fillId="8" borderId="0" xfId="1" applyFont="1" applyFill="1" applyBorder="1" applyAlignment="1">
      <alignment horizontal="center" vertical="center" wrapText="1"/>
    </xf>
    <xf numFmtId="167" fontId="2" fillId="10" borderId="24" xfId="1" applyFont="1" applyFill="1" applyBorder="1" applyAlignment="1">
      <alignment horizontal="center" vertical="center"/>
    </xf>
    <xf numFmtId="167" fontId="4" fillId="2" borderId="6" xfId="1" applyFont="1" applyFill="1" applyBorder="1" applyAlignment="1">
      <alignment horizontal="center" vertical="center" wrapText="1"/>
    </xf>
    <xf numFmtId="167" fontId="4" fillId="2" borderId="33" xfId="1" applyFont="1" applyFill="1" applyBorder="1" applyAlignment="1">
      <alignment horizontal="center" vertical="center" wrapText="1"/>
    </xf>
    <xf numFmtId="167" fontId="4" fillId="8" borderId="25" xfId="1" applyFont="1" applyFill="1" applyBorder="1" applyAlignment="1">
      <alignment horizontal="center" vertical="center" wrapText="1"/>
    </xf>
    <xf numFmtId="167" fontId="4" fillId="2" borderId="36" xfId="1" applyFont="1" applyFill="1" applyBorder="1" applyAlignment="1">
      <alignment horizontal="center" vertical="center" wrapText="1"/>
    </xf>
    <xf numFmtId="167" fontId="4" fillId="2" borderId="3" xfId="1" applyFont="1" applyFill="1" applyBorder="1" applyAlignment="1">
      <alignment horizontal="center" vertical="center" wrapText="1"/>
    </xf>
    <xf numFmtId="167" fontId="10" fillId="2" borderId="3" xfId="1" applyFont="1" applyFill="1" applyBorder="1" applyAlignment="1">
      <alignment horizontal="center" vertical="center" wrapText="1"/>
    </xf>
    <xf numFmtId="167" fontId="10" fillId="2" borderId="16" xfId="1" applyFont="1" applyFill="1" applyBorder="1" applyAlignment="1">
      <alignment horizontal="center" vertical="center" wrapText="1"/>
    </xf>
    <xf numFmtId="167" fontId="10" fillId="2" borderId="18" xfId="1" applyFont="1" applyFill="1" applyBorder="1" applyAlignment="1">
      <alignment horizontal="center" vertical="center" wrapText="1"/>
    </xf>
    <xf numFmtId="167" fontId="10" fillId="2" borderId="17" xfId="1" applyFont="1" applyFill="1" applyBorder="1" applyAlignment="1">
      <alignment horizontal="center" vertical="center" wrapText="1"/>
    </xf>
    <xf numFmtId="167" fontId="4" fillId="2" borderId="37" xfId="1" applyFont="1" applyFill="1" applyBorder="1" applyAlignment="1">
      <alignment horizontal="center" vertical="center" wrapText="1"/>
    </xf>
    <xf numFmtId="167" fontId="4" fillId="2" borderId="2" xfId="1" applyFont="1" applyFill="1" applyBorder="1" applyAlignment="1">
      <alignment horizontal="center" vertical="center" wrapText="1"/>
    </xf>
    <xf numFmtId="167" fontId="4" fillId="2" borderId="22" xfId="1" applyFont="1" applyFill="1" applyBorder="1" applyAlignment="1">
      <alignment horizontal="center" vertical="center" wrapText="1"/>
    </xf>
    <xf numFmtId="167" fontId="4" fillId="0" borderId="2" xfId="1" applyFont="1" applyFill="1" applyBorder="1" applyAlignment="1">
      <alignment horizontal="center" vertical="center"/>
    </xf>
    <xf numFmtId="167" fontId="4" fillId="2" borderId="24" xfId="1" applyFont="1" applyFill="1" applyBorder="1" applyAlignment="1">
      <alignment horizontal="center" vertical="center" wrapText="1"/>
    </xf>
    <xf numFmtId="167" fontId="4" fillId="2" borderId="23" xfId="1" applyFont="1" applyFill="1" applyBorder="1" applyAlignment="1">
      <alignment horizontal="center" vertical="center" wrapText="1"/>
    </xf>
    <xf numFmtId="167" fontId="4" fillId="2" borderId="7" xfId="1" applyFont="1" applyFill="1" applyBorder="1" applyAlignment="1">
      <alignment horizontal="center" vertical="center" wrapText="1"/>
    </xf>
    <xf numFmtId="167" fontId="2" fillId="10" borderId="20" xfId="1" applyFont="1" applyFill="1" applyBorder="1" applyAlignment="1">
      <alignment horizontal="center" vertical="center"/>
    </xf>
    <xf numFmtId="167" fontId="4" fillId="0" borderId="16" xfId="1" applyFont="1" applyFill="1" applyBorder="1" applyAlignment="1">
      <alignment horizontal="center" vertical="center" wrapText="1"/>
    </xf>
    <xf numFmtId="167" fontId="4" fillId="0" borderId="36" xfId="1" applyFont="1" applyFill="1" applyBorder="1" applyAlignment="1">
      <alignment horizontal="center" vertical="center" wrapText="1"/>
    </xf>
    <xf numFmtId="167" fontId="4" fillId="0" borderId="30" xfId="1" applyFont="1" applyFill="1" applyBorder="1" applyAlignment="1">
      <alignment horizontal="center" vertical="center" wrapText="1"/>
    </xf>
    <xf numFmtId="167" fontId="10" fillId="2" borderId="2" xfId="1" applyFont="1" applyFill="1" applyBorder="1" applyAlignment="1">
      <alignment horizontal="center" vertical="center" wrapText="1"/>
    </xf>
    <xf numFmtId="167" fontId="2" fillId="6" borderId="20" xfId="1" applyFont="1" applyFill="1" applyBorder="1" applyAlignment="1">
      <alignment horizontal="center" vertical="center"/>
    </xf>
    <xf numFmtId="167" fontId="2" fillId="8" borderId="0" xfId="1" applyFont="1" applyFill="1" applyBorder="1" applyAlignment="1">
      <alignment horizontal="center" vertical="center"/>
    </xf>
    <xf numFmtId="167" fontId="2" fillId="6" borderId="24" xfId="1" applyFont="1" applyFill="1" applyBorder="1" applyAlignment="1">
      <alignment horizontal="center" vertical="center"/>
    </xf>
    <xf numFmtId="167" fontId="10" fillId="12" borderId="18" xfId="1" applyFont="1" applyFill="1" applyBorder="1" applyAlignment="1">
      <alignment horizontal="center" vertical="center" wrapText="1"/>
    </xf>
    <xf numFmtId="167" fontId="9" fillId="2" borderId="16" xfId="1" applyFont="1" applyFill="1" applyBorder="1" applyAlignment="1">
      <alignment horizontal="center" vertical="center" wrapText="1"/>
    </xf>
    <xf numFmtId="167" fontId="4" fillId="10" borderId="24" xfId="1" applyFont="1" applyFill="1" applyBorder="1" applyAlignment="1">
      <alignment horizontal="center" vertical="center" wrapText="1"/>
    </xf>
    <xf numFmtId="167" fontId="29" fillId="2" borderId="2" xfId="1" applyFont="1" applyFill="1" applyBorder="1" applyAlignment="1">
      <alignment horizontal="center" vertical="center" wrapText="1"/>
    </xf>
    <xf numFmtId="167" fontId="2" fillId="3" borderId="2" xfId="1"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1" fontId="2" fillId="5" borderId="2"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11"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0" xfId="0" applyFont="1" applyFill="1" applyBorder="1" applyAlignment="1">
      <alignment horizontal="center" vertical="center"/>
    </xf>
    <xf numFmtId="0" fontId="2" fillId="0" borderId="0" xfId="0" applyFont="1" applyAlignment="1">
      <alignment horizontal="center" vertical="center"/>
    </xf>
    <xf numFmtId="0" fontId="4" fillId="2" borderId="17" xfId="0" applyFont="1" applyFill="1" applyBorder="1" applyAlignment="1">
      <alignment horizontal="center" vertical="center" wrapText="1"/>
    </xf>
    <xf numFmtId="0" fontId="4" fillId="0" borderId="6" xfId="0" applyFont="1" applyBorder="1" applyAlignment="1">
      <alignment horizontal="center" vertical="center"/>
    </xf>
    <xf numFmtId="0" fontId="3" fillId="8" borderId="0" xfId="0" applyFont="1" applyFill="1" applyBorder="1" applyAlignment="1">
      <alignment horizontal="left" vertical="center"/>
    </xf>
    <xf numFmtId="1" fontId="4" fillId="2" borderId="17"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71" fontId="2" fillId="5" borderId="2" xfId="0" applyNumberFormat="1"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1" fontId="4" fillId="2" borderId="4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0" xfId="0" applyFont="1" applyFill="1" applyBorder="1" applyAlignment="1">
      <alignment horizontal="center" vertical="center" wrapText="1"/>
    </xf>
    <xf numFmtId="173" fontId="4" fillId="0" borderId="39" xfId="0" applyNumberFormat="1" applyFont="1" applyBorder="1" applyAlignment="1">
      <alignment horizontal="left"/>
    </xf>
    <xf numFmtId="14" fontId="4" fillId="0" borderId="39" xfId="0" applyNumberFormat="1" applyFont="1" applyBorder="1" applyAlignment="1">
      <alignment horizontal="left"/>
    </xf>
    <xf numFmtId="14" fontId="9" fillId="0" borderId="2" xfId="0" applyNumberFormat="1" applyFont="1" applyBorder="1" applyAlignment="1">
      <alignment horizontal="left" vertical="center" wrapText="1"/>
    </xf>
    <xf numFmtId="49" fontId="9" fillId="0" borderId="2" xfId="0" applyNumberFormat="1" applyFont="1" applyBorder="1" applyAlignment="1">
      <alignment horizontal="left" vertical="center"/>
    </xf>
    <xf numFmtId="49" fontId="9" fillId="0" borderId="2" xfId="0" applyNumberFormat="1" applyFont="1" applyFill="1" applyBorder="1" applyAlignment="1">
      <alignment horizontal="left" vertical="center"/>
    </xf>
    <xf numFmtId="14" fontId="9"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justify" vertical="center"/>
    </xf>
    <xf numFmtId="14" fontId="9" fillId="0" borderId="2" xfId="0" applyNumberFormat="1" applyFont="1" applyFill="1" applyBorder="1" applyAlignment="1">
      <alignment horizontal="justify" vertical="center" wrapText="1"/>
    </xf>
    <xf numFmtId="0" fontId="9" fillId="0" borderId="2"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0" fillId="12" borderId="2" xfId="0" applyFont="1" applyFill="1" applyBorder="1" applyAlignment="1">
      <alignment horizontal="center" vertical="center" wrapText="1"/>
    </xf>
    <xf numFmtId="14" fontId="10" fillId="12" borderId="15" xfId="0" applyNumberFormat="1"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2" xfId="0" applyFont="1" applyFill="1" applyBorder="1" applyAlignment="1">
      <alignment horizontal="justify" vertical="center" wrapText="1"/>
    </xf>
    <xf numFmtId="0" fontId="2" fillId="2" borderId="0" xfId="0" applyFont="1" applyFill="1" applyAlignment="1">
      <alignment horizontal="center" vertical="center"/>
    </xf>
    <xf numFmtId="9" fontId="10" fillId="12" borderId="2" xfId="4"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14" fontId="10" fillId="12" borderId="2" xfId="0" applyNumberFormat="1" applyFont="1" applyFill="1" applyBorder="1" applyAlignment="1">
      <alignment horizontal="center" vertical="center" wrapText="1"/>
    </xf>
    <xf numFmtId="14" fontId="10" fillId="12" borderId="17" xfId="0" applyNumberFormat="1" applyFont="1" applyFill="1" applyBorder="1" applyAlignment="1">
      <alignment horizontal="center" vertical="center" wrapText="1"/>
    </xf>
    <xf numFmtId="14" fontId="10" fillId="12" borderId="18"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67" fontId="10" fillId="2" borderId="2" xfId="2"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2" borderId="2" xfId="4" applyFont="1" applyFill="1" applyBorder="1" applyAlignment="1">
      <alignment horizontal="center" vertical="center" wrapText="1"/>
    </xf>
    <xf numFmtId="172" fontId="4" fillId="0" borderId="2" xfId="3" applyNumberFormat="1" applyFont="1" applyBorder="1" applyAlignment="1">
      <alignment horizontal="center" vertical="center"/>
    </xf>
    <xf numFmtId="0" fontId="10" fillId="0" borderId="2" xfId="0" applyFont="1" applyFill="1" applyBorder="1" applyAlignment="1">
      <alignment horizontal="justify" vertical="center" wrapText="1"/>
    </xf>
    <xf numFmtId="1" fontId="4" fillId="2" borderId="2" xfId="0" applyNumberFormat="1" applyFont="1" applyFill="1" applyBorder="1" applyAlignment="1">
      <alignment horizontal="center" vertical="center" wrapText="1"/>
    </xf>
    <xf numFmtId="0" fontId="9" fillId="2" borderId="37" xfId="7" applyFont="1" applyFill="1" applyBorder="1" applyAlignment="1">
      <alignment horizontal="center" vertical="center" wrapText="1"/>
    </xf>
    <xf numFmtId="0" fontId="9" fillId="2" borderId="33" xfId="7" applyFont="1" applyFill="1" applyBorder="1" applyAlignment="1">
      <alignment horizontal="center" vertical="center" wrapText="1"/>
    </xf>
    <xf numFmtId="0" fontId="9" fillId="0" borderId="37" xfId="7" applyFont="1" applyBorder="1" applyAlignment="1">
      <alignment horizontal="justify" vertical="center" wrapText="1"/>
    </xf>
    <xf numFmtId="0" fontId="9" fillId="0" borderId="33" xfId="7" applyFont="1" applyBorder="1" applyAlignment="1">
      <alignment horizontal="justify" vertical="center" wrapText="1"/>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17" xfId="0" applyFont="1" applyBorder="1" applyAlignment="1">
      <alignment horizontal="center" vertical="center" wrapText="1"/>
    </xf>
    <xf numFmtId="0" fontId="10" fillId="0" borderId="13"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11" borderId="2" xfId="0" applyFont="1" applyFill="1" applyBorder="1" applyAlignment="1">
      <alignment horizontal="justify" vertical="center" wrapText="1"/>
    </xf>
    <xf numFmtId="0" fontId="3" fillId="10" borderId="30" xfId="0" applyFont="1" applyFill="1" applyBorder="1" applyAlignment="1">
      <alignment horizontal="left" vertical="center"/>
    </xf>
    <xf numFmtId="0" fontId="3" fillId="10" borderId="20" xfId="0" applyFont="1" applyFill="1" applyBorder="1" applyAlignment="1">
      <alignment horizontal="left" vertical="center"/>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36"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9" fillId="2" borderId="37" xfId="0" applyFont="1" applyFill="1" applyBorder="1" applyAlignment="1">
      <alignment horizontal="justify" vertical="center" wrapText="1"/>
    </xf>
    <xf numFmtId="0" fontId="9" fillId="2" borderId="33" xfId="0" applyFont="1" applyFill="1" applyBorder="1" applyAlignment="1">
      <alignment horizontal="justify" vertical="center" wrapText="1"/>
    </xf>
    <xf numFmtId="0" fontId="4" fillId="0" borderId="33" xfId="0" applyFont="1" applyBorder="1" applyAlignment="1">
      <alignment horizontal="justify" vertical="center" wrapText="1"/>
    </xf>
    <xf numFmtId="3" fontId="10" fillId="12" borderId="2" xfId="0" applyNumberFormat="1"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19" xfId="0" applyFont="1" applyBorder="1" applyAlignment="1">
      <alignment horizontal="justify" vertical="center" wrapText="1"/>
    </xf>
    <xf numFmtId="9" fontId="4" fillId="2" borderId="2" xfId="4" applyNumberFormat="1" applyFont="1" applyFill="1" applyBorder="1" applyAlignment="1">
      <alignment horizontal="center" vertical="center" wrapText="1"/>
    </xf>
    <xf numFmtId="165" fontId="4" fillId="0" borderId="2" xfId="3" applyFont="1" applyBorder="1" applyAlignment="1">
      <alignment horizontal="center" vertical="center"/>
    </xf>
    <xf numFmtId="0" fontId="9" fillId="0" borderId="2"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9" fillId="2" borderId="2"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0" borderId="32" xfId="0" applyFont="1" applyBorder="1" applyAlignment="1">
      <alignment horizontal="justify" vertical="center" wrapText="1"/>
    </xf>
    <xf numFmtId="3" fontId="10" fillId="12" borderId="2" xfId="0" applyNumberFormat="1" applyFont="1" applyFill="1" applyBorder="1" applyAlignment="1">
      <alignment horizontal="justify" vertical="center" wrapText="1"/>
    </xf>
    <xf numFmtId="3" fontId="10" fillId="11" borderId="2"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167" fontId="10" fillId="12" borderId="2" xfId="2" applyNumberFormat="1" applyFont="1" applyFill="1" applyBorder="1" applyAlignment="1">
      <alignment horizontal="center" vertical="center" wrapText="1"/>
    </xf>
    <xf numFmtId="3" fontId="10" fillId="11" borderId="15" xfId="0" applyNumberFormat="1" applyFont="1" applyFill="1" applyBorder="1" applyAlignment="1">
      <alignment horizontal="center" vertical="center" wrapText="1"/>
    </xf>
    <xf numFmtId="3" fontId="10" fillId="11" borderId="17" xfId="0" applyNumberFormat="1" applyFont="1" applyFill="1" applyBorder="1" applyAlignment="1">
      <alignment horizontal="center" vertical="center" wrapText="1"/>
    </xf>
    <xf numFmtId="3" fontId="10" fillId="11" borderId="18" xfId="0" applyNumberFormat="1" applyFont="1" applyFill="1" applyBorder="1" applyAlignment="1">
      <alignment horizontal="center" vertical="center" wrapText="1"/>
    </xf>
    <xf numFmtId="0" fontId="9" fillId="0" borderId="28"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30" xfId="0" applyFont="1" applyFill="1" applyBorder="1" applyAlignment="1">
      <alignment horizontal="justify" vertical="center" wrapText="1"/>
    </xf>
    <xf numFmtId="172" fontId="9" fillId="2" borderId="2" xfId="3" applyNumberFormat="1" applyFont="1" applyFill="1" applyBorder="1" applyAlignment="1">
      <alignment horizontal="center" vertical="center"/>
    </xf>
    <xf numFmtId="0" fontId="9" fillId="11"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3" fillId="8" borderId="23" xfId="0" applyFont="1" applyFill="1" applyBorder="1" applyAlignment="1">
      <alignment horizontal="left" vertical="center"/>
    </xf>
    <xf numFmtId="0" fontId="3" fillId="8" borderId="24" xfId="0"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3"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9" fontId="6" fillId="4" borderId="2" xfId="6"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3" fillId="6" borderId="19" xfId="0" applyFont="1" applyFill="1" applyBorder="1" applyAlignment="1">
      <alignment horizontal="left" vertical="center"/>
    </xf>
    <xf numFmtId="0" fontId="3" fillId="6" borderId="20" xfId="0" applyFont="1" applyFill="1" applyBorder="1" applyAlignment="1">
      <alignment horizontal="left" vertical="center"/>
    </xf>
    <xf numFmtId="49" fontId="2" fillId="5" borderId="2" xfId="0" applyNumberFormat="1" applyFont="1" applyFill="1" applyBorder="1" applyAlignment="1">
      <alignment horizontal="center" vertical="center" textRotation="90" wrapText="1"/>
    </xf>
    <xf numFmtId="49" fontId="2" fillId="5" borderId="7" xfId="0" applyNumberFormat="1" applyFont="1" applyFill="1" applyBorder="1" applyAlignment="1">
      <alignment horizontal="center" vertical="center" textRotation="90" wrapText="1"/>
    </xf>
    <xf numFmtId="49" fontId="2" fillId="5" borderId="9" xfId="0" applyNumberFormat="1" applyFont="1" applyFill="1" applyBorder="1" applyAlignment="1">
      <alignment horizontal="center" vertical="center" textRotation="90" wrapText="1"/>
    </xf>
    <xf numFmtId="1" fontId="2" fillId="5" borderId="2" xfId="0" applyNumberFormat="1" applyFont="1" applyFill="1" applyBorder="1" applyAlignment="1">
      <alignment horizontal="center" vertical="center" wrapText="1"/>
    </xf>
    <xf numFmtId="170" fontId="2" fillId="4" borderId="2" xfId="0" applyNumberFormat="1" applyFont="1" applyFill="1" applyBorder="1" applyAlignment="1">
      <alignment horizontal="center" vertical="center" wrapText="1"/>
    </xf>
    <xf numFmtId="1" fontId="2" fillId="5" borderId="15" xfId="0" applyNumberFormat="1" applyFont="1" applyFill="1" applyBorder="1" applyAlignment="1">
      <alignment horizontal="center" vertical="center" wrapText="1"/>
    </xf>
    <xf numFmtId="1" fontId="2" fillId="5" borderId="18"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2" fillId="5" borderId="7" xfId="0" applyFont="1" applyFill="1" applyBorder="1" applyAlignment="1">
      <alignment horizontal="center" vertical="center" textRotation="90" wrapText="1"/>
    </xf>
    <xf numFmtId="0" fontId="2" fillId="5" borderId="9" xfId="0" applyFont="1" applyFill="1" applyBorder="1" applyAlignment="1">
      <alignment horizontal="center" vertical="center" textRotation="90" wrapText="1"/>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 fontId="2" fillId="3" borderId="2" xfId="0" applyNumberFormat="1" applyFont="1" applyFill="1" applyBorder="1" applyAlignment="1">
      <alignment horizontal="center" vertical="center" wrapText="1"/>
    </xf>
    <xf numFmtId="168" fontId="5" fillId="4" borderId="10" xfId="5" applyFont="1" applyFill="1" applyBorder="1" applyAlignment="1">
      <alignment horizontal="center" vertical="center"/>
    </xf>
    <xf numFmtId="168" fontId="5" fillId="4" borderId="11" xfId="5" applyFont="1" applyFill="1" applyBorder="1" applyAlignment="1">
      <alignment horizontal="center" vertical="center"/>
    </xf>
    <xf numFmtId="168" fontId="5" fillId="4" borderId="12" xfId="5" applyFont="1" applyFill="1" applyBorder="1" applyAlignment="1">
      <alignment horizontal="center" vertical="center"/>
    </xf>
    <xf numFmtId="169" fontId="2" fillId="5" borderId="13" xfId="0" applyNumberFormat="1" applyFont="1" applyFill="1" applyBorder="1" applyAlignment="1">
      <alignment horizontal="center" vertical="center" wrapText="1"/>
    </xf>
    <xf numFmtId="169" fontId="2" fillId="5" borderId="14" xfId="0" applyNumberFormat="1" applyFont="1" applyFill="1" applyBorder="1" applyAlignment="1">
      <alignment horizontal="center" vertical="center" wrapText="1"/>
    </xf>
    <xf numFmtId="169" fontId="2" fillId="5" borderId="16" xfId="0" applyNumberFormat="1" applyFont="1" applyFill="1" applyBorder="1" applyAlignment="1">
      <alignment horizontal="center" vertical="center" wrapText="1"/>
    </xf>
    <xf numFmtId="169" fontId="2" fillId="5" borderId="4" xfId="0" applyNumberFormat="1" applyFont="1" applyFill="1" applyBorder="1" applyAlignment="1">
      <alignment horizontal="center" vertical="center" wrapText="1"/>
    </xf>
    <xf numFmtId="3" fontId="2" fillId="5" borderId="15" xfId="0" applyNumberFormat="1" applyFont="1" applyFill="1" applyBorder="1" applyAlignment="1">
      <alignment horizontal="center" vertical="center" wrapText="1"/>
    </xf>
    <xf numFmtId="3" fontId="2" fillId="5" borderId="17" xfId="0" applyNumberFormat="1" applyFont="1" applyFill="1" applyBorder="1" applyAlignment="1">
      <alignment horizontal="center" vertical="center" wrapText="1"/>
    </xf>
    <xf numFmtId="3" fontId="2" fillId="5" borderId="18"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9" fontId="4" fillId="2" borderId="15" xfId="4" applyFont="1" applyFill="1" applyBorder="1" applyAlignment="1">
      <alignment horizontal="center" vertical="center"/>
    </xf>
    <xf numFmtId="9" fontId="4" fillId="2" borderId="17" xfId="4" applyFont="1" applyFill="1" applyBorder="1" applyAlignment="1">
      <alignment horizontal="center" vertical="center"/>
    </xf>
    <xf numFmtId="9" fontId="4" fillId="2" borderId="18" xfId="4" applyFont="1" applyFill="1" applyBorder="1" applyAlignment="1">
      <alignment horizontal="center" vertical="center"/>
    </xf>
    <xf numFmtId="0" fontId="4" fillId="2" borderId="15" xfId="0" applyFont="1" applyFill="1" applyBorder="1" applyAlignment="1">
      <alignment horizontal="center" vertical="center" wrapText="1"/>
    </xf>
    <xf numFmtId="167" fontId="4" fillId="2" borderId="15" xfId="1" applyFont="1" applyFill="1" applyBorder="1" applyAlignment="1">
      <alignment horizontal="center" vertical="center"/>
    </xf>
    <xf numFmtId="167" fontId="4" fillId="2" borderId="17" xfId="1" applyFont="1" applyFill="1" applyBorder="1" applyAlignment="1">
      <alignment horizontal="center" vertical="center"/>
    </xf>
    <xf numFmtId="167" fontId="4" fillId="2" borderId="18" xfId="1" applyFont="1" applyFill="1" applyBorder="1" applyAlignment="1">
      <alignment horizontal="center" vertical="center"/>
    </xf>
    <xf numFmtId="0" fontId="9" fillId="0" borderId="7" xfId="0" applyFont="1" applyBorder="1" applyAlignment="1">
      <alignment horizontal="justify" vertical="center" wrapText="1"/>
    </xf>
    <xf numFmtId="0" fontId="9" fillId="0" borderId="2" xfId="0" applyFont="1" applyBorder="1" applyAlignment="1">
      <alignment horizontal="justify" vertical="center" wrapText="1"/>
    </xf>
    <xf numFmtId="9" fontId="9" fillId="0" borderId="2" xfId="4" applyFont="1" applyBorder="1" applyAlignment="1">
      <alignment horizontal="center" vertical="center" wrapText="1"/>
    </xf>
    <xf numFmtId="4" fontId="9" fillId="0" borderId="2"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5" xfId="0" applyFont="1" applyBorder="1" applyAlignment="1">
      <alignment horizontal="center" vertical="center"/>
    </xf>
    <xf numFmtId="14" fontId="4" fillId="0" borderId="15" xfId="0" applyNumberFormat="1" applyFont="1" applyBorder="1" applyAlignment="1">
      <alignment horizontal="center" vertical="center"/>
    </xf>
    <xf numFmtId="14" fontId="4" fillId="0" borderId="13" xfId="0" applyNumberFormat="1"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167" fontId="4" fillId="0" borderId="15" xfId="1" applyFont="1" applyFill="1" applyBorder="1" applyAlignment="1">
      <alignment horizontal="center" vertical="center"/>
    </xf>
    <xf numFmtId="167" fontId="4" fillId="0" borderId="17" xfId="1" applyFont="1" applyFill="1" applyBorder="1" applyAlignment="1">
      <alignment horizontal="center" vertical="center"/>
    </xf>
    <xf numFmtId="167" fontId="4" fillId="0" borderId="18" xfId="1" applyFont="1" applyFill="1" applyBorder="1" applyAlignment="1">
      <alignment horizontal="center" vertical="center"/>
    </xf>
    <xf numFmtId="9" fontId="4" fillId="0" borderId="15" xfId="4" applyFont="1" applyFill="1" applyBorder="1" applyAlignment="1">
      <alignment horizontal="center" vertical="center"/>
    </xf>
    <xf numFmtId="9" fontId="4" fillId="0" borderId="17" xfId="4" applyFont="1" applyFill="1" applyBorder="1" applyAlignment="1">
      <alignment horizontal="center" vertical="center"/>
    </xf>
    <xf numFmtId="9" fontId="4" fillId="0" borderId="18" xfId="4" applyFont="1" applyFill="1" applyBorder="1" applyAlignment="1">
      <alignment horizontal="center" vertical="center"/>
    </xf>
    <xf numFmtId="4" fontId="4" fillId="2" borderId="15"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67" fontId="4" fillId="2" borderId="2" xfId="1" applyFont="1" applyFill="1" applyBorder="1" applyAlignment="1">
      <alignment horizontal="center" vertical="center"/>
    </xf>
    <xf numFmtId="9" fontId="4" fillId="2" borderId="2" xfId="4" applyFont="1" applyFill="1" applyBorder="1" applyAlignment="1">
      <alignment horizontal="center" vertical="center"/>
    </xf>
    <xf numFmtId="9" fontId="9" fillId="0" borderId="15"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9" fontId="9" fillId="0" borderId="18" xfId="0" applyNumberFormat="1" applyFont="1" applyBorder="1" applyAlignment="1">
      <alignment horizontal="center" vertical="center" wrapText="1"/>
    </xf>
    <xf numFmtId="175" fontId="9" fillId="0" borderId="15" xfId="10" applyNumberFormat="1" applyFont="1" applyBorder="1" applyAlignment="1">
      <alignment horizontal="center" vertical="center" wrapText="1"/>
    </xf>
    <xf numFmtId="175" fontId="9" fillId="0" borderId="17" xfId="10" applyNumberFormat="1" applyFont="1" applyBorder="1" applyAlignment="1">
      <alignment horizontal="center" vertical="center" wrapText="1"/>
    </xf>
    <xf numFmtId="0" fontId="9" fillId="0" borderId="15"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4" fillId="2" borderId="15"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9" fillId="2" borderId="37"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6" xfId="0" applyFont="1" applyFill="1" applyBorder="1" applyAlignment="1">
      <alignment horizontal="justify"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4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4" xfId="0" applyFont="1" applyFill="1" applyBorder="1" applyAlignment="1">
      <alignment horizontal="center" vertical="center" wrapText="1"/>
    </xf>
    <xf numFmtId="9" fontId="4" fillId="2" borderId="15" xfId="0" applyNumberFormat="1" applyFont="1" applyFill="1" applyBorder="1" applyAlignment="1">
      <alignment horizontal="center" vertical="center"/>
    </xf>
    <xf numFmtId="9" fontId="4" fillId="2" borderId="17" xfId="0" applyNumberFormat="1" applyFont="1" applyFill="1" applyBorder="1" applyAlignment="1">
      <alignment horizontal="center" vertical="center"/>
    </xf>
    <xf numFmtId="14" fontId="4" fillId="0" borderId="15" xfId="0" applyNumberFormat="1" applyFont="1" applyBorder="1" applyAlignment="1">
      <alignment horizontal="center" vertical="center" wrapText="1"/>
    </xf>
    <xf numFmtId="14" fontId="4" fillId="0" borderId="17" xfId="0" applyNumberFormat="1" applyFont="1" applyBorder="1" applyAlignment="1">
      <alignment horizontal="center" vertical="center"/>
    </xf>
    <xf numFmtId="14" fontId="4" fillId="0" borderId="18" xfId="0" applyNumberFormat="1"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67" fontId="4" fillId="0" borderId="15" xfId="1" applyFont="1" applyBorder="1" applyAlignment="1">
      <alignment horizontal="center" vertical="center"/>
    </xf>
    <xf numFmtId="167" fontId="4" fillId="0" borderId="17" xfId="1" applyFont="1" applyBorder="1" applyAlignment="1">
      <alignment horizontal="center" vertical="center"/>
    </xf>
    <xf numFmtId="167" fontId="4" fillId="0" borderId="18" xfId="1" applyFont="1" applyBorder="1" applyAlignment="1">
      <alignment horizontal="center" vertical="center"/>
    </xf>
    <xf numFmtId="9" fontId="4" fillId="0" borderId="15" xfId="4" applyFont="1" applyBorder="1" applyAlignment="1">
      <alignment horizontal="center" vertical="center"/>
    </xf>
    <xf numFmtId="9" fontId="4" fillId="0" borderId="17" xfId="4" applyFont="1" applyBorder="1" applyAlignment="1">
      <alignment horizontal="center" vertical="center"/>
    </xf>
    <xf numFmtId="9" fontId="4" fillId="0" borderId="18" xfId="4" applyFont="1" applyBorder="1" applyAlignment="1">
      <alignment horizontal="center" vertical="center"/>
    </xf>
    <xf numFmtId="9" fontId="9" fillId="0" borderId="2" xfId="0" applyNumberFormat="1" applyFont="1" applyBorder="1" applyAlignment="1">
      <alignment horizontal="center" vertical="center" wrapText="1"/>
    </xf>
    <xf numFmtId="0" fontId="4" fillId="0" borderId="26" xfId="0" applyFont="1" applyBorder="1" applyAlignment="1">
      <alignment horizontal="center" vertical="center" wrapText="1"/>
    </xf>
    <xf numFmtId="14" fontId="4" fillId="0" borderId="26" xfId="0" applyNumberFormat="1" applyFont="1" applyBorder="1" applyAlignment="1">
      <alignment horizontal="center" vertical="center" wrapText="1"/>
    </xf>
    <xf numFmtId="167" fontId="4" fillId="0" borderId="26" xfId="1" applyFont="1" applyFill="1" applyBorder="1" applyAlignment="1">
      <alignment horizontal="center" vertical="center" wrapText="1"/>
    </xf>
    <xf numFmtId="167" fontId="4" fillId="0" borderId="17" xfId="1" applyFont="1" applyFill="1" applyBorder="1" applyAlignment="1">
      <alignment horizontal="center" vertical="center" wrapText="1"/>
    </xf>
    <xf numFmtId="167" fontId="4" fillId="0" borderId="18" xfId="1" applyFont="1" applyFill="1" applyBorder="1" applyAlignment="1">
      <alignment horizontal="center" vertical="center" wrapText="1"/>
    </xf>
    <xf numFmtId="9" fontId="4" fillId="0" borderId="26" xfId="4" applyFont="1" applyFill="1" applyBorder="1" applyAlignment="1">
      <alignment horizontal="center" vertical="center" wrapText="1"/>
    </xf>
    <xf numFmtId="9" fontId="4" fillId="0" borderId="17" xfId="4" applyFont="1" applyFill="1" applyBorder="1" applyAlignment="1">
      <alignment horizontal="center" vertical="center" wrapText="1"/>
    </xf>
    <xf numFmtId="9" fontId="4" fillId="0" borderId="18" xfId="4" applyFont="1" applyFill="1" applyBorder="1" applyAlignment="1">
      <alignment horizontal="center" vertical="center" wrapText="1"/>
    </xf>
    <xf numFmtId="9" fontId="4" fillId="2" borderId="38" xfId="4" applyFont="1" applyFill="1" applyBorder="1" applyAlignment="1">
      <alignment horizontal="center" vertical="center" wrapText="1"/>
    </xf>
    <xf numFmtId="4" fontId="4" fillId="0" borderId="38" xfId="8" applyNumberFormat="1" applyFont="1" applyBorder="1" applyAlignment="1">
      <alignment horizontal="center" vertical="center"/>
    </xf>
    <xf numFmtId="0" fontId="4" fillId="0" borderId="40" xfId="0" applyFont="1" applyBorder="1" applyAlignment="1">
      <alignment horizontal="justify" vertical="center" wrapText="1"/>
    </xf>
    <xf numFmtId="0" fontId="9" fillId="2" borderId="2" xfId="7" applyFont="1" applyFill="1" applyBorder="1" applyAlignment="1">
      <alignment horizontal="center" vertical="center" wrapText="1"/>
    </xf>
    <xf numFmtId="0" fontId="9" fillId="0" borderId="2" xfId="7" applyFont="1" applyBorder="1" applyAlignment="1">
      <alignment horizontal="justify" vertical="center" wrapText="1"/>
    </xf>
    <xf numFmtId="0" fontId="9" fillId="0" borderId="35" xfId="0" applyFont="1" applyBorder="1" applyAlignment="1">
      <alignment horizontal="center" vertical="center" wrapText="1"/>
    </xf>
    <xf numFmtId="0" fontId="4" fillId="0" borderId="35" xfId="0" applyFont="1" applyBorder="1" applyAlignment="1">
      <alignment horizontal="justify" vertical="center" wrapText="1"/>
    </xf>
    <xf numFmtId="0" fontId="9" fillId="2" borderId="2" xfId="7" applyFont="1" applyFill="1" applyBorder="1" applyAlignment="1">
      <alignment horizontal="justify" vertical="center" wrapText="1"/>
    </xf>
    <xf numFmtId="0" fontId="4" fillId="0" borderId="36" xfId="0" applyFont="1" applyBorder="1" applyAlignment="1">
      <alignment horizontal="center" vertical="center" wrapText="1"/>
    </xf>
    <xf numFmtId="1" fontId="4" fillId="2" borderId="35"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49" fontId="9" fillId="0" borderId="2" xfId="9" applyNumberFormat="1"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8" xfId="0" applyFont="1" applyFill="1" applyBorder="1" applyAlignment="1">
      <alignment horizontal="justify" vertical="center" wrapText="1"/>
    </xf>
    <xf numFmtId="176" fontId="4" fillId="2" borderId="24" xfId="0" applyNumberFormat="1" applyFont="1" applyFill="1" applyBorder="1" applyAlignment="1">
      <alignment horizontal="center" vertical="center" wrapText="1"/>
    </xf>
    <xf numFmtId="14" fontId="4" fillId="0" borderId="37" xfId="0" applyNumberFormat="1" applyFont="1" applyBorder="1" applyAlignment="1">
      <alignment horizontal="center" vertical="center" wrapText="1"/>
    </xf>
    <xf numFmtId="176" fontId="4" fillId="2" borderId="38" xfId="0" applyNumberFormat="1" applyFont="1" applyFill="1" applyBorder="1" applyAlignment="1">
      <alignment horizontal="center" vertical="center" wrapText="1"/>
    </xf>
    <xf numFmtId="0" fontId="4" fillId="0" borderId="38" xfId="0" applyFont="1" applyBorder="1" applyAlignment="1">
      <alignment horizontal="center" vertical="center"/>
    </xf>
    <xf numFmtId="175" fontId="4" fillId="0" borderId="37" xfId="0" applyNumberFormat="1" applyFont="1" applyBorder="1" applyAlignment="1">
      <alignment horizontal="center" vertical="center" wrapText="1"/>
    </xf>
    <xf numFmtId="3" fontId="4" fillId="2" borderId="24" xfId="0" applyNumberFormat="1" applyFont="1" applyFill="1" applyBorder="1" applyAlignment="1">
      <alignment horizontal="center" vertical="center"/>
    </xf>
    <xf numFmtId="3" fontId="4" fillId="2" borderId="38" xfId="0" applyNumberFormat="1" applyFont="1" applyFill="1" applyBorder="1" applyAlignment="1">
      <alignment horizontal="center"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3" fontId="4" fillId="2" borderId="37" xfId="0" applyNumberFormat="1" applyFont="1" applyFill="1" applyBorder="1" applyAlignment="1">
      <alignment horizontal="center" vertical="center"/>
    </xf>
    <xf numFmtId="3" fontId="4" fillId="2" borderId="33" xfId="0" applyNumberFormat="1" applyFont="1" applyFill="1" applyBorder="1" applyAlignment="1">
      <alignment horizontal="center" vertical="center"/>
    </xf>
    <xf numFmtId="3" fontId="4" fillId="2" borderId="36" xfId="0" applyNumberFormat="1" applyFont="1" applyFill="1" applyBorder="1" applyAlignment="1">
      <alignment horizontal="center" vertical="center"/>
    </xf>
    <xf numFmtId="9" fontId="4" fillId="2" borderId="15" xfId="4" applyFont="1" applyFill="1" applyBorder="1" applyAlignment="1">
      <alignment horizontal="center" vertical="center" wrapText="1"/>
    </xf>
    <xf numFmtId="4" fontId="9" fillId="2" borderId="2" xfId="8" applyNumberFormat="1" applyFont="1" applyFill="1" applyBorder="1" applyAlignment="1">
      <alignment horizontal="center" vertical="center"/>
    </xf>
    <xf numFmtId="4" fontId="9" fillId="2" borderId="15" xfId="8" applyNumberFormat="1" applyFont="1" applyFill="1" applyBorder="1" applyAlignment="1">
      <alignment horizontal="center" vertical="center"/>
    </xf>
    <xf numFmtId="0" fontId="4" fillId="0" borderId="7" xfId="0" applyFont="1" applyBorder="1" applyAlignment="1">
      <alignment horizontal="justify" vertical="center" wrapText="1"/>
    </xf>
    <xf numFmtId="0" fontId="4" fillId="0" borderId="13" xfId="0" applyFont="1" applyBorder="1" applyAlignment="1">
      <alignment horizontal="justify" vertical="center" wrapText="1"/>
    </xf>
    <xf numFmtId="0" fontId="9" fillId="12" borderId="2" xfId="0" applyFont="1" applyFill="1" applyBorder="1" applyAlignment="1">
      <alignment horizontal="center" vertical="center" wrapText="1"/>
    </xf>
    <xf numFmtId="0" fontId="9" fillId="12" borderId="15" xfId="0" applyFont="1" applyFill="1" applyBorder="1" applyAlignment="1">
      <alignment horizontal="center" vertical="center" wrapText="1"/>
    </xf>
    <xf numFmtId="3" fontId="8" fillId="4" borderId="17" xfId="0" applyNumberFormat="1"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9" fontId="8" fillId="4" borderId="17" xfId="6" applyFont="1" applyFill="1" applyBorder="1" applyAlignment="1">
      <alignment horizontal="center" vertical="center" wrapText="1"/>
    </xf>
    <xf numFmtId="9" fontId="8" fillId="4" borderId="18" xfId="6"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horizontal="justify"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171" fontId="2" fillId="5" borderId="15" xfId="0" applyNumberFormat="1" applyFont="1" applyFill="1" applyBorder="1" applyAlignment="1">
      <alignment horizontal="center" vertical="center" wrapText="1"/>
    </xf>
    <xf numFmtId="171" fontId="2" fillId="5" borderId="18" xfId="0" applyNumberFormat="1" applyFont="1" applyFill="1" applyBorder="1" applyAlignment="1">
      <alignment horizontal="center" vertical="center" wrapText="1"/>
    </xf>
    <xf numFmtId="4" fontId="2" fillId="5" borderId="15" xfId="0" applyNumberFormat="1" applyFont="1" applyFill="1" applyBorder="1" applyAlignment="1">
      <alignment horizontal="center" vertical="center" wrapText="1"/>
    </xf>
    <xf numFmtId="4" fontId="2" fillId="5" borderId="18"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8" xfId="0" applyNumberFormat="1" applyFont="1" applyFill="1" applyBorder="1" applyAlignment="1">
      <alignment horizontal="center" vertical="center" wrapText="1"/>
    </xf>
    <xf numFmtId="4" fontId="2" fillId="5" borderId="9"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 fontId="2" fillId="3" borderId="8"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3" fillId="3" borderId="13" xfId="0" applyFont="1" applyFill="1" applyBorder="1" applyAlignment="1">
      <alignment horizontal="center" vertical="center" textRotation="90" wrapText="1"/>
    </xf>
    <xf numFmtId="0" fontId="3" fillId="3" borderId="14" xfId="0" applyFont="1" applyFill="1" applyBorder="1" applyAlignment="1">
      <alignment horizontal="center" vertical="center" textRotation="90" wrapText="1"/>
    </xf>
    <xf numFmtId="0" fontId="3" fillId="3" borderId="16"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7" xfId="0" applyFont="1" applyFill="1" applyBorder="1" applyAlignment="1">
      <alignment horizontal="center" textRotation="1"/>
    </xf>
    <xf numFmtId="0" fontId="3" fillId="3" borderId="8" xfId="0" applyFont="1" applyFill="1" applyBorder="1" applyAlignment="1">
      <alignment horizontal="center" textRotation="1"/>
    </xf>
    <xf numFmtId="0" fontId="3" fillId="3" borderId="9" xfId="0" applyFont="1" applyFill="1" applyBorder="1" applyAlignment="1">
      <alignment horizontal="center" textRotation="1"/>
    </xf>
    <xf numFmtId="169" fontId="2" fillId="5" borderId="6" xfId="0" applyNumberFormat="1" applyFont="1" applyFill="1" applyBorder="1" applyAlignment="1">
      <alignment horizontal="center" vertical="center" wrapText="1"/>
    </xf>
    <xf numFmtId="169" fontId="2" fillId="5" borderId="1" xfId="0" applyNumberFormat="1" applyFont="1" applyFill="1" applyBorder="1" applyAlignment="1">
      <alignment horizontal="center" vertical="center" wrapText="1"/>
    </xf>
    <xf numFmtId="1" fontId="2" fillId="5" borderId="14"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15" borderId="7" xfId="0" applyFont="1" applyFill="1" applyBorder="1" applyAlignment="1">
      <alignment horizontal="center" vertical="center"/>
    </xf>
    <xf numFmtId="0" fontId="2" fillId="15" borderId="8" xfId="0" applyFont="1" applyFill="1" applyBorder="1" applyAlignment="1">
      <alignment horizontal="center" vertical="center"/>
    </xf>
    <xf numFmtId="0" fontId="2" fillId="15" borderId="9" xfId="0" applyFont="1" applyFill="1" applyBorder="1" applyAlignment="1">
      <alignment horizontal="center" vertical="center"/>
    </xf>
    <xf numFmtId="14" fontId="10" fillId="2" borderId="15" xfId="0" applyNumberFormat="1" applyFont="1" applyFill="1" applyBorder="1" applyAlignment="1">
      <alignment horizontal="center" vertical="center" wrapText="1"/>
    </xf>
    <xf numFmtId="14" fontId="10" fillId="2" borderId="17" xfId="0" applyNumberFormat="1" applyFont="1" applyFill="1" applyBorder="1" applyAlignment="1">
      <alignment horizontal="center" vertical="center" wrapText="1"/>
    </xf>
    <xf numFmtId="14" fontId="10" fillId="2" borderId="18" xfId="0" applyNumberFormat="1" applyFont="1" applyFill="1" applyBorder="1" applyAlignment="1">
      <alignment horizontal="center" vertical="center" wrapText="1"/>
    </xf>
    <xf numFmtId="14" fontId="10" fillId="11" borderId="2"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8" xfId="0" applyNumberFormat="1" applyFont="1" applyFill="1" applyBorder="1" applyAlignment="1">
      <alignment horizontal="center" vertical="center" wrapText="1"/>
    </xf>
    <xf numFmtId="167" fontId="10" fillId="11" borderId="2" xfId="2" applyNumberFormat="1" applyFont="1" applyFill="1" applyBorder="1" applyAlignment="1">
      <alignment horizontal="center" vertical="center" wrapText="1"/>
    </xf>
    <xf numFmtId="9" fontId="10" fillId="11" borderId="2" xfId="4" applyFont="1" applyFill="1" applyBorder="1" applyAlignment="1">
      <alignment horizontal="center" vertical="center" wrapText="1"/>
    </xf>
    <xf numFmtId="3" fontId="10" fillId="11" borderId="2" xfId="0" applyNumberFormat="1" applyFont="1" applyFill="1" applyBorder="1" applyAlignment="1">
      <alignment horizontal="justify" vertical="center" wrapText="1"/>
    </xf>
    <xf numFmtId="3" fontId="10" fillId="0" borderId="2" xfId="0" quotePrefix="1" applyNumberFormat="1" applyFont="1" applyFill="1" applyBorder="1" applyAlignment="1">
      <alignment horizontal="justify" vertical="center" wrapText="1"/>
    </xf>
    <xf numFmtId="3" fontId="10" fillId="0" borderId="2" xfId="0" applyNumberFormat="1" applyFont="1" applyFill="1" applyBorder="1" applyAlignment="1">
      <alignment horizontal="justify" vertical="center" wrapText="1"/>
    </xf>
    <xf numFmtId="3" fontId="10" fillId="0"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9" fillId="11" borderId="2" xfId="0" applyFont="1" applyFill="1" applyBorder="1" applyAlignment="1">
      <alignment horizontal="justify" vertical="center" wrapText="1"/>
    </xf>
    <xf numFmtId="9" fontId="10" fillId="11" borderId="2" xfId="0" applyNumberFormat="1" applyFont="1" applyFill="1" applyBorder="1" applyAlignment="1">
      <alignment horizontal="center" vertical="center" wrapText="1"/>
    </xf>
    <xf numFmtId="178" fontId="10" fillId="0" borderId="2" xfId="0" applyNumberFormat="1" applyFont="1" applyBorder="1" applyAlignment="1">
      <alignment horizontal="center" vertical="center" wrapText="1"/>
    </xf>
    <xf numFmtId="178" fontId="10" fillId="0" borderId="2" xfId="0" applyNumberFormat="1"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11" borderId="46"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36" xfId="0" applyFont="1" applyFill="1" applyBorder="1" applyAlignment="1">
      <alignment horizontal="justify" vertical="center" wrapText="1"/>
    </xf>
    <xf numFmtId="0" fontId="9" fillId="11" borderId="38" xfId="0" applyFont="1" applyFill="1" applyBorder="1" applyAlignment="1">
      <alignment horizontal="justify" vertical="center" wrapText="1"/>
    </xf>
    <xf numFmtId="0" fontId="9" fillId="11" borderId="37" xfId="0" applyFont="1" applyFill="1" applyBorder="1" applyAlignment="1">
      <alignment horizontal="justify" vertical="center" wrapText="1"/>
    </xf>
    <xf numFmtId="0" fontId="9" fillId="2" borderId="33" xfId="0" applyFont="1" applyFill="1" applyBorder="1" applyAlignment="1" applyProtection="1">
      <alignment horizontal="justify" vertical="center" wrapText="1"/>
      <protection locked="0"/>
    </xf>
    <xf numFmtId="0" fontId="9" fillId="2" borderId="34" xfId="0" applyFont="1" applyFill="1" applyBorder="1" applyAlignment="1" applyProtection="1">
      <alignment horizontal="justify" vertical="center" wrapText="1"/>
      <protection locked="0"/>
    </xf>
    <xf numFmtId="0" fontId="9" fillId="11" borderId="36"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9" fillId="0" borderId="30" xfId="0" applyFont="1" applyBorder="1" applyAlignment="1">
      <alignment horizontal="justify" vertical="center" wrapText="1"/>
    </xf>
    <xf numFmtId="0" fontId="9" fillId="0" borderId="40"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6" xfId="0" applyFont="1" applyBorder="1" applyAlignment="1">
      <alignment horizontal="justify" vertical="center" wrapText="1"/>
    </xf>
    <xf numFmtId="0" fontId="9" fillId="0" borderId="6" xfId="0" applyFont="1" applyFill="1" applyBorder="1" applyAlignment="1">
      <alignment horizontal="justify" vertical="center" wrapText="1"/>
    </xf>
    <xf numFmtId="3" fontId="10" fillId="0" borderId="15" xfId="0" applyNumberFormat="1" applyFont="1" applyFill="1" applyBorder="1" applyAlignment="1" applyProtection="1">
      <alignment horizontal="justify" vertical="center" wrapText="1"/>
      <protection locked="0"/>
    </xf>
    <xf numFmtId="3" fontId="10" fillId="0" borderId="17" xfId="0" applyNumberFormat="1" applyFont="1" applyFill="1" applyBorder="1" applyAlignment="1" applyProtection="1">
      <alignment horizontal="justify" vertical="center" wrapText="1"/>
      <protection locked="0"/>
    </xf>
    <xf numFmtId="3" fontId="10" fillId="0" borderId="18" xfId="0" applyNumberFormat="1" applyFont="1" applyFill="1" applyBorder="1" applyAlignment="1" applyProtection="1">
      <alignment horizontal="justify" vertical="center" wrapText="1"/>
      <protection locked="0"/>
    </xf>
    <xf numFmtId="3" fontId="10" fillId="0" borderId="15" xfId="0" quotePrefix="1" applyNumberFormat="1" applyFont="1" applyFill="1" applyBorder="1" applyAlignment="1" applyProtection="1">
      <alignment horizontal="justify" vertical="center" wrapText="1"/>
      <protection locked="0"/>
    </xf>
    <xf numFmtId="3" fontId="10" fillId="0" borderId="17" xfId="0" quotePrefix="1" applyNumberFormat="1" applyFont="1" applyFill="1" applyBorder="1" applyAlignment="1" applyProtection="1">
      <alignment horizontal="justify" vertical="center" wrapText="1"/>
      <protection locked="0"/>
    </xf>
    <xf numFmtId="3" fontId="10" fillId="0" borderId="18" xfId="0" quotePrefix="1" applyNumberFormat="1" applyFont="1" applyFill="1" applyBorder="1" applyAlignment="1" applyProtection="1">
      <alignment horizontal="justify" vertical="center" wrapText="1"/>
      <protection locked="0"/>
    </xf>
    <xf numFmtId="14" fontId="10" fillId="11" borderId="15" xfId="0" applyNumberFormat="1" applyFont="1" applyFill="1" applyBorder="1" applyAlignment="1" applyProtection="1">
      <alignment horizontal="center" vertical="center" wrapText="1"/>
      <protection locked="0"/>
    </xf>
    <xf numFmtId="14" fontId="10" fillId="11" borderId="17" xfId="0" applyNumberFormat="1" applyFont="1" applyFill="1" applyBorder="1" applyAlignment="1" applyProtection="1">
      <alignment horizontal="center" vertical="center" wrapText="1"/>
      <protection locked="0"/>
    </xf>
    <xf numFmtId="14" fontId="10" fillId="11" borderId="18" xfId="0" applyNumberFormat="1" applyFont="1" applyFill="1" applyBorder="1" applyAlignment="1" applyProtection="1">
      <alignment horizontal="center" vertical="center" wrapText="1"/>
      <protection locked="0"/>
    </xf>
    <xf numFmtId="14" fontId="10" fillId="12" borderId="15" xfId="0" applyNumberFormat="1" applyFont="1" applyFill="1" applyBorder="1" applyAlignment="1" applyProtection="1">
      <alignment horizontal="center" vertical="center" wrapText="1"/>
      <protection locked="0"/>
    </xf>
    <xf numFmtId="14" fontId="10" fillId="12" borderId="17" xfId="0" applyNumberFormat="1" applyFont="1" applyFill="1" applyBorder="1" applyAlignment="1" applyProtection="1">
      <alignment horizontal="center" vertical="center" wrapText="1"/>
      <protection locked="0"/>
    </xf>
    <xf numFmtId="14" fontId="10" fillId="12" borderId="18" xfId="0" applyNumberFormat="1" applyFont="1" applyFill="1" applyBorder="1" applyAlignment="1" applyProtection="1">
      <alignment horizontal="center" vertical="center" wrapText="1"/>
      <protection locked="0"/>
    </xf>
    <xf numFmtId="14" fontId="10" fillId="0" borderId="15" xfId="0" applyNumberFormat="1" applyFont="1" applyFill="1" applyBorder="1" applyAlignment="1" applyProtection="1">
      <alignment horizontal="center" vertical="center" wrapText="1"/>
      <protection locked="0"/>
    </xf>
    <xf numFmtId="14" fontId="10" fillId="0" borderId="17" xfId="0" applyNumberFormat="1" applyFont="1" applyFill="1" applyBorder="1" applyAlignment="1" applyProtection="1">
      <alignment horizontal="center" vertical="center" wrapText="1"/>
      <protection locked="0"/>
    </xf>
    <xf numFmtId="14" fontId="10" fillId="0" borderId="18" xfId="0" applyNumberFormat="1" applyFont="1" applyFill="1" applyBorder="1" applyAlignment="1" applyProtection="1">
      <alignment horizontal="center" vertical="center" wrapText="1"/>
      <protection locked="0"/>
    </xf>
    <xf numFmtId="3" fontId="10" fillId="0" borderId="15" xfId="0" applyNumberFormat="1" applyFont="1" applyFill="1" applyBorder="1" applyAlignment="1" applyProtection="1">
      <alignment horizontal="center" vertical="center" wrapText="1"/>
      <protection locked="0"/>
    </xf>
    <xf numFmtId="3" fontId="10" fillId="0" borderId="17" xfId="0" applyNumberFormat="1" applyFont="1" applyFill="1" applyBorder="1" applyAlignment="1" applyProtection="1">
      <alignment horizontal="center" vertical="center" wrapText="1"/>
      <protection locked="0"/>
    </xf>
    <xf numFmtId="3" fontId="10" fillId="0" borderId="18" xfId="0" applyNumberFormat="1" applyFont="1" applyFill="1" applyBorder="1" applyAlignment="1" applyProtection="1">
      <alignment horizontal="center" vertical="center" wrapText="1"/>
      <protection locked="0"/>
    </xf>
    <xf numFmtId="167" fontId="10" fillId="0" borderId="15" xfId="2" applyNumberFormat="1" applyFont="1" applyFill="1" applyBorder="1" applyAlignment="1" applyProtection="1">
      <alignment horizontal="center" vertical="center" wrapText="1"/>
      <protection locked="0"/>
    </xf>
    <xf numFmtId="167" fontId="10" fillId="0" borderId="17" xfId="2" applyNumberFormat="1" applyFont="1" applyFill="1" applyBorder="1" applyAlignment="1" applyProtection="1">
      <alignment horizontal="center" vertical="center" wrapText="1"/>
      <protection locked="0"/>
    </xf>
    <xf numFmtId="167" fontId="10" fillId="0" borderId="18" xfId="2" applyNumberFormat="1" applyFont="1" applyFill="1" applyBorder="1" applyAlignment="1" applyProtection="1">
      <alignment horizontal="center" vertical="center" wrapText="1"/>
      <protection locked="0"/>
    </xf>
    <xf numFmtId="9" fontId="10" fillId="0" borderId="15" xfId="4" applyFont="1" applyFill="1" applyBorder="1" applyAlignment="1" applyProtection="1">
      <alignment horizontal="center" vertical="center" wrapText="1"/>
      <protection locked="0"/>
    </xf>
    <xf numFmtId="9" fontId="10" fillId="0" borderId="17" xfId="4" applyFont="1" applyFill="1" applyBorder="1" applyAlignment="1" applyProtection="1">
      <alignment horizontal="center" vertical="center" wrapText="1"/>
      <protection locked="0"/>
    </xf>
    <xf numFmtId="9" fontId="10" fillId="0" borderId="18" xfId="4" applyFont="1" applyFill="1" applyBorder="1" applyAlignment="1" applyProtection="1">
      <alignment horizontal="center" vertical="center" wrapText="1"/>
      <protection locked="0"/>
    </xf>
    <xf numFmtId="3" fontId="10" fillId="0" borderId="15"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9" fontId="10" fillId="11" borderId="15" xfId="0" applyNumberFormat="1" applyFont="1" applyFill="1" applyBorder="1" applyAlignment="1">
      <alignment horizontal="center" vertical="center" wrapText="1"/>
    </xf>
    <xf numFmtId="9" fontId="10" fillId="11" borderId="17" xfId="0" applyNumberFormat="1" applyFont="1" applyFill="1" applyBorder="1" applyAlignment="1">
      <alignment horizontal="center" vertical="center" wrapText="1"/>
    </xf>
    <xf numFmtId="9" fontId="10" fillId="11" borderId="18" xfId="0" applyNumberFormat="1" applyFont="1" applyFill="1" applyBorder="1" applyAlignment="1">
      <alignment horizontal="center" vertical="center" wrapText="1"/>
    </xf>
    <xf numFmtId="177" fontId="10" fillId="0" borderId="15" xfId="0" applyNumberFormat="1" applyFont="1" applyBorder="1" applyAlignment="1">
      <alignment horizontal="center" vertical="center" wrapText="1"/>
    </xf>
    <xf numFmtId="177" fontId="10" fillId="0" borderId="17" xfId="0" applyNumberFormat="1" applyFont="1" applyBorder="1" applyAlignment="1">
      <alignment horizontal="center" vertical="center" wrapText="1"/>
    </xf>
    <xf numFmtId="177" fontId="10" fillId="0" borderId="18" xfId="0" applyNumberFormat="1" applyFont="1" applyBorder="1" applyAlignment="1">
      <alignment horizontal="center" vertical="center" wrapText="1"/>
    </xf>
    <xf numFmtId="0" fontId="10" fillId="0" borderId="15"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3" fillId="6" borderId="2" xfId="0" applyNumberFormat="1" applyFont="1" applyFill="1" applyBorder="1" applyAlignment="1">
      <alignment horizontal="left" vertical="center"/>
    </xf>
    <xf numFmtId="0" fontId="3" fillId="8" borderId="19" xfId="0" applyFont="1" applyFill="1" applyBorder="1" applyAlignment="1">
      <alignment horizontal="left" vertical="center"/>
    </xf>
    <xf numFmtId="0" fontId="3" fillId="8" borderId="0" xfId="0" applyFont="1" applyFill="1" applyBorder="1" applyAlignment="1">
      <alignment horizontal="left" vertical="center"/>
    </xf>
    <xf numFmtId="0" fontId="3" fillId="10" borderId="23" xfId="0" applyFont="1" applyFill="1" applyBorder="1" applyAlignment="1">
      <alignment horizontal="left" vertical="center"/>
    </xf>
    <xf numFmtId="0" fontId="3" fillId="10" borderId="25" xfId="0" applyFont="1" applyFill="1" applyBorder="1" applyAlignment="1">
      <alignment horizontal="left" vertical="center"/>
    </xf>
    <xf numFmtId="0" fontId="9" fillId="11" borderId="15"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15" xfId="0" applyFont="1" applyFill="1" applyBorder="1" applyAlignment="1">
      <alignment horizontal="justify" vertical="center" wrapText="1"/>
    </xf>
    <xf numFmtId="0" fontId="9" fillId="11" borderId="17" xfId="0" applyFont="1" applyFill="1" applyBorder="1" applyAlignment="1">
      <alignment horizontal="justify" vertical="center" wrapText="1"/>
    </xf>
    <xf numFmtId="0" fontId="9" fillId="11" borderId="18" xfId="0" applyFont="1" applyFill="1" applyBorder="1" applyAlignment="1">
      <alignment horizontal="justify" vertical="center" wrapText="1"/>
    </xf>
    <xf numFmtId="0" fontId="9" fillId="11" borderId="41"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0" borderId="23" xfId="0" applyFont="1" applyBorder="1" applyAlignment="1">
      <alignment horizontal="justify" vertical="center" wrapText="1"/>
    </xf>
    <xf numFmtId="0" fontId="9" fillId="0" borderId="19" xfId="0" applyFont="1" applyBorder="1" applyAlignment="1">
      <alignment horizontal="justify" vertical="center" wrapText="1"/>
    </xf>
    <xf numFmtId="169" fontId="2" fillId="5" borderId="2" xfId="0" applyNumberFormat="1" applyFont="1" applyFill="1" applyBorder="1" applyAlignment="1">
      <alignment horizontal="center" vertical="center" wrapText="1"/>
    </xf>
    <xf numFmtId="1" fontId="2" fillId="5" borderId="2" xfId="0" applyNumberFormat="1" applyFont="1" applyFill="1" applyBorder="1" applyAlignment="1">
      <alignment horizontal="justify" vertical="center" wrapText="1"/>
    </xf>
    <xf numFmtId="1" fontId="2" fillId="5" borderId="7"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textRotation="90" wrapText="1"/>
    </xf>
    <xf numFmtId="168" fontId="5" fillId="4" borderId="2" xfId="5" applyFont="1" applyFill="1" applyBorder="1" applyAlignment="1">
      <alignment horizontal="center" vertical="center"/>
    </xf>
    <xf numFmtId="3" fontId="2" fillId="5"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9" fontId="4" fillId="2" borderId="2" xfId="0" applyNumberFormat="1" applyFont="1" applyFill="1" applyBorder="1" applyAlignment="1">
      <alignment horizontal="center" vertical="center" wrapText="1"/>
    </xf>
    <xf numFmtId="3" fontId="4" fillId="0" borderId="15" xfId="0" applyNumberFormat="1" applyFont="1" applyFill="1" applyBorder="1" applyAlignment="1">
      <alignment horizontal="justify" vertical="center" wrapText="1"/>
    </xf>
    <xf numFmtId="3" fontId="4" fillId="0" borderId="17" xfId="0" applyNumberFormat="1" applyFont="1" applyFill="1" applyBorder="1" applyAlignment="1">
      <alignment horizontal="justify" vertical="center" wrapText="1"/>
    </xf>
    <xf numFmtId="3" fontId="4" fillId="0" borderId="18" xfId="0" applyNumberFormat="1" applyFont="1" applyFill="1" applyBorder="1" applyAlignment="1">
      <alignment horizontal="justify" vertical="center" wrapText="1"/>
    </xf>
    <xf numFmtId="0" fontId="9" fillId="0" borderId="15" xfId="13" applyNumberFormat="1" applyFont="1" applyFill="1" applyBorder="1" applyAlignment="1">
      <alignment horizontal="center" vertical="center" wrapText="1"/>
    </xf>
    <xf numFmtId="0" fontId="9" fillId="0" borderId="17" xfId="13" applyNumberFormat="1" applyFont="1" applyFill="1" applyBorder="1" applyAlignment="1">
      <alignment horizontal="center" vertical="center" wrapText="1"/>
    </xf>
    <xf numFmtId="0" fontId="9" fillId="0" borderId="18" xfId="13" applyNumberFormat="1" applyFont="1" applyFill="1" applyBorder="1" applyAlignment="1">
      <alignment horizontal="center" vertical="center" wrapText="1"/>
    </xf>
    <xf numFmtId="0" fontId="9" fillId="0" borderId="15" xfId="13" applyNumberFormat="1" applyFont="1" applyFill="1" applyBorder="1" applyAlignment="1">
      <alignment horizontal="justify" vertical="center" wrapText="1"/>
    </xf>
    <xf numFmtId="0" fontId="9" fillId="0" borderId="17" xfId="13" applyNumberFormat="1" applyFont="1" applyFill="1" applyBorder="1" applyAlignment="1">
      <alignment horizontal="justify" vertical="center" wrapText="1"/>
    </xf>
    <xf numFmtId="0" fontId="9" fillId="0" borderId="18" xfId="13" applyNumberFormat="1" applyFont="1" applyFill="1" applyBorder="1" applyAlignment="1">
      <alignment horizontal="justify" vertical="center" wrapText="1"/>
    </xf>
    <xf numFmtId="167" fontId="4" fillId="2" borderId="2" xfId="2" applyNumberFormat="1" applyFont="1" applyFill="1" applyBorder="1" applyAlignment="1">
      <alignment horizontal="center" vertical="center" wrapText="1"/>
    </xf>
    <xf numFmtId="3" fontId="4" fillId="0" borderId="2" xfId="0" applyNumberFormat="1" applyFont="1" applyFill="1" applyBorder="1" applyAlignment="1">
      <alignment horizontal="justify" vertical="center" wrapText="1"/>
    </xf>
    <xf numFmtId="3" fontId="4" fillId="2" borderId="2" xfId="0" applyNumberFormat="1" applyFont="1" applyFill="1" applyBorder="1" applyAlignment="1">
      <alignment horizontal="center" vertical="center" wrapText="1"/>
    </xf>
    <xf numFmtId="175" fontId="9" fillId="0" borderId="2" xfId="10" applyNumberFormat="1" applyFont="1" applyFill="1" applyBorder="1" applyAlignment="1">
      <alignment horizontal="center" vertical="center"/>
    </xf>
    <xf numFmtId="0" fontId="3" fillId="8" borderId="2" xfId="0" applyFont="1" applyFill="1" applyBorder="1" applyAlignment="1">
      <alignment horizontal="left" vertical="center"/>
    </xf>
    <xf numFmtId="0" fontId="2" fillId="10" borderId="2"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2" borderId="15" xfId="13" applyNumberFormat="1" applyFont="1" applyFill="1" applyBorder="1" applyAlignment="1">
      <alignment horizontal="center" vertical="center" wrapText="1"/>
    </xf>
    <xf numFmtId="0" fontId="9" fillId="2" borderId="17" xfId="13" applyNumberFormat="1" applyFont="1" applyFill="1" applyBorder="1" applyAlignment="1">
      <alignment horizontal="center" vertical="center" wrapText="1"/>
    </xf>
    <xf numFmtId="0" fontId="9" fillId="2" borderId="18" xfId="13" applyNumberFormat="1" applyFont="1" applyFill="1" applyBorder="1" applyAlignment="1">
      <alignment horizontal="center" vertical="center" wrapText="1"/>
    </xf>
    <xf numFmtId="10" fontId="4" fillId="0" borderId="15" xfId="4" applyNumberFormat="1" applyFont="1" applyFill="1" applyBorder="1" applyAlignment="1">
      <alignment horizontal="center" vertical="center"/>
    </xf>
    <xf numFmtId="10" fontId="4" fillId="0" borderId="17" xfId="4" applyNumberFormat="1" applyFont="1" applyFill="1" applyBorder="1" applyAlignment="1">
      <alignment horizontal="center" vertical="center"/>
    </xf>
    <xf numFmtId="10" fontId="4" fillId="0" borderId="18" xfId="4" applyNumberFormat="1" applyFont="1" applyFill="1" applyBorder="1" applyAlignment="1">
      <alignment horizontal="center" vertical="center"/>
    </xf>
    <xf numFmtId="0" fontId="9" fillId="2" borderId="15" xfId="13" applyNumberFormat="1" applyFont="1" applyFill="1" applyBorder="1" applyAlignment="1">
      <alignment horizontal="justify" vertical="center" wrapText="1"/>
    </xf>
    <xf numFmtId="0" fontId="9" fillId="2" borderId="17" xfId="13" applyNumberFormat="1" applyFont="1" applyFill="1" applyBorder="1" applyAlignment="1">
      <alignment horizontal="justify" vertical="center" wrapText="1"/>
    </xf>
    <xf numFmtId="0" fontId="9" fillId="2" borderId="18" xfId="13" applyNumberFormat="1" applyFont="1" applyFill="1" applyBorder="1" applyAlignment="1">
      <alignment horizontal="justify" vertical="center" wrapText="1"/>
    </xf>
    <xf numFmtId="0" fontId="2" fillId="6" borderId="17" xfId="0" applyFont="1" applyFill="1" applyBorder="1" applyAlignment="1">
      <alignment horizontal="left" vertical="center"/>
    </xf>
    <xf numFmtId="0" fontId="2" fillId="6" borderId="2" xfId="0" applyFont="1" applyFill="1" applyBorder="1" applyAlignment="1">
      <alignment horizontal="left" vertical="center"/>
    </xf>
    <xf numFmtId="167" fontId="4" fillId="0" borderId="2" xfId="2" applyNumberFormat="1" applyFont="1" applyBorder="1" applyAlignment="1">
      <alignment horizontal="center" vertical="center" wrapText="1"/>
    </xf>
    <xf numFmtId="0" fontId="4" fillId="0" borderId="2" xfId="4" applyNumberFormat="1" applyFont="1" applyBorder="1" applyAlignment="1">
      <alignment horizontal="center" vertical="center" wrapText="1"/>
    </xf>
    <xf numFmtId="9" fontId="4" fillId="0" borderId="2" xfId="4" applyFont="1" applyBorder="1" applyAlignment="1">
      <alignment horizontal="center" vertical="center" wrapText="1"/>
    </xf>
    <xf numFmtId="0" fontId="4" fillId="2" borderId="2" xfId="0" applyFont="1" applyFill="1" applyBorder="1" applyAlignment="1">
      <alignment horizontal="justify" vertical="center" wrapText="1"/>
    </xf>
    <xf numFmtId="170" fontId="4" fillId="2" borderId="2" xfId="0" applyNumberFormat="1" applyFont="1" applyFill="1" applyBorder="1" applyAlignment="1">
      <alignment horizontal="center" vertical="center" wrapText="1"/>
    </xf>
    <xf numFmtId="0" fontId="9" fillId="0" borderId="2" xfId="13" applyNumberFormat="1" applyFont="1" applyFill="1" applyBorder="1" applyAlignment="1">
      <alignment horizontal="justify" vertical="center" wrapText="1"/>
    </xf>
    <xf numFmtId="0" fontId="9" fillId="0" borderId="2" xfId="13" applyNumberFormat="1" applyFont="1" applyFill="1" applyBorder="1" applyAlignment="1">
      <alignment horizontal="center" vertical="center" wrapText="1"/>
    </xf>
    <xf numFmtId="169" fontId="4" fillId="0" borderId="15"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69" fontId="4" fillId="0" borderId="18" xfId="0" applyNumberFormat="1" applyFont="1" applyFill="1" applyBorder="1" applyAlignment="1">
      <alignment horizontal="center" vertical="center" wrapText="1"/>
    </xf>
    <xf numFmtId="169" fontId="4" fillId="2" borderId="15" xfId="0" applyNumberFormat="1" applyFont="1" applyFill="1" applyBorder="1" applyAlignment="1">
      <alignment horizontal="center" vertical="center" wrapText="1"/>
    </xf>
    <xf numFmtId="169" fontId="4" fillId="2" borderId="17" xfId="0" applyNumberFormat="1" applyFont="1" applyFill="1" applyBorder="1" applyAlignment="1">
      <alignment horizontal="center" vertical="center" wrapText="1"/>
    </xf>
    <xf numFmtId="169" fontId="4" fillId="2" borderId="18"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167" fontId="4" fillId="0" borderId="15" xfId="2" applyNumberFormat="1" applyFont="1" applyBorder="1" applyAlignment="1">
      <alignment horizontal="center" vertical="center" wrapText="1"/>
    </xf>
    <xf numFmtId="167" fontId="4" fillId="0" borderId="17" xfId="2" applyNumberFormat="1" applyFont="1" applyBorder="1" applyAlignment="1">
      <alignment horizontal="center" vertical="center" wrapText="1"/>
    </xf>
    <xf numFmtId="167" fontId="4" fillId="0" borderId="18" xfId="2" applyNumberFormat="1" applyFont="1" applyBorder="1" applyAlignment="1">
      <alignment horizontal="center" vertical="center" wrapText="1"/>
    </xf>
    <xf numFmtId="9" fontId="4" fillId="0" borderId="15" xfId="4" applyFont="1" applyBorder="1" applyAlignment="1">
      <alignment horizontal="center" vertical="center" wrapText="1"/>
    </xf>
    <xf numFmtId="9" fontId="4" fillId="0" borderId="17" xfId="4" applyFont="1" applyBorder="1" applyAlignment="1">
      <alignment horizontal="center" vertical="center" wrapText="1"/>
    </xf>
    <xf numFmtId="9" fontId="4" fillId="0" borderId="18" xfId="4" applyFont="1" applyBorder="1" applyAlignment="1">
      <alignment horizontal="center"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5"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1" fontId="4" fillId="2" borderId="42" xfId="0" applyNumberFormat="1" applyFont="1" applyFill="1" applyBorder="1" applyAlignment="1">
      <alignment horizontal="center" vertical="center" wrapText="1"/>
    </xf>
    <xf numFmtId="1" fontId="4" fillId="2" borderId="43" xfId="0" applyNumberFormat="1" applyFont="1" applyFill="1" applyBorder="1" applyAlignment="1">
      <alignment horizontal="center" vertical="center" wrapText="1"/>
    </xf>
    <xf numFmtId="1" fontId="4" fillId="2" borderId="45" xfId="0" applyNumberFormat="1" applyFont="1" applyFill="1" applyBorder="1" applyAlignment="1">
      <alignment horizontal="center" vertical="center" wrapText="1"/>
    </xf>
    <xf numFmtId="9" fontId="4" fillId="2" borderId="17" xfId="4" applyFont="1" applyFill="1" applyBorder="1" applyAlignment="1">
      <alignment horizontal="center" vertical="center" wrapText="1"/>
    </xf>
    <xf numFmtId="9" fontId="4" fillId="2" borderId="18" xfId="4" applyFont="1" applyFill="1" applyBorder="1" applyAlignment="1">
      <alignment horizontal="center" vertical="center" wrapText="1"/>
    </xf>
    <xf numFmtId="170" fontId="4" fillId="2" borderId="15" xfId="0" applyNumberFormat="1" applyFont="1" applyFill="1" applyBorder="1" applyAlignment="1">
      <alignment horizontal="center" vertical="center" wrapText="1"/>
    </xf>
    <xf numFmtId="170" fontId="4" fillId="2" borderId="17" xfId="0" applyNumberFormat="1" applyFont="1" applyFill="1" applyBorder="1" applyAlignment="1">
      <alignment horizontal="center" vertical="center" wrapText="1"/>
    </xf>
    <xf numFmtId="170" fontId="4" fillId="2" borderId="18" xfId="0" applyNumberFormat="1" applyFont="1" applyFill="1" applyBorder="1" applyAlignment="1">
      <alignment horizontal="center" vertical="center" wrapText="1"/>
    </xf>
    <xf numFmtId="0" fontId="9" fillId="2" borderId="15" xfId="0" applyNumberFormat="1" applyFont="1" applyFill="1" applyBorder="1" applyAlignment="1">
      <alignment horizontal="justify" vertical="center" wrapText="1"/>
    </xf>
    <xf numFmtId="0" fontId="9" fillId="2" borderId="17" xfId="0" applyNumberFormat="1" applyFont="1" applyFill="1" applyBorder="1" applyAlignment="1">
      <alignment horizontal="justify" vertical="center" wrapText="1"/>
    </xf>
    <xf numFmtId="0" fontId="9" fillId="2" borderId="18" xfId="0" applyNumberFormat="1" applyFont="1" applyFill="1" applyBorder="1" applyAlignment="1">
      <alignment horizontal="justify" vertical="center" wrapText="1"/>
    </xf>
    <xf numFmtId="0" fontId="4" fillId="0" borderId="6" xfId="0" applyFont="1" applyBorder="1" applyAlignment="1">
      <alignment horizontal="center" vertical="center" wrapText="1"/>
    </xf>
    <xf numFmtId="0" fontId="2" fillId="0" borderId="1"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3" fontId="4" fillId="0" borderId="15" xfId="0" applyNumberFormat="1" applyFont="1" applyBorder="1" applyAlignment="1">
      <alignment horizontal="justify" vertical="center" wrapText="1"/>
    </xf>
    <xf numFmtId="3" fontId="4" fillId="0" borderId="18" xfId="0" applyNumberFormat="1" applyFont="1" applyBorder="1" applyAlignment="1">
      <alignment horizontal="justify" vertical="center" wrapText="1"/>
    </xf>
    <xf numFmtId="0" fontId="3" fillId="6" borderId="17" xfId="0" applyFont="1" applyFill="1" applyBorder="1" applyAlignment="1">
      <alignment horizontal="left" vertical="center"/>
    </xf>
    <xf numFmtId="0" fontId="3" fillId="6" borderId="2" xfId="0" applyFont="1" applyFill="1" applyBorder="1" applyAlignment="1">
      <alignment horizontal="left" vertical="center"/>
    </xf>
    <xf numFmtId="180" fontId="4" fillId="2" borderId="2" xfId="0" applyNumberFormat="1" applyFont="1" applyFill="1" applyBorder="1" applyAlignment="1">
      <alignment horizontal="center" vertical="center" wrapText="1"/>
    </xf>
    <xf numFmtId="0" fontId="9" fillId="0" borderId="2" xfId="7" applyFont="1" applyBorder="1" applyAlignment="1">
      <alignment horizontal="center" vertical="center" wrapText="1"/>
    </xf>
    <xf numFmtId="0" fontId="9" fillId="0" borderId="2" xfId="14" applyNumberFormat="1" applyFont="1" applyBorder="1" applyAlignment="1">
      <alignment horizontal="center" vertical="center" wrapText="1"/>
    </xf>
    <xf numFmtId="181" fontId="9" fillId="0" borderId="15" xfId="0" applyNumberFormat="1" applyFont="1" applyFill="1" applyBorder="1" applyAlignment="1">
      <alignment horizontal="justify" vertical="center" wrapText="1"/>
    </xf>
    <xf numFmtId="181" fontId="9" fillId="0" borderId="18" xfId="0" applyNumberFormat="1" applyFont="1" applyFill="1" applyBorder="1" applyAlignment="1">
      <alignment horizontal="justify" vertical="center" wrapText="1"/>
    </xf>
    <xf numFmtId="181" fontId="9" fillId="0" borderId="2" xfId="0" applyNumberFormat="1" applyFont="1" applyFill="1" applyBorder="1" applyAlignment="1">
      <alignment horizontal="justify" vertical="center" wrapText="1"/>
    </xf>
    <xf numFmtId="1" fontId="4" fillId="0" borderId="2" xfId="0" applyNumberFormat="1"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9" fillId="2" borderId="15" xfId="14" applyNumberFormat="1" applyFont="1" applyFill="1" applyBorder="1" applyAlignment="1">
      <alignment horizontal="center" vertical="center" wrapText="1"/>
    </xf>
    <xf numFmtId="0" fontId="9" fillId="2" borderId="17" xfId="14" applyNumberFormat="1" applyFont="1" applyFill="1" applyBorder="1" applyAlignment="1">
      <alignment horizontal="center" vertical="center" wrapText="1"/>
    </xf>
    <xf numFmtId="0" fontId="9" fillId="2" borderId="18" xfId="14" applyNumberFormat="1" applyFont="1" applyFill="1" applyBorder="1" applyAlignment="1">
      <alignment horizontal="center" vertical="center" wrapText="1"/>
    </xf>
    <xf numFmtId="1" fontId="4" fillId="2" borderId="15" xfId="0" applyNumberFormat="1" applyFont="1" applyFill="1" applyBorder="1" applyAlignment="1">
      <alignment horizontal="justify" vertical="center" wrapText="1"/>
    </xf>
    <xf numFmtId="1" fontId="4" fillId="2" borderId="17" xfId="0" applyNumberFormat="1" applyFont="1" applyFill="1" applyBorder="1" applyAlignment="1">
      <alignment horizontal="justify" vertical="center" wrapText="1"/>
    </xf>
    <xf numFmtId="1" fontId="4" fillId="2" borderId="18" xfId="0" applyNumberFormat="1" applyFont="1" applyFill="1" applyBorder="1" applyAlignment="1">
      <alignment horizontal="justify" vertical="center" wrapText="1"/>
    </xf>
    <xf numFmtId="1" fontId="4" fillId="2" borderId="15"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180" fontId="4" fillId="2" borderId="15" xfId="0" applyNumberFormat="1" applyFont="1" applyFill="1" applyBorder="1" applyAlignment="1">
      <alignment horizontal="center" vertical="center" wrapText="1"/>
    </xf>
    <xf numFmtId="180" fontId="4" fillId="2" borderId="17" xfId="0" applyNumberFormat="1" applyFont="1" applyFill="1" applyBorder="1" applyAlignment="1">
      <alignment horizontal="center" vertical="center" wrapText="1"/>
    </xf>
    <xf numFmtId="180" fontId="4" fillId="2" borderId="18" xfId="0" applyNumberFormat="1" applyFont="1" applyFill="1" applyBorder="1" applyAlignment="1">
      <alignment horizontal="center" vertical="center" wrapText="1"/>
    </xf>
    <xf numFmtId="181" fontId="9" fillId="0" borderId="17" xfId="0" applyNumberFormat="1" applyFont="1" applyFill="1" applyBorder="1" applyAlignment="1">
      <alignment horizontal="justify" vertical="center" wrapText="1"/>
    </xf>
    <xf numFmtId="181" fontId="9" fillId="2" borderId="18" xfId="0" applyNumberFormat="1" applyFont="1" applyFill="1" applyBorder="1" applyAlignment="1">
      <alignment horizontal="justify" vertical="center" wrapText="1"/>
    </xf>
    <xf numFmtId="181" fontId="9" fillId="2" borderId="15" xfId="0" applyNumberFormat="1" applyFont="1" applyFill="1" applyBorder="1" applyAlignment="1">
      <alignment horizontal="justify" vertical="center" wrapText="1"/>
    </xf>
    <xf numFmtId="0" fontId="2" fillId="6" borderId="15" xfId="0" applyFont="1" applyFill="1" applyBorder="1" applyAlignment="1">
      <alignment horizontal="left" vertical="center"/>
    </xf>
    <xf numFmtId="0" fontId="9" fillId="2" borderId="17" xfId="0"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4" fillId="2" borderId="13"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4" fillId="0" borderId="2" xfId="7" applyFont="1" applyBorder="1" applyAlignment="1">
      <alignment horizontal="justify" vertical="center" wrapText="1"/>
    </xf>
    <xf numFmtId="49" fontId="4" fillId="2" borderId="15"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3" fontId="4" fillId="2" borderId="15" xfId="0" applyNumberFormat="1" applyFont="1" applyFill="1" applyBorder="1" applyAlignment="1">
      <alignment horizontal="justify" vertical="center" wrapText="1"/>
    </xf>
    <xf numFmtId="3" fontId="4" fillId="2" borderId="17" xfId="0" applyNumberFormat="1" applyFont="1" applyFill="1" applyBorder="1" applyAlignment="1">
      <alignment horizontal="justify" vertical="center" wrapText="1"/>
    </xf>
    <xf numFmtId="3" fontId="4" fillId="2" borderId="18" xfId="0" applyNumberFormat="1" applyFont="1" applyFill="1" applyBorder="1" applyAlignment="1">
      <alignment horizontal="justify" vertical="center" wrapText="1"/>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3" fillId="8" borderId="9" xfId="0" applyFont="1" applyFill="1" applyBorder="1" applyAlignment="1">
      <alignment horizontal="left" vertical="center"/>
    </xf>
    <xf numFmtId="0" fontId="9" fillId="2" borderId="15" xfId="0" applyNumberFormat="1" applyFont="1" applyFill="1" applyBorder="1" applyAlignment="1">
      <alignment horizontal="center" vertical="center" wrapText="1"/>
    </xf>
    <xf numFmtId="0" fontId="9" fillId="2" borderId="17"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15" xfId="0" applyNumberFormat="1" applyFont="1" applyFill="1" applyBorder="1" applyAlignment="1" applyProtection="1">
      <alignment horizontal="center"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3" fontId="4" fillId="0" borderId="17" xfId="0" applyNumberFormat="1" applyFont="1" applyBorder="1" applyAlignment="1">
      <alignment horizontal="justify" vertical="center" wrapText="1"/>
    </xf>
    <xf numFmtId="169" fontId="4" fillId="0" borderId="15" xfId="0" applyNumberFormat="1" applyFont="1" applyFill="1" applyBorder="1" applyAlignment="1">
      <alignment horizontal="justify" vertical="center" wrapText="1"/>
    </xf>
    <xf numFmtId="169" fontId="4" fillId="0" borderId="17" xfId="0" applyNumberFormat="1" applyFont="1" applyFill="1" applyBorder="1" applyAlignment="1">
      <alignment horizontal="justify" vertical="center" wrapText="1"/>
    </xf>
    <xf numFmtId="169" fontId="4" fillId="0" borderId="18" xfId="0" applyNumberFormat="1" applyFont="1" applyFill="1" applyBorder="1" applyAlignment="1">
      <alignment horizontal="justify" vertical="center" wrapText="1"/>
    </xf>
    <xf numFmtId="0" fontId="9" fillId="2" borderId="17" xfId="0" applyFont="1" applyFill="1" applyBorder="1" applyAlignment="1">
      <alignment horizontal="justify" vertical="center" wrapText="1"/>
    </xf>
    <xf numFmtId="49" fontId="4" fillId="0" borderId="2" xfId="0" applyNumberFormat="1" applyFont="1" applyBorder="1" applyAlignment="1">
      <alignment horizontal="center" vertical="center" wrapText="1"/>
    </xf>
    <xf numFmtId="0" fontId="4" fillId="2" borderId="15" xfId="7" applyFont="1" applyFill="1" applyBorder="1" applyAlignment="1">
      <alignment horizontal="justify" vertical="center" wrapText="1"/>
    </xf>
    <xf numFmtId="0" fontId="4" fillId="2" borderId="18" xfId="7" applyFont="1" applyFill="1" applyBorder="1" applyAlignment="1">
      <alignment horizontal="justify" vertical="center" wrapText="1"/>
    </xf>
    <xf numFmtId="49" fontId="4"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justify" vertical="center" wrapText="1"/>
    </xf>
    <xf numFmtId="0" fontId="9" fillId="0" borderId="2" xfId="15" applyFont="1" applyFill="1" applyBorder="1" applyAlignment="1">
      <alignment horizontal="justify" vertical="center" wrapText="1"/>
    </xf>
    <xf numFmtId="3" fontId="4" fillId="2" borderId="2" xfId="0" applyNumberFormat="1" applyFont="1" applyFill="1" applyBorder="1" applyAlignment="1">
      <alignment horizontal="justify" vertical="center" wrapText="1"/>
    </xf>
    <xf numFmtId="0" fontId="4" fillId="0" borderId="15" xfId="7" applyFont="1" applyFill="1" applyBorder="1" applyAlignment="1">
      <alignment horizontal="justify" vertical="center" wrapText="1"/>
    </xf>
    <xf numFmtId="0" fontId="4" fillId="0" borderId="18" xfId="7" applyFont="1" applyFill="1" applyBorder="1" applyAlignment="1">
      <alignment horizontal="justify" vertical="center" wrapText="1"/>
    </xf>
    <xf numFmtId="0" fontId="9" fillId="0" borderId="2" xfId="0" applyNumberFormat="1" applyFont="1" applyFill="1" applyBorder="1" applyAlignment="1">
      <alignment horizontal="center" vertical="center" wrapText="1"/>
    </xf>
    <xf numFmtId="3" fontId="4" fillId="0" borderId="2" xfId="0" applyNumberFormat="1" applyFont="1" applyBorder="1" applyAlignment="1">
      <alignment horizontal="justify" vertical="center"/>
    </xf>
    <xf numFmtId="3" fontId="4" fillId="0" borderId="15"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2" borderId="15"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3" fontId="4" fillId="2" borderId="18" xfId="0" applyNumberFormat="1" applyFont="1" applyFill="1" applyBorder="1" applyAlignment="1">
      <alignment horizontal="center" vertical="center"/>
    </xf>
    <xf numFmtId="167" fontId="4" fillId="0" borderId="15" xfId="2" applyNumberFormat="1" applyFont="1" applyBorder="1" applyAlignment="1">
      <alignment horizontal="center" vertical="center"/>
    </xf>
    <xf numFmtId="167" fontId="4" fillId="0" borderId="17" xfId="2" applyNumberFormat="1" applyFont="1" applyBorder="1" applyAlignment="1">
      <alignment horizontal="center" vertical="center"/>
    </xf>
    <xf numFmtId="167" fontId="4" fillId="0" borderId="18" xfId="2" applyNumberFormat="1" applyFont="1" applyBorder="1" applyAlignment="1">
      <alignment horizontal="center" vertical="center"/>
    </xf>
    <xf numFmtId="0" fontId="9" fillId="0" borderId="2" xfId="0" applyNumberFormat="1" applyFont="1" applyFill="1" applyBorder="1" applyAlignment="1">
      <alignment horizontal="justify" vertical="center" wrapText="1"/>
    </xf>
    <xf numFmtId="3" fontId="4" fillId="0" borderId="2" xfId="0" applyNumberFormat="1" applyFont="1" applyBorder="1" applyAlignment="1">
      <alignment horizontal="center" vertical="center"/>
    </xf>
    <xf numFmtId="167" fontId="9" fillId="0" borderId="2" xfId="14" applyFont="1" applyFill="1" applyBorder="1" applyAlignment="1">
      <alignment horizontal="center" vertical="center" wrapText="1"/>
    </xf>
    <xf numFmtId="0" fontId="9" fillId="0" borderId="2" xfId="15"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2" xfId="0" applyNumberFormat="1" applyFont="1" applyBorder="1" applyAlignment="1">
      <alignment horizontal="justify" vertical="center" wrapText="1"/>
    </xf>
    <xf numFmtId="0" fontId="9" fillId="0" borderId="15" xfId="0" applyNumberFormat="1" applyFont="1" applyBorder="1" applyAlignment="1">
      <alignment horizontal="justify" vertical="center" wrapText="1"/>
    </xf>
    <xf numFmtId="0" fontId="9" fillId="0" borderId="17" xfId="0" applyNumberFormat="1" applyFont="1" applyBorder="1" applyAlignment="1">
      <alignment horizontal="justify" vertical="center" wrapText="1"/>
    </xf>
    <xf numFmtId="0" fontId="9" fillId="0" borderId="18" xfId="0" applyNumberFormat="1" applyFont="1" applyBorder="1" applyAlignment="1">
      <alignment horizontal="justify" vertical="center" wrapText="1"/>
    </xf>
    <xf numFmtId="0" fontId="6" fillId="5" borderId="2" xfId="0" applyFont="1" applyFill="1" applyBorder="1" applyAlignment="1">
      <alignment horizontal="center" vertical="center" wrapText="1"/>
    </xf>
    <xf numFmtId="0" fontId="2" fillId="8" borderId="19" xfId="0" applyFont="1" applyFill="1" applyBorder="1" applyAlignment="1">
      <alignment horizontal="left" vertical="center"/>
    </xf>
    <xf numFmtId="0" fontId="2" fillId="8" borderId="0"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25" xfId="0" applyFont="1" applyFill="1" applyBorder="1" applyAlignment="1">
      <alignment horizontal="left" vertical="center"/>
    </xf>
    <xf numFmtId="1" fontId="2" fillId="0" borderId="5"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6" fillId="4" borderId="2" xfId="4" applyFont="1" applyFill="1" applyBorder="1" applyAlignment="1">
      <alignment horizontal="center" vertical="center" wrapText="1"/>
    </xf>
    <xf numFmtId="0" fontId="6" fillId="4" borderId="15" xfId="0" applyFont="1" applyFill="1" applyBorder="1" applyAlignment="1">
      <alignment horizontal="justify" vertical="center" wrapText="1"/>
    </xf>
    <xf numFmtId="0" fontId="6" fillId="4" borderId="18" xfId="0" applyFont="1" applyFill="1" applyBorder="1" applyAlignment="1">
      <alignment horizontal="justify" vertical="center" wrapText="1"/>
    </xf>
    <xf numFmtId="1" fontId="2" fillId="5" borderId="13" xfId="0" applyNumberFormat="1" applyFont="1" applyFill="1" applyBorder="1" applyAlignment="1">
      <alignment horizontal="center" vertical="center" wrapText="1"/>
    </xf>
    <xf numFmtId="1" fontId="2" fillId="5" borderId="16" xfId="0" applyNumberFormat="1" applyFont="1" applyFill="1" applyBorder="1" applyAlignment="1">
      <alignment horizontal="center" vertical="center" wrapText="1"/>
    </xf>
    <xf numFmtId="0" fontId="2" fillId="15" borderId="2" xfId="0" applyFont="1" applyFill="1" applyBorder="1" applyAlignment="1">
      <alignment horizontal="center" vertical="center"/>
    </xf>
    <xf numFmtId="3" fontId="2" fillId="5" borderId="15" xfId="0" applyNumberFormat="1" applyFont="1" applyFill="1" applyBorder="1" applyAlignment="1">
      <alignment horizontal="justify" vertical="center" wrapText="1"/>
    </xf>
    <xf numFmtId="3" fontId="2" fillId="5" borderId="17" xfId="0" applyNumberFormat="1" applyFont="1" applyFill="1" applyBorder="1" applyAlignment="1">
      <alignment horizontal="justify" vertical="center" wrapText="1"/>
    </xf>
    <xf numFmtId="3" fontId="2" fillId="5" borderId="18" xfId="0" applyNumberFormat="1" applyFont="1" applyFill="1" applyBorder="1" applyAlignment="1">
      <alignment horizontal="justify"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 fontId="3" fillId="3" borderId="5" xfId="7" applyNumberFormat="1" applyFont="1" applyFill="1" applyBorder="1" applyAlignment="1">
      <alignment horizontal="center" vertical="center" wrapText="1"/>
    </xf>
    <xf numFmtId="1" fontId="3" fillId="3" borderId="14" xfId="7" applyNumberFormat="1" applyFont="1" applyFill="1" applyBorder="1" applyAlignment="1">
      <alignment horizontal="center" vertical="center" wrapText="1"/>
    </xf>
    <xf numFmtId="1" fontId="3" fillId="3" borderId="13" xfId="7"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0" fontId="3" fillId="15" borderId="7" xfId="7" applyFont="1" applyFill="1" applyBorder="1" applyAlignment="1">
      <alignment horizontal="center" vertical="center"/>
    </xf>
    <xf numFmtId="0" fontId="3" fillId="15" borderId="8" xfId="7" applyFont="1" applyFill="1" applyBorder="1" applyAlignment="1">
      <alignment horizontal="center" vertical="center"/>
    </xf>
    <xf numFmtId="0" fontId="3" fillId="15" borderId="9" xfId="7" applyFont="1" applyFill="1" applyBorder="1" applyAlignment="1">
      <alignment horizontal="center" vertical="center"/>
    </xf>
    <xf numFmtId="0" fontId="3" fillId="3" borderId="7" xfId="7" applyFont="1" applyFill="1" applyBorder="1" applyAlignment="1">
      <alignment horizontal="center" vertical="center" wrapText="1"/>
    </xf>
    <xf numFmtId="0" fontId="3" fillId="3" borderId="8" xfId="7" applyFont="1" applyFill="1" applyBorder="1" applyAlignment="1">
      <alignment horizontal="center" vertical="center" wrapText="1"/>
    </xf>
    <xf numFmtId="0" fontId="3" fillId="3" borderId="9" xfId="7" applyFont="1" applyFill="1" applyBorder="1" applyAlignment="1">
      <alignment horizontal="center" vertical="center" wrapText="1"/>
    </xf>
    <xf numFmtId="169" fontId="3" fillId="5" borderId="13" xfId="0" applyNumberFormat="1" applyFont="1" applyFill="1" applyBorder="1" applyAlignment="1">
      <alignment horizontal="center" vertical="center" wrapText="1"/>
    </xf>
    <xf numFmtId="169" fontId="3" fillId="5" borderId="14" xfId="0" applyNumberFormat="1" applyFont="1" applyFill="1" applyBorder="1" applyAlignment="1">
      <alignment horizontal="center" vertical="center" wrapText="1"/>
    </xf>
    <xf numFmtId="169" fontId="3" fillId="5" borderId="16" xfId="0" applyNumberFormat="1" applyFont="1" applyFill="1" applyBorder="1" applyAlignment="1">
      <alignment horizontal="center" vertical="center" wrapText="1"/>
    </xf>
    <xf numFmtId="169" fontId="3" fillId="5" borderId="4" xfId="0" applyNumberFormat="1" applyFont="1" applyFill="1" applyBorder="1" applyAlignment="1">
      <alignment horizontal="center" vertical="center" wrapText="1"/>
    </xf>
    <xf numFmtId="3" fontId="3" fillId="5" borderId="2" xfId="7" applyNumberFormat="1" applyFont="1" applyFill="1" applyBorder="1" applyAlignment="1">
      <alignment horizontal="center" vertical="center" wrapText="1"/>
    </xf>
    <xf numFmtId="1" fontId="3" fillId="5" borderId="2" xfId="7" applyNumberFormat="1" applyFont="1" applyFill="1" applyBorder="1" applyAlignment="1">
      <alignment horizontal="center" vertical="center" wrapText="1"/>
    </xf>
    <xf numFmtId="0" fontId="3" fillId="5" borderId="2" xfId="7" applyFont="1" applyFill="1" applyBorder="1" applyAlignment="1">
      <alignment horizontal="center" vertical="center" wrapText="1"/>
    </xf>
    <xf numFmtId="3" fontId="3" fillId="3" borderId="7" xfId="7" applyNumberFormat="1" applyFont="1" applyFill="1" applyBorder="1" applyAlignment="1">
      <alignment horizontal="center" vertical="center" wrapText="1"/>
    </xf>
    <xf numFmtId="3" fontId="3" fillId="3" borderId="8" xfId="7" applyNumberFormat="1" applyFont="1" applyFill="1" applyBorder="1" applyAlignment="1">
      <alignment horizontal="center" vertical="center" wrapText="1"/>
    </xf>
    <xf numFmtId="3" fontId="3" fillId="3" borderId="9" xfId="7" applyNumberFormat="1" applyFont="1" applyFill="1" applyBorder="1" applyAlignment="1">
      <alignment horizontal="center" vertical="center" wrapText="1"/>
    </xf>
    <xf numFmtId="0" fontId="3" fillId="3" borderId="7" xfId="7" applyFont="1" applyFill="1" applyBorder="1" applyAlignment="1">
      <alignment horizontal="center" vertical="center"/>
    </xf>
    <xf numFmtId="0" fontId="3" fillId="3" borderId="8" xfId="7" applyFont="1" applyFill="1" applyBorder="1" applyAlignment="1">
      <alignment horizontal="center" vertical="center"/>
    </xf>
    <xf numFmtId="0" fontId="3" fillId="3" borderId="9" xfId="7" applyFont="1" applyFill="1" applyBorder="1" applyAlignment="1">
      <alignment horizontal="center" vertical="center"/>
    </xf>
    <xf numFmtId="0" fontId="3" fillId="3" borderId="13" xfId="7" applyFont="1" applyFill="1" applyBorder="1" applyAlignment="1">
      <alignment horizontal="center" vertical="center" textRotation="90" wrapText="1"/>
    </xf>
    <xf numFmtId="0" fontId="3" fillId="3" borderId="14" xfId="7" applyFont="1" applyFill="1" applyBorder="1" applyAlignment="1">
      <alignment horizontal="center" vertical="center" textRotation="90" wrapText="1"/>
    </xf>
    <xf numFmtId="0" fontId="3" fillId="3" borderId="16" xfId="7" applyFont="1" applyFill="1" applyBorder="1" applyAlignment="1">
      <alignment horizontal="center" vertical="center" textRotation="90" wrapText="1"/>
    </xf>
    <xf numFmtId="0" fontId="3" fillId="3" borderId="4" xfId="7" applyFont="1" applyFill="1" applyBorder="1" applyAlignment="1">
      <alignment horizontal="center" vertical="center" textRotation="90" wrapText="1"/>
    </xf>
    <xf numFmtId="0" fontId="3" fillId="5" borderId="7" xfId="7" applyFont="1" applyFill="1" applyBorder="1" applyAlignment="1">
      <alignment horizontal="center" vertical="center" textRotation="90" wrapText="1"/>
    </xf>
    <xf numFmtId="0" fontId="3" fillId="5" borderId="9" xfId="7" applyFont="1" applyFill="1" applyBorder="1" applyAlignment="1">
      <alignment horizontal="center" vertical="center" textRotation="90" wrapText="1"/>
    </xf>
    <xf numFmtId="49" fontId="3" fillId="5" borderId="7" xfId="7" applyNumberFormat="1" applyFont="1" applyFill="1" applyBorder="1" applyAlignment="1">
      <alignment horizontal="center" vertical="center" textRotation="90" wrapText="1"/>
    </xf>
    <xf numFmtId="49" fontId="3" fillId="5" borderId="9" xfId="7" applyNumberFormat="1" applyFont="1" applyFill="1" applyBorder="1" applyAlignment="1">
      <alignment horizontal="center" vertical="center" textRotation="90" wrapText="1"/>
    </xf>
    <xf numFmtId="43" fontId="3" fillId="5" borderId="2" xfId="7" applyNumberFormat="1" applyFont="1" applyFill="1" applyBorder="1" applyAlignment="1">
      <alignment horizontal="center" vertical="center" wrapText="1"/>
    </xf>
    <xf numFmtId="175" fontId="3" fillId="5" borderId="7" xfId="7" applyNumberFormat="1" applyFont="1" applyFill="1" applyBorder="1" applyAlignment="1">
      <alignment horizontal="center" vertical="center" wrapText="1"/>
    </xf>
    <xf numFmtId="175" fontId="3" fillId="5" borderId="8" xfId="7" applyNumberFormat="1" applyFont="1" applyFill="1" applyBorder="1" applyAlignment="1">
      <alignment horizontal="center" vertical="center" wrapText="1"/>
    </xf>
    <xf numFmtId="175" fontId="3" fillId="5" borderId="9" xfId="7"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8" xfId="7" applyFont="1" applyFill="1" applyBorder="1" applyAlignment="1">
      <alignment horizontal="center" vertical="center" wrapText="1"/>
    </xf>
    <xf numFmtId="171" fontId="3" fillId="5" borderId="2" xfId="7" applyNumberFormat="1" applyFont="1" applyFill="1" applyBorder="1" applyAlignment="1">
      <alignment horizontal="center" vertical="center" wrapText="1"/>
    </xf>
    <xf numFmtId="0" fontId="9" fillId="0" borderId="36" xfId="7" applyNumberFormat="1" applyFont="1" applyBorder="1" applyAlignment="1">
      <alignment horizontal="center" vertical="center"/>
    </xf>
    <xf numFmtId="0" fontId="9" fillId="0" borderId="38" xfId="7" applyNumberFormat="1" applyFont="1" applyBorder="1" applyAlignment="1">
      <alignment horizontal="center" vertical="center"/>
    </xf>
    <xf numFmtId="0" fontId="9" fillId="2" borderId="1" xfId="7" applyNumberFormat="1" applyFont="1" applyFill="1" applyBorder="1" applyAlignment="1">
      <alignment horizontal="justify" vertical="center" wrapText="1"/>
    </xf>
    <xf numFmtId="0" fontId="9" fillId="2" borderId="47" xfId="7" applyNumberFormat="1" applyFont="1" applyFill="1" applyBorder="1" applyAlignment="1">
      <alignment horizontal="justify" vertical="center" wrapText="1"/>
    </xf>
    <xf numFmtId="0" fontId="9" fillId="2" borderId="17" xfId="7" applyNumberFormat="1" applyFont="1" applyFill="1" applyBorder="1" applyAlignment="1">
      <alignment horizontal="center" vertical="center" wrapText="1"/>
    </xf>
    <xf numFmtId="0" fontId="9" fillId="2" borderId="48" xfId="7" applyNumberFormat="1" applyFont="1" applyFill="1" applyBorder="1" applyAlignment="1">
      <alignment horizontal="center" vertical="center" wrapText="1"/>
    </xf>
    <xf numFmtId="0" fontId="9" fillId="2" borderId="17" xfId="7" applyFont="1" applyFill="1" applyBorder="1" applyAlignment="1">
      <alignment horizontal="justify" vertical="center" wrapText="1"/>
    </xf>
    <xf numFmtId="0" fontId="9" fillId="2" borderId="48" xfId="7"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6" borderId="19" xfId="7" applyFont="1" applyFill="1" applyBorder="1" applyAlignment="1">
      <alignment horizontal="left" vertical="center"/>
    </xf>
    <xf numFmtId="0" fontId="3" fillId="6" borderId="0" xfId="7" applyFont="1" applyFill="1" applyBorder="1" applyAlignment="1">
      <alignment horizontal="left" vertical="center"/>
    </xf>
    <xf numFmtId="0" fontId="3" fillId="8" borderId="71" xfId="0" applyFont="1" applyFill="1" applyBorder="1" applyAlignment="1">
      <alignment horizontal="left" vertical="center"/>
    </xf>
    <xf numFmtId="0" fontId="3" fillId="8" borderId="72"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10" borderId="54" xfId="0" applyFont="1" applyFill="1" applyBorder="1" applyAlignment="1">
      <alignment horizontal="left" vertical="center"/>
    </xf>
    <xf numFmtId="0" fontId="3" fillId="10" borderId="50" xfId="0" applyFont="1" applyFill="1" applyBorder="1" applyAlignment="1">
      <alignment horizontal="left" vertical="center"/>
    </xf>
    <xf numFmtId="0" fontId="9" fillId="2" borderId="0" xfId="7" applyFont="1" applyFill="1" applyBorder="1" applyAlignment="1">
      <alignment horizontal="center" vertical="center" wrapText="1"/>
    </xf>
    <xf numFmtId="0" fontId="9" fillId="2" borderId="20" xfId="7"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175" fontId="3" fillId="5" borderId="15" xfId="20" applyNumberFormat="1" applyFont="1" applyFill="1" applyBorder="1" applyAlignment="1">
      <alignment horizontal="center" vertical="center" wrapText="1"/>
    </xf>
    <xf numFmtId="175" fontId="3" fillId="5" borderId="18" xfId="20" applyNumberFormat="1" applyFont="1" applyFill="1" applyBorder="1" applyAlignment="1">
      <alignment horizontal="center" vertical="center" wrapText="1"/>
    </xf>
    <xf numFmtId="10" fontId="3" fillId="4" borderId="17" xfId="6" applyNumberFormat="1" applyFont="1" applyFill="1" applyBorder="1" applyAlignment="1">
      <alignment horizontal="center" vertical="center" wrapText="1"/>
    </xf>
    <xf numFmtId="10" fontId="3" fillId="4" borderId="18" xfId="6"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1" fontId="9" fillId="0" borderId="14" xfId="20" applyNumberFormat="1" applyFont="1" applyFill="1" applyBorder="1" applyAlignment="1">
      <alignment horizontal="center" vertical="center" wrapText="1"/>
    </xf>
    <xf numFmtId="1" fontId="9" fillId="0" borderId="1" xfId="20" applyNumberFormat="1" applyFont="1" applyFill="1" applyBorder="1" applyAlignment="1">
      <alignment horizontal="center" vertical="center" wrapText="1"/>
    </xf>
    <xf numFmtId="1" fontId="9" fillId="0" borderId="4" xfId="20" applyNumberFormat="1" applyFont="1" applyFill="1" applyBorder="1" applyAlignment="1">
      <alignment horizontal="center" vertical="center" wrapText="1"/>
    </xf>
    <xf numFmtId="0" fontId="9" fillId="7" borderId="2" xfId="7" applyFont="1" applyFill="1" applyBorder="1" applyAlignment="1">
      <alignment horizontal="justify" vertical="center" wrapText="1"/>
    </xf>
    <xf numFmtId="3" fontId="9" fillId="2" borderId="15" xfId="7" applyNumberFormat="1" applyFont="1" applyFill="1" applyBorder="1" applyAlignment="1">
      <alignment horizontal="justify" vertical="center" wrapText="1"/>
    </xf>
    <xf numFmtId="3" fontId="9" fillId="2" borderId="17" xfId="7" applyNumberFormat="1" applyFont="1" applyFill="1" applyBorder="1" applyAlignment="1">
      <alignment horizontal="justify" vertical="center" wrapText="1"/>
    </xf>
    <xf numFmtId="3" fontId="9" fillId="2" borderId="18" xfId="7" applyNumberFormat="1" applyFont="1" applyFill="1" applyBorder="1" applyAlignment="1">
      <alignment horizontal="justify" vertical="center" wrapText="1"/>
    </xf>
    <xf numFmtId="0" fontId="9" fillId="0" borderId="13" xfId="7" applyFont="1" applyFill="1" applyBorder="1" applyAlignment="1">
      <alignment horizontal="justify" vertical="center" wrapText="1"/>
    </xf>
    <xf numFmtId="0" fontId="9" fillId="0" borderId="16" xfId="7" applyFont="1" applyFill="1" applyBorder="1" applyAlignment="1">
      <alignment horizontal="justify" vertical="center" wrapText="1"/>
    </xf>
    <xf numFmtId="0" fontId="9" fillId="2" borderId="17" xfId="7" applyFont="1" applyFill="1" applyBorder="1" applyAlignment="1">
      <alignment horizontal="center" vertical="center" wrapText="1"/>
    </xf>
    <xf numFmtId="0" fontId="9" fillId="2" borderId="48"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70" xfId="7" applyFont="1" applyFill="1" applyBorder="1" applyAlignment="1">
      <alignment horizontal="center" vertical="center" wrapText="1"/>
    </xf>
    <xf numFmtId="0" fontId="9" fillId="7" borderId="5" xfId="7" applyFont="1" applyFill="1" applyBorder="1" applyAlignment="1">
      <alignment horizontal="justify" vertical="center" wrapText="1"/>
    </xf>
    <xf numFmtId="0" fontId="9" fillId="7" borderId="0" xfId="7" applyFont="1" applyFill="1" applyBorder="1" applyAlignment="1">
      <alignment horizontal="justify" vertical="center" wrapText="1"/>
    </xf>
    <xf numFmtId="0" fontId="9" fillId="7" borderId="3" xfId="7" applyFont="1" applyFill="1" applyBorder="1" applyAlignment="1">
      <alignment horizontal="justify" vertical="center" wrapText="1"/>
    </xf>
    <xf numFmtId="9" fontId="9" fillId="2" borderId="2" xfId="7" applyNumberFormat="1" applyFont="1" applyFill="1" applyBorder="1" applyAlignment="1">
      <alignment horizontal="center" vertical="center" wrapText="1"/>
    </xf>
    <xf numFmtId="43" fontId="9" fillId="0" borderId="2" xfId="23" applyNumberFormat="1" applyFont="1" applyBorder="1" applyAlignment="1">
      <alignment horizontal="center" vertical="center"/>
    </xf>
    <xf numFmtId="14" fontId="9" fillId="2" borderId="13" xfId="24" applyNumberFormat="1" applyFont="1" applyFill="1" applyBorder="1" applyAlignment="1">
      <alignment horizontal="center" vertical="center" wrapText="1"/>
    </xf>
    <xf numFmtId="14" fontId="9" fillId="2" borderId="6" xfId="24" applyNumberFormat="1" applyFont="1" applyFill="1" applyBorder="1" applyAlignment="1">
      <alignment horizontal="center" vertical="center" wrapText="1"/>
    </xf>
    <xf numFmtId="0" fontId="9" fillId="2" borderId="15" xfId="7" applyFont="1" applyFill="1" applyBorder="1" applyAlignment="1">
      <alignment horizontal="center" vertical="center"/>
    </xf>
    <xf numFmtId="0" fontId="9" fillId="2" borderId="17" xfId="7" applyFont="1" applyFill="1" applyBorder="1" applyAlignment="1">
      <alignment horizontal="center" vertical="center"/>
    </xf>
    <xf numFmtId="0" fontId="9" fillId="2" borderId="18" xfId="7" applyFont="1" applyFill="1" applyBorder="1" applyAlignment="1">
      <alignment horizontal="center" vertical="center"/>
    </xf>
    <xf numFmtId="175" fontId="9" fillId="2" borderId="15" xfId="20" applyNumberFormat="1" applyFont="1" applyFill="1" applyBorder="1" applyAlignment="1">
      <alignment horizontal="center" vertical="center" wrapText="1"/>
    </xf>
    <xf numFmtId="175" fontId="9" fillId="2" borderId="17" xfId="20" applyNumberFormat="1" applyFont="1" applyFill="1" applyBorder="1" applyAlignment="1">
      <alignment horizontal="center" vertical="center" wrapText="1"/>
    </xf>
    <xf numFmtId="175" fontId="9" fillId="2" borderId="18" xfId="20" applyNumberFormat="1" applyFont="1" applyFill="1" applyBorder="1" applyAlignment="1">
      <alignment horizontal="center" vertical="center" wrapText="1"/>
    </xf>
    <xf numFmtId="10" fontId="9" fillId="2" borderId="15" xfId="4" applyNumberFormat="1" applyFont="1" applyFill="1" applyBorder="1" applyAlignment="1">
      <alignment horizontal="center" vertical="center" wrapText="1"/>
    </xf>
    <xf numFmtId="10" fontId="9" fillId="2" borderId="17" xfId="4" applyNumberFormat="1" applyFont="1" applyFill="1" applyBorder="1" applyAlignment="1">
      <alignment horizontal="center" vertical="center" wrapText="1"/>
    </xf>
    <xf numFmtId="1" fontId="9" fillId="2" borderId="15" xfId="20" applyNumberFormat="1" applyFont="1" applyFill="1" applyBorder="1" applyAlignment="1">
      <alignment horizontal="center" vertical="center" wrapText="1"/>
    </xf>
    <xf numFmtId="1" fontId="9" fillId="2" borderId="17" xfId="20" applyNumberFormat="1" applyFont="1" applyFill="1" applyBorder="1" applyAlignment="1">
      <alignment horizontal="center" vertical="center" wrapText="1"/>
    </xf>
    <xf numFmtId="1" fontId="9" fillId="2" borderId="13" xfId="20" applyNumberFormat="1" applyFont="1" applyFill="1" applyBorder="1" applyAlignment="1">
      <alignment horizontal="center" vertical="center" wrapText="1"/>
    </xf>
    <xf numFmtId="1" fontId="9" fillId="2" borderId="6" xfId="20" applyNumberFormat="1" applyFont="1" applyFill="1" applyBorder="1" applyAlignment="1">
      <alignment horizontal="center" vertical="center" wrapText="1"/>
    </xf>
    <xf numFmtId="14" fontId="9" fillId="2" borderId="13" xfId="20" applyNumberFormat="1" applyFont="1" applyFill="1" applyBorder="1" applyAlignment="1">
      <alignment horizontal="center" vertical="center" wrapText="1"/>
    </xf>
    <xf numFmtId="14" fontId="9" fillId="2" borderId="6" xfId="20" applyNumberFormat="1" applyFont="1" applyFill="1" applyBorder="1" applyAlignment="1">
      <alignment horizontal="center" vertical="center" wrapText="1"/>
    </xf>
    <xf numFmtId="1" fontId="9" fillId="2" borderId="18" xfId="20" applyNumberFormat="1"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17" xfId="7" applyFont="1" applyFill="1" applyBorder="1" applyAlignment="1">
      <alignment horizontal="center" vertical="center" wrapText="1"/>
    </xf>
    <xf numFmtId="0" fontId="9" fillId="0" borderId="15" xfId="7" applyFont="1" applyBorder="1" applyAlignment="1">
      <alignment horizontal="justify" vertical="center" wrapText="1"/>
    </xf>
    <xf numFmtId="0" fontId="9" fillId="0" borderId="17" xfId="7" applyFont="1" applyBorder="1" applyAlignment="1">
      <alignment horizontal="justify" vertical="center" wrapText="1"/>
    </xf>
    <xf numFmtId="0" fontId="9" fillId="0" borderId="18" xfId="7" applyFont="1" applyBorder="1" applyAlignment="1">
      <alignment horizontal="justify" vertical="center" wrapText="1"/>
    </xf>
    <xf numFmtId="0" fontId="3" fillId="10" borderId="6" xfId="0" applyFont="1" applyFill="1" applyBorder="1" applyAlignment="1">
      <alignment horizontal="left" vertical="center"/>
    </xf>
    <xf numFmtId="0" fontId="3" fillId="10" borderId="0" xfId="0" applyFont="1" applyFill="1" applyBorder="1" applyAlignment="1">
      <alignment horizontal="left" vertical="center"/>
    </xf>
    <xf numFmtId="1" fontId="9" fillId="10" borderId="16" xfId="20" applyNumberFormat="1" applyFont="1" applyFill="1" applyBorder="1" applyAlignment="1">
      <alignment horizontal="center" vertical="center" wrapText="1"/>
    </xf>
    <xf numFmtId="1" fontId="9" fillId="10" borderId="3" xfId="20" applyNumberFormat="1" applyFont="1" applyFill="1" applyBorder="1" applyAlignment="1">
      <alignment horizontal="center" vertical="center" wrapText="1"/>
    </xf>
    <xf numFmtId="1" fontId="9" fillId="10" borderId="4" xfId="20" applyNumberFormat="1" applyFont="1" applyFill="1" applyBorder="1" applyAlignment="1">
      <alignment horizontal="center" vertical="center" wrapText="1"/>
    </xf>
    <xf numFmtId="0" fontId="9" fillId="2" borderId="25" xfId="7" applyFont="1" applyFill="1" applyBorder="1" applyAlignment="1">
      <alignment horizontal="center" vertical="center" wrapText="1"/>
    </xf>
    <xf numFmtId="0" fontId="9" fillId="2" borderId="38" xfId="13" applyNumberFormat="1" applyFont="1" applyFill="1" applyBorder="1" applyAlignment="1">
      <alignment horizontal="center" vertical="center" wrapText="1"/>
    </xf>
    <xf numFmtId="0" fontId="9" fillId="2" borderId="68" xfId="7" applyNumberFormat="1" applyFont="1" applyFill="1" applyBorder="1" applyAlignment="1">
      <alignment horizontal="justify" vertical="center" wrapText="1"/>
    </xf>
    <xf numFmtId="0" fontId="9" fillId="2" borderId="26" xfId="15" applyNumberFormat="1" applyFont="1" applyFill="1" applyBorder="1" applyAlignment="1">
      <alignment horizontal="center" vertical="center" wrapText="1"/>
    </xf>
    <xf numFmtId="0" fontId="9" fillId="2" borderId="17" xfId="15" applyNumberFormat="1" applyFont="1" applyFill="1" applyBorder="1" applyAlignment="1">
      <alignment horizontal="center" vertical="center" wrapText="1"/>
    </xf>
    <xf numFmtId="0" fontId="9" fillId="2" borderId="48" xfId="15" applyNumberFormat="1" applyFont="1" applyFill="1" applyBorder="1" applyAlignment="1">
      <alignment horizontal="center" vertical="center" wrapText="1"/>
    </xf>
    <xf numFmtId="0" fontId="9" fillId="2" borderId="26" xfId="7" applyFont="1" applyFill="1" applyBorder="1" applyAlignment="1">
      <alignment horizontal="justify" vertical="center" wrapText="1"/>
    </xf>
    <xf numFmtId="1" fontId="9" fillId="2" borderId="2" xfId="20" applyNumberFormat="1" applyFont="1" applyFill="1" applyBorder="1" applyAlignment="1">
      <alignment horizontal="center" vertical="center" wrapText="1"/>
    </xf>
    <xf numFmtId="1" fontId="9" fillId="0" borderId="2" xfId="2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3" fillId="10" borderId="57" xfId="0" applyFont="1" applyFill="1" applyBorder="1" applyAlignment="1">
      <alignment horizontal="left" vertical="center"/>
    </xf>
    <xf numFmtId="1" fontId="9" fillId="10" borderId="2" xfId="20" applyNumberFormat="1" applyFont="1" applyFill="1" applyBorder="1" applyAlignment="1">
      <alignment horizontal="center" vertical="center" wrapText="1"/>
    </xf>
    <xf numFmtId="0" fontId="9" fillId="0" borderId="36" xfId="13" applyNumberFormat="1" applyFont="1" applyFill="1" applyBorder="1" applyAlignment="1">
      <alignment horizontal="center" vertical="center" wrapText="1"/>
    </xf>
    <xf numFmtId="0" fontId="9" fillId="0" borderId="38" xfId="13" applyNumberFormat="1" applyFont="1" applyFill="1" applyBorder="1" applyAlignment="1">
      <alignment horizontal="center" vertical="center" wrapText="1"/>
    </xf>
    <xf numFmtId="0" fontId="9" fillId="0" borderId="1" xfId="7" applyNumberFormat="1" applyFont="1" applyBorder="1" applyAlignment="1">
      <alignment horizontal="justify" vertical="center" wrapText="1"/>
    </xf>
    <xf numFmtId="0" fontId="9" fillId="0" borderId="47" xfId="7" applyNumberFormat="1" applyFont="1" applyBorder="1" applyAlignment="1">
      <alignment horizontal="justify" vertical="center" wrapText="1"/>
    </xf>
    <xf numFmtId="0" fontId="9" fillId="0" borderId="4" xfId="7" applyNumberFormat="1" applyFont="1" applyBorder="1" applyAlignment="1">
      <alignment horizontal="justify" vertical="center" wrapText="1"/>
    </xf>
    <xf numFmtId="0" fontId="9" fillId="0" borderId="17" xfId="7" applyNumberFormat="1" applyFont="1" applyBorder="1" applyAlignment="1">
      <alignment horizontal="center" vertical="center" wrapText="1"/>
    </xf>
    <xf numFmtId="0" fontId="9" fillId="0" borderId="18" xfId="7" applyNumberFormat="1" applyFont="1" applyBorder="1" applyAlignment="1">
      <alignment horizontal="center" vertical="center" wrapText="1"/>
    </xf>
    <xf numFmtId="14" fontId="9" fillId="0" borderId="2" xfId="0" applyNumberFormat="1" applyFont="1" applyFill="1" applyBorder="1" applyAlignment="1">
      <alignment horizontal="center" vertical="center"/>
    </xf>
    <xf numFmtId="175" fontId="9" fillId="0" borderId="15" xfId="20" applyNumberFormat="1" applyFont="1" applyFill="1" applyBorder="1" applyAlignment="1">
      <alignment horizontal="center" vertical="center"/>
    </xf>
    <xf numFmtId="175" fontId="9" fillId="0" borderId="17" xfId="20" applyNumberFormat="1" applyFont="1" applyFill="1" applyBorder="1" applyAlignment="1">
      <alignment horizontal="center" vertical="center"/>
    </xf>
    <xf numFmtId="175" fontId="9" fillId="0" borderId="18" xfId="20" applyNumberFormat="1" applyFont="1" applyFill="1" applyBorder="1" applyAlignment="1">
      <alignment horizontal="center" vertical="center"/>
    </xf>
    <xf numFmtId="10" fontId="9" fillId="0" borderId="15" xfId="4" applyNumberFormat="1" applyFont="1" applyFill="1" applyBorder="1" applyAlignment="1">
      <alignment horizontal="center" vertical="center"/>
    </xf>
    <xf numFmtId="10" fontId="9" fillId="0" borderId="17" xfId="4" applyNumberFormat="1" applyFont="1" applyFill="1" applyBorder="1" applyAlignment="1">
      <alignment horizontal="center" vertical="center"/>
    </xf>
    <xf numFmtId="10" fontId="9" fillId="0" borderId="18" xfId="4" applyNumberFormat="1"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9" fontId="9" fillId="2" borderId="15" xfId="7" applyNumberFormat="1" applyFont="1" applyFill="1" applyBorder="1" applyAlignment="1">
      <alignment horizontal="center" vertical="center" wrapText="1"/>
    </xf>
    <xf numFmtId="9" fontId="9" fillId="2" borderId="17" xfId="7" applyNumberFormat="1" applyFont="1" applyFill="1" applyBorder="1" applyAlignment="1">
      <alignment horizontal="center" vertical="center" wrapText="1"/>
    </xf>
    <xf numFmtId="9" fontId="9" fillId="2" borderId="18" xfId="7" applyNumberFormat="1" applyFont="1" applyFill="1" applyBorder="1" applyAlignment="1">
      <alignment horizontal="center" vertical="center" wrapText="1"/>
    </xf>
    <xf numFmtId="43" fontId="9" fillId="0" borderId="2" xfId="23" applyNumberFormat="1" applyFont="1" applyFill="1" applyBorder="1" applyAlignment="1">
      <alignment horizontal="center" vertical="center" wrapText="1"/>
    </xf>
    <xf numFmtId="0" fontId="9" fillId="0" borderId="14" xfId="7" applyNumberFormat="1" applyFont="1" applyBorder="1" applyAlignment="1">
      <alignment horizontal="justify" vertical="center" wrapText="1"/>
    </xf>
    <xf numFmtId="0" fontId="9" fillId="0" borderId="26" xfId="7" applyFont="1" applyFill="1" applyBorder="1" applyAlignment="1">
      <alignment horizontal="center" vertical="center" wrapText="1"/>
    </xf>
    <xf numFmtId="0" fontId="9" fillId="0" borderId="48" xfId="7" applyFont="1" applyFill="1" applyBorder="1" applyAlignment="1">
      <alignment horizontal="center" vertical="center" wrapText="1"/>
    </xf>
    <xf numFmtId="3" fontId="9" fillId="0" borderId="14"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9" fillId="2" borderId="2" xfId="7" applyNumberFormat="1" applyFont="1" applyFill="1" applyBorder="1" applyAlignment="1">
      <alignment horizontal="justify" vertical="center" wrapText="1"/>
    </xf>
    <xf numFmtId="43" fontId="9" fillId="2" borderId="2" xfId="23" applyNumberFormat="1" applyFont="1" applyFill="1" applyBorder="1" applyAlignment="1">
      <alignment horizontal="center" vertical="center"/>
    </xf>
    <xf numFmtId="0" fontId="9" fillId="2" borderId="14" xfId="7" applyNumberFormat="1" applyFont="1" applyFill="1" applyBorder="1" applyAlignment="1">
      <alignment horizontal="justify" vertical="center" wrapText="1"/>
    </xf>
    <xf numFmtId="0" fontId="9" fillId="2" borderId="4" xfId="7" applyNumberFormat="1" applyFont="1" applyFill="1" applyBorder="1" applyAlignment="1">
      <alignment horizontal="justify" vertical="center" wrapText="1"/>
    </xf>
    <xf numFmtId="3" fontId="9" fillId="2" borderId="16" xfId="7" applyNumberFormat="1" applyFont="1" applyFill="1" applyBorder="1" applyAlignment="1">
      <alignment horizontal="justify" vertical="center" wrapText="1"/>
    </xf>
    <xf numFmtId="0" fontId="29" fillId="0" borderId="2" xfId="0" applyFont="1" applyFill="1" applyBorder="1" applyAlignment="1">
      <alignment horizontal="center" vertical="center" wrapText="1"/>
    </xf>
    <xf numFmtId="0" fontId="9" fillId="2" borderId="15" xfId="7" applyFont="1" applyFill="1" applyBorder="1" applyAlignment="1">
      <alignment horizontal="center" vertical="center" wrapText="1"/>
    </xf>
    <xf numFmtId="0" fontId="9" fillId="2" borderId="18" xfId="7" applyFont="1" applyFill="1" applyBorder="1" applyAlignment="1">
      <alignment horizontal="center" vertical="center" wrapText="1"/>
    </xf>
    <xf numFmtId="1" fontId="9" fillId="10" borderId="6" xfId="20" applyNumberFormat="1" applyFont="1" applyFill="1" applyBorder="1" applyAlignment="1">
      <alignment horizontal="center" vertical="center" wrapText="1"/>
    </xf>
    <xf numFmtId="1" fontId="9" fillId="10" borderId="0" xfId="20" applyNumberFormat="1" applyFont="1" applyFill="1" applyBorder="1" applyAlignment="1">
      <alignment horizontal="center" vertical="center" wrapText="1"/>
    </xf>
    <xf numFmtId="1" fontId="9" fillId="10" borderId="1" xfId="2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47"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2" borderId="13" xfId="26" applyFont="1" applyFill="1" applyBorder="1" applyAlignment="1">
      <alignment horizontal="justify" vertical="center" wrapText="1"/>
    </xf>
    <xf numFmtId="0" fontId="9" fillId="2" borderId="6" xfId="26" applyFont="1" applyFill="1" applyBorder="1" applyAlignment="1">
      <alignment horizontal="justify" vertical="center" wrapText="1"/>
    </xf>
    <xf numFmtId="1" fontId="9" fillId="2" borderId="35" xfId="7" applyNumberFormat="1" applyFont="1" applyFill="1" applyBorder="1" applyAlignment="1">
      <alignment horizontal="center" vertical="center" wrapText="1"/>
    </xf>
    <xf numFmtId="0" fontId="9" fillId="0" borderId="31" xfId="7" applyNumberFormat="1" applyFont="1" applyFill="1" applyBorder="1" applyAlignment="1">
      <alignment horizontal="justify" vertical="center" wrapText="1"/>
    </xf>
    <xf numFmtId="0" fontId="9" fillId="0" borderId="21" xfId="7" applyNumberFormat="1" applyFont="1" applyFill="1" applyBorder="1" applyAlignment="1">
      <alignment horizontal="justify" vertical="center" wrapText="1"/>
    </xf>
    <xf numFmtId="0" fontId="9" fillId="0" borderId="65" xfId="7" applyNumberFormat="1" applyFont="1" applyFill="1" applyBorder="1" applyAlignment="1">
      <alignment horizontal="justify" vertical="center" wrapText="1"/>
    </xf>
    <xf numFmtId="1" fontId="9" fillId="26" borderId="2" xfId="20" applyNumberFormat="1" applyFont="1" applyFill="1" applyBorder="1" applyAlignment="1">
      <alignment horizontal="center" vertical="center" wrapText="1"/>
    </xf>
    <xf numFmtId="1" fontId="9" fillId="2" borderId="28" xfId="20" applyNumberFormat="1" applyFont="1" applyFill="1" applyBorder="1" applyAlignment="1">
      <alignment horizontal="center" vertical="center" wrapText="1"/>
    </xf>
    <xf numFmtId="1" fontId="9" fillId="2" borderId="19" xfId="20" applyNumberFormat="1" applyFont="1" applyFill="1" applyBorder="1" applyAlignment="1">
      <alignment horizontal="center" vertical="center" wrapText="1"/>
    </xf>
    <xf numFmtId="14" fontId="9" fillId="2" borderId="28" xfId="20" applyNumberFormat="1" applyFont="1" applyFill="1" applyBorder="1" applyAlignment="1">
      <alignment horizontal="center" vertical="center" wrapText="1"/>
    </xf>
    <xf numFmtId="14" fontId="9" fillId="2" borderId="19" xfId="20" applyNumberFormat="1" applyFont="1" applyFill="1" applyBorder="1" applyAlignment="1">
      <alignment horizontal="center" vertical="center" wrapText="1"/>
    </xf>
    <xf numFmtId="175" fontId="9" fillId="2" borderId="28" xfId="20" applyNumberFormat="1" applyFont="1" applyFill="1" applyBorder="1" applyAlignment="1">
      <alignment horizontal="center" vertical="center" wrapText="1"/>
    </xf>
    <xf numFmtId="175" fontId="9" fillId="2" borderId="19" xfId="20" applyNumberFormat="1" applyFont="1" applyFill="1" applyBorder="1" applyAlignment="1">
      <alignment horizontal="center" vertical="center" wrapText="1"/>
    </xf>
    <xf numFmtId="10" fontId="9" fillId="2" borderId="28" xfId="4" applyNumberFormat="1" applyFont="1" applyFill="1" applyBorder="1" applyAlignment="1">
      <alignment horizontal="center" vertical="center" wrapText="1"/>
    </xf>
    <xf numFmtId="10" fontId="9" fillId="2" borderId="19" xfId="4" applyNumberFormat="1" applyFont="1" applyFill="1" applyBorder="1" applyAlignment="1">
      <alignment horizontal="center" vertical="center" wrapText="1"/>
    </xf>
    <xf numFmtId="3" fontId="9" fillId="2" borderId="15"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9" fillId="2" borderId="48" xfId="0" applyNumberFormat="1" applyFont="1" applyFill="1" applyBorder="1" applyAlignment="1">
      <alignment horizontal="center" vertical="center"/>
    </xf>
    <xf numFmtId="9" fontId="9" fillId="0" borderId="15" xfId="0" applyNumberFormat="1"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43" fontId="9" fillId="0" borderId="15" xfId="23" applyNumberFormat="1" applyFont="1" applyFill="1" applyBorder="1" applyAlignment="1">
      <alignment horizontal="center" vertical="center"/>
    </xf>
    <xf numFmtId="43" fontId="9" fillId="0" borderId="17" xfId="23" applyNumberFormat="1" applyFont="1" applyFill="1" applyBorder="1" applyAlignment="1">
      <alignment horizontal="center" vertical="center"/>
    </xf>
    <xf numFmtId="0" fontId="9" fillId="0" borderId="13" xfId="27" applyFont="1" applyFill="1" applyBorder="1" applyAlignment="1">
      <alignment horizontal="justify" vertical="center" wrapText="1"/>
    </xf>
    <xf numFmtId="0" fontId="9" fillId="0" borderId="16" xfId="27" applyFont="1" applyFill="1" applyBorder="1" applyAlignment="1">
      <alignment horizontal="justify" vertical="center" wrapText="1"/>
    </xf>
    <xf numFmtId="3" fontId="9" fillId="2" borderId="42"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56" xfId="0" applyNumberFormat="1" applyFont="1" applyFill="1" applyBorder="1" applyAlignment="1">
      <alignment horizontal="center" vertical="center"/>
    </xf>
    <xf numFmtId="0" fontId="3" fillId="10" borderId="80" xfId="0" applyFont="1" applyFill="1" applyBorder="1" applyAlignment="1">
      <alignment horizontal="left" vertical="center"/>
    </xf>
    <xf numFmtId="0" fontId="3" fillId="10" borderId="24" xfId="0" applyFont="1" applyFill="1" applyBorder="1" applyAlignment="1">
      <alignment horizontal="left" vertical="center"/>
    </xf>
    <xf numFmtId="1" fontId="9" fillId="10" borderId="2" xfId="0" applyNumberFormat="1" applyFont="1" applyFill="1" applyBorder="1" applyAlignment="1">
      <alignment horizontal="center" vertical="center" wrapText="1"/>
    </xf>
    <xf numFmtId="14" fontId="9" fillId="0" borderId="2" xfId="20" applyNumberFormat="1" applyFont="1" applyFill="1" applyBorder="1" applyAlignment="1">
      <alignment horizontal="center" vertical="center" wrapText="1"/>
    </xf>
    <xf numFmtId="175" fontId="9" fillId="0" borderId="2" xfId="20" applyNumberFormat="1" applyFont="1" applyFill="1" applyBorder="1" applyAlignment="1">
      <alignment horizontal="center" vertical="center" wrapText="1"/>
    </xf>
    <xf numFmtId="10" fontId="9" fillId="0" borderId="2" xfId="4" applyNumberFormat="1"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13" xfId="0" applyFont="1" applyFill="1" applyBorder="1" applyAlignment="1">
      <alignment horizontal="justify" vertical="center" wrapText="1"/>
    </xf>
    <xf numFmtId="0" fontId="9" fillId="0" borderId="57"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7" xfId="27" applyFont="1" applyFill="1" applyBorder="1" applyAlignment="1">
      <alignment horizontal="justify" vertical="center" wrapText="1"/>
    </xf>
    <xf numFmtId="0" fontId="9" fillId="0" borderId="30" xfId="27" applyFont="1" applyFill="1" applyBorder="1" applyAlignment="1">
      <alignment horizontal="justify" vertical="center" wrapText="1"/>
    </xf>
    <xf numFmtId="0" fontId="9" fillId="0" borderId="40" xfId="27" applyFont="1" applyFill="1" applyBorder="1" applyAlignment="1">
      <alignment horizontal="justify" vertical="center" wrapText="1"/>
    </xf>
    <xf numFmtId="0" fontId="3" fillId="8" borderId="40" xfId="0" applyFont="1" applyFill="1" applyBorder="1" applyAlignment="1">
      <alignment horizontal="left" vertical="center"/>
    </xf>
    <xf numFmtId="1" fontId="9" fillId="27" borderId="2" xfId="0"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xf>
    <xf numFmtId="9" fontId="9" fillId="0" borderId="40" xfId="0" applyNumberFormat="1" applyFont="1" applyFill="1" applyBorder="1" applyAlignment="1">
      <alignment horizontal="center" vertical="center"/>
    </xf>
    <xf numFmtId="43" fontId="9" fillId="0" borderId="38" xfId="23" applyNumberFormat="1" applyFont="1" applyFill="1" applyBorder="1" applyAlignment="1">
      <alignment horizontal="center" vertical="center"/>
    </xf>
    <xf numFmtId="0" fontId="9" fillId="0" borderId="38"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79" xfId="0" applyFont="1" applyFill="1" applyBorder="1" applyAlignment="1">
      <alignment horizontal="justify" vertical="center" wrapText="1"/>
    </xf>
    <xf numFmtId="3" fontId="9" fillId="2" borderId="45" xfId="0" applyNumberFormat="1" applyFont="1" applyFill="1" applyBorder="1" applyAlignment="1">
      <alignment horizontal="center" vertical="center"/>
    </xf>
    <xf numFmtId="0" fontId="9" fillId="0" borderId="14" xfId="0" applyFont="1" applyFill="1" applyBorder="1" applyAlignment="1">
      <alignment horizontal="justify" vertical="center" wrapText="1"/>
    </xf>
    <xf numFmtId="1" fontId="9" fillId="2" borderId="2" xfId="0" applyNumberFormat="1" applyFont="1" applyFill="1" applyBorder="1" applyAlignment="1">
      <alignment horizontal="center" vertical="center" wrapText="1"/>
    </xf>
    <xf numFmtId="166" fontId="9" fillId="2" borderId="15" xfId="28" applyFont="1" applyFill="1" applyBorder="1" applyAlignment="1">
      <alignment horizontal="center" vertical="center" wrapText="1"/>
    </xf>
    <xf numFmtId="166" fontId="9" fillId="2" borderId="17" xfId="28" applyFont="1" applyFill="1" applyBorder="1" applyAlignment="1">
      <alignment horizontal="center" vertical="center" wrapText="1"/>
    </xf>
    <xf numFmtId="166" fontId="9" fillId="2" borderId="18" xfId="28"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1" fontId="9" fillId="2" borderId="15"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9" fontId="9" fillId="0" borderId="37" xfId="0" applyNumberFormat="1" applyFont="1" applyFill="1" applyBorder="1" applyAlignment="1">
      <alignment horizontal="center" vertical="center"/>
    </xf>
    <xf numFmtId="9" fontId="9" fillId="0" borderId="33" xfId="0" applyNumberFormat="1" applyFont="1" applyFill="1" applyBorder="1" applyAlignment="1">
      <alignment horizontal="center" vertical="center"/>
    </xf>
    <xf numFmtId="9" fontId="9" fillId="0" borderId="36" xfId="0" applyNumberFormat="1" applyFont="1" applyFill="1" applyBorder="1" applyAlignment="1">
      <alignment horizontal="center" vertical="center"/>
    </xf>
    <xf numFmtId="0" fontId="9" fillId="0" borderId="37"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38" xfId="0" applyFont="1" applyBorder="1" applyAlignment="1">
      <alignment horizontal="center" vertical="center"/>
    </xf>
    <xf numFmtId="0" fontId="9" fillId="0" borderId="1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48" xfId="0" applyFont="1" applyBorder="1" applyAlignment="1">
      <alignment horizontal="center" vertical="center"/>
    </xf>
    <xf numFmtId="0" fontId="9" fillId="0" borderId="48" xfId="0" applyFont="1" applyBorder="1" applyAlignment="1">
      <alignment horizontal="justify" vertical="center" wrapText="1"/>
    </xf>
    <xf numFmtId="0" fontId="9" fillId="0" borderId="37"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2" xfId="0" applyFont="1" applyFill="1" applyBorder="1" applyAlignment="1">
      <alignment horizontal="justify" vertical="center" wrapText="1"/>
    </xf>
    <xf numFmtId="0" fontId="9" fillId="0" borderId="34" xfId="0" applyFont="1" applyFill="1" applyBorder="1" applyAlignment="1">
      <alignment horizontal="justify" vertical="center" wrapText="1"/>
    </xf>
    <xf numFmtId="0" fontId="9" fillId="0" borderId="42" xfId="0" applyFont="1" applyFill="1" applyBorder="1" applyAlignment="1">
      <alignment horizontal="justify" vertical="center" wrapText="1"/>
    </xf>
    <xf numFmtId="0" fontId="9" fillId="0" borderId="43" xfId="0" applyFont="1" applyFill="1" applyBorder="1" applyAlignment="1">
      <alignment horizontal="justify" vertical="center" wrapText="1"/>
    </xf>
    <xf numFmtId="0" fontId="9" fillId="0" borderId="45" xfId="0" applyFont="1" applyFill="1" applyBorder="1" applyAlignment="1">
      <alignment horizontal="justify" vertical="center" wrapText="1"/>
    </xf>
    <xf numFmtId="1" fontId="9" fillId="10" borderId="6" xfId="0" applyNumberFormat="1" applyFont="1" applyFill="1" applyBorder="1" applyAlignment="1">
      <alignment horizontal="center" vertical="center" wrapText="1"/>
    </xf>
    <xf numFmtId="1" fontId="9" fillId="10" borderId="0" xfId="0" applyNumberFormat="1" applyFont="1" applyFill="1" applyBorder="1" applyAlignment="1">
      <alignment horizontal="center" vertical="center" wrapText="1"/>
    </xf>
    <xf numFmtId="1" fontId="9" fillId="10" borderId="21" xfId="0" applyNumberFormat="1" applyFont="1" applyFill="1" applyBorder="1" applyAlignment="1">
      <alignment horizontal="center" vertical="center" wrapText="1"/>
    </xf>
    <xf numFmtId="9" fontId="9" fillId="0" borderId="37" xfId="0" applyNumberFormat="1" applyFont="1" applyBorder="1" applyAlignment="1">
      <alignment horizontal="center" vertical="center"/>
    </xf>
    <xf numFmtId="9" fontId="9" fillId="0" borderId="33" xfId="0" applyNumberFormat="1" applyFont="1" applyBorder="1" applyAlignment="1">
      <alignment horizontal="center" vertical="center"/>
    </xf>
    <xf numFmtId="9" fontId="9" fillId="0" borderId="36" xfId="0" applyNumberFormat="1" applyFont="1" applyBorder="1" applyAlignment="1">
      <alignment horizontal="center" vertical="center"/>
    </xf>
    <xf numFmtId="0" fontId="9" fillId="0" borderId="33" xfId="0" applyFont="1" applyBorder="1" applyAlignment="1">
      <alignment horizontal="justify" vertical="center" wrapText="1"/>
    </xf>
    <xf numFmtId="0" fontId="9" fillId="0" borderId="36" xfId="0" applyFont="1" applyBorder="1" applyAlignment="1">
      <alignment horizontal="justify" vertical="center" wrapText="1"/>
    </xf>
    <xf numFmtId="3" fontId="9" fillId="2" borderId="32" xfId="0" applyNumberFormat="1" applyFont="1" applyFill="1" applyBorder="1" applyAlignment="1">
      <alignment horizontal="center" vertical="center"/>
    </xf>
    <xf numFmtId="3" fontId="9" fillId="2" borderId="33" xfId="0" applyNumberFormat="1" applyFont="1" applyFill="1" applyBorder="1" applyAlignment="1">
      <alignment horizontal="center" vertical="center"/>
    </xf>
    <xf numFmtId="3" fontId="9" fillId="2" borderId="36" xfId="0" applyNumberFormat="1" applyFont="1" applyFill="1" applyBorder="1" applyAlignment="1">
      <alignment horizontal="center" vertical="center"/>
    </xf>
    <xf numFmtId="0" fontId="9" fillId="0" borderId="40" xfId="26" applyFont="1" applyFill="1" applyBorder="1" applyAlignment="1">
      <alignment horizontal="justify" vertical="center" wrapText="1"/>
    </xf>
    <xf numFmtId="3" fontId="9" fillId="2" borderId="14"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47" xfId="0" applyNumberFormat="1" applyFont="1" applyFill="1" applyBorder="1" applyAlignment="1">
      <alignment horizontal="center" vertical="center"/>
    </xf>
    <xf numFmtId="3" fontId="9" fillId="2" borderId="55"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9" fontId="9" fillId="0" borderId="15" xfId="0" applyNumberFormat="1" applyFont="1" applyFill="1" applyBorder="1" applyAlignment="1">
      <alignment horizontal="center" vertical="center"/>
    </xf>
    <xf numFmtId="9" fontId="9" fillId="0" borderId="17" xfId="0" applyNumberFormat="1" applyFont="1" applyFill="1" applyBorder="1" applyAlignment="1">
      <alignment horizontal="center" vertical="center"/>
    </xf>
    <xf numFmtId="0" fontId="9" fillId="0" borderId="23" xfId="26" applyFont="1" applyFill="1" applyBorder="1" applyAlignment="1">
      <alignment horizontal="justify" vertical="center" wrapText="1"/>
    </xf>
    <xf numFmtId="175" fontId="9" fillId="0" borderId="2" xfId="20" applyNumberFormat="1" applyFont="1" applyFill="1" applyBorder="1" applyAlignment="1">
      <alignment horizontal="center" vertical="center"/>
    </xf>
    <xf numFmtId="10" fontId="9" fillId="0" borderId="2" xfId="4" applyNumberFormat="1" applyFont="1" applyFill="1" applyBorder="1" applyAlignment="1">
      <alignment horizontal="center" vertical="center"/>
    </xf>
    <xf numFmtId="3" fontId="9" fillId="0" borderId="32" xfId="0" applyNumberFormat="1" applyFont="1" applyFill="1" applyBorder="1" applyAlignment="1">
      <alignment horizontal="center" vertical="center"/>
    </xf>
    <xf numFmtId="3" fontId="9" fillId="0" borderId="33" xfId="0" applyNumberFormat="1" applyFont="1" applyFill="1" applyBorder="1" applyAlignment="1">
      <alignment horizontal="center" vertical="center"/>
    </xf>
    <xf numFmtId="3" fontId="9" fillId="0" borderId="36" xfId="0"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justify" vertical="center" wrapText="1"/>
    </xf>
    <xf numFmtId="9" fontId="9" fillId="0" borderId="38" xfId="0" applyNumberFormat="1" applyFont="1" applyBorder="1" applyAlignment="1">
      <alignment horizontal="center" vertical="center"/>
    </xf>
    <xf numFmtId="43" fontId="9" fillId="0" borderId="38" xfId="23" applyNumberFormat="1" applyFont="1" applyBorder="1" applyAlignment="1">
      <alignment horizontal="center" vertical="center"/>
    </xf>
    <xf numFmtId="0" fontId="9" fillId="0" borderId="35" xfId="0" applyFont="1" applyBorder="1" applyAlignment="1">
      <alignment horizontal="justify" vertical="center" wrapText="1"/>
    </xf>
    <xf numFmtId="0" fontId="9" fillId="0" borderId="40" xfId="0" applyFont="1" applyBorder="1" applyAlignment="1">
      <alignment horizontal="justify" vertical="center" wrapText="1"/>
    </xf>
    <xf numFmtId="0" fontId="3" fillId="8" borderId="30" xfId="0" applyFont="1" applyFill="1" applyBorder="1" applyAlignment="1">
      <alignment horizontal="left" vertical="center"/>
    </xf>
    <xf numFmtId="0" fontId="3" fillId="8" borderId="20" xfId="0" applyFont="1" applyFill="1" applyBorder="1" applyAlignment="1">
      <alignment horizontal="left" vertical="center"/>
    </xf>
    <xf numFmtId="1" fontId="9" fillId="28" borderId="2" xfId="2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10" borderId="40" xfId="0" applyFont="1" applyFill="1" applyBorder="1" applyAlignment="1">
      <alignment horizontal="left" vertical="center"/>
    </xf>
    <xf numFmtId="0" fontId="3" fillId="0" borderId="0" xfId="0" applyFont="1" applyBorder="1" applyAlignment="1">
      <alignment horizontal="center" vertical="center"/>
    </xf>
    <xf numFmtId="0" fontId="9" fillId="2" borderId="37"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1" fontId="9" fillId="2" borderId="37" xfId="20" applyNumberFormat="1" applyFont="1" applyFill="1" applyBorder="1" applyAlignment="1">
      <alignment horizontal="center" vertical="center" wrapText="1"/>
    </xf>
    <xf numFmtId="1" fontId="9" fillId="2" borderId="33" xfId="20" applyNumberFormat="1" applyFont="1" applyFill="1" applyBorder="1" applyAlignment="1">
      <alignment horizontal="center" vertical="center" wrapText="1"/>
    </xf>
    <xf numFmtId="1" fontId="9" fillId="2" borderId="36" xfId="20" applyNumberFormat="1" applyFont="1" applyFill="1" applyBorder="1" applyAlignment="1">
      <alignment horizontal="center" vertical="center" wrapText="1"/>
    </xf>
    <xf numFmtId="1" fontId="9" fillId="0" borderId="37" xfId="0" applyNumberFormat="1" applyFont="1" applyFill="1" applyBorder="1" applyAlignment="1">
      <alignment horizontal="center" vertical="center" wrapText="1"/>
    </xf>
    <xf numFmtId="1" fontId="9" fillId="0" borderId="33" xfId="0" applyNumberFormat="1" applyFont="1" applyFill="1" applyBorder="1" applyAlignment="1">
      <alignment horizontal="center" vertical="center" wrapText="1"/>
    </xf>
    <xf numFmtId="1" fontId="9" fillId="0" borderId="36" xfId="0" applyNumberFormat="1" applyFont="1" applyFill="1" applyBorder="1" applyAlignment="1">
      <alignment horizontal="center" vertical="center" wrapText="1"/>
    </xf>
    <xf numFmtId="14" fontId="9" fillId="2" borderId="2" xfId="20" applyNumberFormat="1" applyFont="1" applyFill="1" applyBorder="1" applyAlignment="1">
      <alignment horizontal="center" vertical="center" wrapText="1"/>
    </xf>
    <xf numFmtId="0" fontId="9" fillId="0" borderId="28" xfId="21" applyFont="1" applyFill="1" applyBorder="1" applyAlignment="1">
      <alignment horizontal="justify" vertical="center" wrapText="1"/>
    </xf>
    <xf numFmtId="0" fontId="9" fillId="0" borderId="79" xfId="21" applyFont="1" applyFill="1" applyBorder="1" applyAlignment="1">
      <alignment horizontal="justify" vertical="center" wrapText="1"/>
    </xf>
    <xf numFmtId="0" fontId="9" fillId="0" borderId="5" xfId="21" applyFont="1" applyFill="1" applyBorder="1" applyAlignment="1">
      <alignment horizontal="justify" vertical="center" wrapText="1"/>
    </xf>
    <xf numFmtId="0" fontId="9" fillId="0" borderId="3" xfId="21" applyFont="1" applyFill="1" applyBorder="1" applyAlignment="1">
      <alignment horizontal="justify" vertical="center" wrapText="1"/>
    </xf>
    <xf numFmtId="0" fontId="9" fillId="0" borderId="14"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justify" vertical="center" wrapText="1"/>
    </xf>
    <xf numFmtId="10" fontId="9" fillId="2" borderId="18" xfId="4" applyNumberFormat="1" applyFont="1" applyFill="1" applyBorder="1" applyAlignment="1">
      <alignment horizontal="center" vertical="center" wrapText="1"/>
    </xf>
    <xf numFmtId="1" fontId="9" fillId="2" borderId="34" xfId="20" applyNumberFormat="1" applyFont="1" applyFill="1" applyBorder="1" applyAlignment="1">
      <alignment horizontal="center" vertical="center" wrapText="1"/>
    </xf>
    <xf numFmtId="1" fontId="9" fillId="2" borderId="37" xfId="0" applyNumberFormat="1" applyFont="1" applyFill="1" applyBorder="1" applyAlignment="1">
      <alignment horizontal="center" vertical="center" wrapText="1"/>
    </xf>
    <xf numFmtId="1" fontId="9" fillId="2" borderId="33" xfId="0" applyNumberFormat="1" applyFont="1" applyFill="1" applyBorder="1" applyAlignment="1">
      <alignment horizontal="center" vertical="center" wrapText="1"/>
    </xf>
    <xf numFmtId="1" fontId="9" fillId="2" borderId="36"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0" fontId="9" fillId="0" borderId="2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9" fillId="0" borderId="0" xfId="21" applyFont="1" applyFill="1" applyBorder="1" applyAlignment="1">
      <alignment horizontal="justify" vertical="center" wrapText="1"/>
    </xf>
    <xf numFmtId="3" fontId="9" fillId="2" borderId="26" xfId="0" applyNumberFormat="1" applyFont="1" applyFill="1" applyBorder="1" applyAlignment="1">
      <alignment horizontal="center" vertical="center"/>
    </xf>
    <xf numFmtId="0" fontId="9" fillId="0" borderId="61"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0" fontId="9" fillId="0" borderId="5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188" fontId="9" fillId="24" borderId="2" xfId="0" applyNumberFormat="1" applyFont="1" applyFill="1" applyBorder="1" applyAlignment="1">
      <alignment horizontal="center" vertical="center"/>
    </xf>
    <xf numFmtId="0" fontId="3" fillId="8" borderId="25" xfId="0" applyFont="1" applyFill="1" applyBorder="1" applyAlignment="1">
      <alignment horizontal="left" vertical="center"/>
    </xf>
    <xf numFmtId="188" fontId="9" fillId="27" borderId="2" xfId="0" applyNumberFormat="1" applyFont="1" applyFill="1" applyBorder="1" applyAlignment="1">
      <alignment horizontal="center" vertical="center"/>
    </xf>
    <xf numFmtId="3" fontId="9" fillId="10" borderId="2" xfId="0" applyNumberFormat="1" applyFont="1" applyFill="1" applyBorder="1" applyAlignment="1">
      <alignment horizontal="center" vertical="center"/>
    </xf>
    <xf numFmtId="14" fontId="9" fillId="2" borderId="42" xfId="0" applyNumberFormat="1" applyFont="1" applyFill="1" applyBorder="1" applyAlignment="1">
      <alignment horizontal="center" vertical="center"/>
    </xf>
    <xf numFmtId="14" fontId="9" fillId="2" borderId="43" xfId="0" applyNumberFormat="1" applyFont="1" applyFill="1" applyBorder="1" applyAlignment="1">
      <alignment horizontal="center" vertical="center"/>
    </xf>
    <xf numFmtId="188" fontId="9" fillId="2" borderId="42" xfId="0" applyNumberFormat="1" applyFont="1" applyFill="1" applyBorder="1" applyAlignment="1">
      <alignment horizontal="center" vertical="center"/>
    </xf>
    <xf numFmtId="188" fontId="9" fillId="2" borderId="43" xfId="0" applyNumberFormat="1" applyFont="1" applyFill="1" applyBorder="1" applyAlignment="1">
      <alignment horizontal="center" vertical="center"/>
    </xf>
    <xf numFmtId="0" fontId="9" fillId="0" borderId="1" xfId="0" applyFont="1" applyFill="1" applyBorder="1" applyAlignment="1">
      <alignment horizontal="center" vertical="center"/>
    </xf>
    <xf numFmtId="10" fontId="9" fillId="2" borderId="42" xfId="4" applyNumberFormat="1" applyFont="1" applyFill="1" applyBorder="1" applyAlignment="1">
      <alignment horizontal="center" vertical="center"/>
    </xf>
    <xf numFmtId="10" fontId="9" fillId="2" borderId="43" xfId="4" applyNumberFormat="1" applyFont="1" applyFill="1" applyBorder="1" applyAlignment="1">
      <alignment horizontal="center" vertical="center"/>
    </xf>
    <xf numFmtId="188" fontId="9" fillId="2" borderId="42" xfId="0" applyNumberFormat="1" applyFont="1" applyFill="1" applyBorder="1" applyAlignment="1">
      <alignment horizontal="center" vertical="center" wrapText="1"/>
    </xf>
    <xf numFmtId="188" fontId="9" fillId="2" borderId="43" xfId="0"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xf>
    <xf numFmtId="0" fontId="9" fillId="2" borderId="17" xfId="0" applyNumberFormat="1" applyFont="1" applyFill="1" applyBorder="1" applyAlignment="1">
      <alignment horizontal="center" vertical="center"/>
    </xf>
    <xf numFmtId="0" fontId="9" fillId="2" borderId="48" xfId="0" applyNumberFormat="1" applyFont="1" applyFill="1" applyBorder="1" applyAlignment="1">
      <alignment horizontal="center" vertical="center"/>
    </xf>
    <xf numFmtId="175" fontId="9" fillId="2" borderId="42" xfId="20" applyNumberFormat="1" applyFont="1" applyFill="1" applyBorder="1" applyAlignment="1">
      <alignment horizontal="center" vertical="center"/>
    </xf>
    <xf numFmtId="175" fontId="9" fillId="2" borderId="43" xfId="20" applyNumberFormat="1" applyFont="1" applyFill="1" applyBorder="1" applyAlignment="1">
      <alignment horizontal="center" vertical="center"/>
    </xf>
    <xf numFmtId="0" fontId="9" fillId="0" borderId="18" xfId="7" applyNumberFormat="1" applyFont="1" applyBorder="1" applyAlignment="1">
      <alignment horizontal="justify" vertical="center" wrapText="1"/>
    </xf>
    <xf numFmtId="0" fontId="9" fillId="0" borderId="17" xfId="7" applyNumberFormat="1" applyFont="1" applyBorder="1" applyAlignment="1">
      <alignment horizontal="justify" vertical="center" wrapText="1"/>
    </xf>
    <xf numFmtId="0" fontId="9" fillId="0" borderId="15" xfId="7" applyNumberFormat="1" applyFont="1" applyBorder="1" applyAlignment="1">
      <alignment horizontal="justify" vertical="center" wrapText="1"/>
    </xf>
    <xf numFmtId="9" fontId="9" fillId="2" borderId="15" xfId="7" applyNumberFormat="1" applyFont="1" applyFill="1" applyBorder="1" applyAlignment="1">
      <alignment horizontal="center" vertical="center"/>
    </xf>
    <xf numFmtId="9" fontId="9" fillId="2" borderId="17" xfId="7" applyNumberFormat="1" applyFont="1" applyFill="1" applyBorder="1" applyAlignment="1">
      <alignment horizontal="center" vertical="center"/>
    </xf>
    <xf numFmtId="43" fontId="9" fillId="0" borderId="2" xfId="23" applyNumberFormat="1" applyFont="1" applyBorder="1" applyAlignment="1">
      <alignment horizontal="center" vertical="center" wrapText="1"/>
    </xf>
    <xf numFmtId="43" fontId="9" fillId="0" borderId="15" xfId="23" applyNumberFormat="1" applyFont="1" applyBorder="1" applyAlignment="1">
      <alignment horizontal="center" vertical="center" wrapText="1"/>
    </xf>
    <xf numFmtId="0" fontId="9" fillId="0" borderId="2" xfId="7" applyNumberFormat="1" applyFont="1" applyBorder="1" applyAlignment="1">
      <alignment horizontal="justify" vertical="center" wrapText="1"/>
    </xf>
    <xf numFmtId="0" fontId="9" fillId="2" borderId="15" xfId="7" applyFont="1" applyFill="1" applyBorder="1" applyAlignment="1">
      <alignment horizontal="justify" vertical="center" wrapText="1"/>
    </xf>
    <xf numFmtId="0" fontId="9" fillId="0" borderId="18" xfId="15" applyNumberFormat="1" applyFont="1" applyFill="1" applyBorder="1" applyAlignment="1">
      <alignment horizontal="center" vertical="center" wrapText="1"/>
    </xf>
    <xf numFmtId="0" fontId="9" fillId="0" borderId="17" xfId="15" applyNumberFormat="1" applyFont="1" applyFill="1" applyBorder="1" applyAlignment="1">
      <alignment horizontal="center" vertical="center" wrapText="1"/>
    </xf>
    <xf numFmtId="0" fontId="9" fillId="0" borderId="15" xfId="15" applyNumberFormat="1" applyFont="1" applyFill="1" applyBorder="1" applyAlignment="1">
      <alignment horizontal="center" vertical="center" wrapText="1"/>
    </xf>
    <xf numFmtId="0" fontId="9" fillId="0" borderId="0" xfId="7" applyFont="1" applyBorder="1" applyAlignment="1">
      <alignment horizontal="center" vertical="center"/>
    </xf>
    <xf numFmtId="0" fontId="9" fillId="0" borderId="20" xfId="7" applyFont="1" applyBorder="1" applyAlignment="1">
      <alignment horizontal="center" vertical="center"/>
    </xf>
    <xf numFmtId="0" fontId="9" fillId="0" borderId="69" xfId="7" applyNumberFormat="1" applyFont="1" applyBorder="1" applyAlignment="1">
      <alignment horizontal="justify" vertical="center" wrapText="1"/>
    </xf>
    <xf numFmtId="3" fontId="9" fillId="27" borderId="7" xfId="0" applyNumberFormat="1" applyFont="1" applyFill="1" applyBorder="1" applyAlignment="1">
      <alignment horizontal="center" vertical="center"/>
    </xf>
    <xf numFmtId="3" fontId="9" fillId="27" borderId="8"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10" borderId="13" xfId="0" applyNumberFormat="1" applyFont="1" applyFill="1" applyBorder="1" applyAlignment="1">
      <alignment horizontal="center" vertical="center"/>
    </xf>
    <xf numFmtId="3" fontId="9" fillId="10" borderId="5" xfId="0" applyNumberFormat="1" applyFont="1" applyFill="1" applyBorder="1" applyAlignment="1">
      <alignment horizontal="center" vertical="center"/>
    </xf>
    <xf numFmtId="3" fontId="9" fillId="10" borderId="14"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9" fillId="0" borderId="18" xfId="0" applyNumberFormat="1" applyFont="1" applyFill="1" applyBorder="1" applyAlignment="1">
      <alignment horizontal="center" vertical="center" wrapText="1"/>
    </xf>
    <xf numFmtId="14" fontId="9" fillId="0" borderId="15" xfId="4" applyNumberFormat="1" applyFont="1" applyFill="1" applyBorder="1" applyAlignment="1">
      <alignment horizontal="center" vertical="center"/>
    </xf>
    <xf numFmtId="14" fontId="9" fillId="0" borderId="17" xfId="4" applyNumberFormat="1" applyFont="1" applyFill="1" applyBorder="1" applyAlignment="1">
      <alignment horizontal="center" vertical="center"/>
    </xf>
    <xf numFmtId="14" fontId="9" fillId="0" borderId="15" xfId="0" applyNumberFormat="1" applyFont="1" applyFill="1" applyBorder="1" applyAlignment="1">
      <alignment horizontal="center" vertical="center"/>
    </xf>
    <xf numFmtId="14" fontId="9" fillId="0" borderId="17"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9" fillId="0" borderId="36" xfId="7" applyFont="1" applyBorder="1" applyAlignment="1">
      <alignment horizontal="center" vertical="center"/>
    </xf>
    <xf numFmtId="0" fontId="9" fillId="0" borderId="38" xfId="7" applyFont="1" applyBorder="1" applyAlignment="1">
      <alignment horizontal="center" vertical="center"/>
    </xf>
    <xf numFmtId="0" fontId="9" fillId="0" borderId="1" xfId="7" applyFont="1" applyBorder="1" applyAlignment="1">
      <alignment horizontal="justify" vertical="center" wrapText="1"/>
    </xf>
    <xf numFmtId="0" fontId="9" fillId="0" borderId="4" xfId="7" applyFont="1" applyBorder="1" applyAlignment="1">
      <alignment horizontal="justify" vertical="center" wrapText="1"/>
    </xf>
    <xf numFmtId="0" fontId="9" fillId="2" borderId="38" xfId="7" applyFont="1" applyFill="1" applyBorder="1" applyAlignment="1">
      <alignment horizontal="center" vertical="center"/>
    </xf>
    <xf numFmtId="0" fontId="9" fillId="2" borderId="14" xfId="7" applyFont="1" applyFill="1" applyBorder="1" applyAlignment="1">
      <alignment horizontal="justify" vertical="center" wrapText="1"/>
    </xf>
    <xf numFmtId="0" fontId="9" fillId="2" borderId="1" xfId="7" applyFont="1" applyFill="1" applyBorder="1" applyAlignment="1">
      <alignment horizontal="justify" vertical="center" wrapText="1"/>
    </xf>
    <xf numFmtId="0" fontId="9" fillId="2" borderId="38" xfId="7" applyFont="1" applyFill="1" applyBorder="1" applyAlignment="1">
      <alignment horizontal="center" vertical="center" wrapText="1"/>
    </xf>
    <xf numFmtId="0" fontId="9" fillId="2" borderId="13" xfId="7" applyFont="1" applyFill="1" applyBorder="1" applyAlignment="1">
      <alignment horizontal="center" vertical="center"/>
    </xf>
    <xf numFmtId="0" fontId="9" fillId="2" borderId="6" xfId="7" applyFont="1" applyFill="1" applyBorder="1" applyAlignment="1">
      <alignment horizontal="center" vertical="center"/>
    </xf>
    <xf numFmtId="0" fontId="9" fillId="2" borderId="38" xfId="7" applyFont="1" applyFill="1" applyBorder="1" applyAlignment="1">
      <alignment horizontal="justify" vertical="center" wrapText="1"/>
    </xf>
    <xf numFmtId="0" fontId="9" fillId="0" borderId="24" xfId="0" applyFont="1" applyBorder="1" applyAlignment="1">
      <alignment horizontal="justify" vertical="center" wrapText="1"/>
    </xf>
    <xf numFmtId="0" fontId="9" fillId="0" borderId="38" xfId="7" applyFont="1" applyBorder="1" applyAlignment="1">
      <alignment horizontal="center" vertical="center" wrapText="1"/>
    </xf>
    <xf numFmtId="0" fontId="9" fillId="0" borderId="38" xfId="7" applyFont="1" applyBorder="1" applyAlignment="1">
      <alignment horizontal="justify" vertical="center" wrapText="1"/>
    </xf>
    <xf numFmtId="9" fontId="9" fillId="2" borderId="38" xfId="7" applyNumberFormat="1" applyFont="1" applyFill="1" applyBorder="1" applyAlignment="1">
      <alignment horizontal="center" vertical="center"/>
    </xf>
    <xf numFmtId="43" fontId="9" fillId="0" borderId="38" xfId="23" applyNumberFormat="1" applyFont="1" applyBorder="1" applyAlignment="1">
      <alignment horizontal="center" vertical="center" wrapText="1"/>
    </xf>
    <xf numFmtId="0" fontId="9" fillId="0" borderId="35" xfId="7" applyFont="1" applyBorder="1" applyAlignment="1">
      <alignment horizontal="justify" vertical="center" wrapText="1"/>
    </xf>
    <xf numFmtId="0" fontId="9" fillId="0" borderId="22" xfId="7" applyFont="1" applyBorder="1" applyAlignment="1">
      <alignment horizontal="justify" vertical="center" wrapText="1"/>
    </xf>
    <xf numFmtId="0" fontId="9" fillId="0" borderId="6" xfId="15" applyFont="1" applyFill="1" applyBorder="1" applyAlignment="1">
      <alignment horizontal="center" vertical="center" wrapText="1"/>
    </xf>
    <xf numFmtId="0" fontId="9" fillId="0" borderId="16" xfId="15" applyFont="1" applyFill="1" applyBorder="1" applyAlignment="1">
      <alignment horizontal="center" vertical="center" wrapText="1"/>
    </xf>
    <xf numFmtId="0" fontId="9" fillId="0" borderId="36" xfId="7" applyFont="1" applyBorder="1" applyAlignment="1">
      <alignment horizontal="justify" vertical="center" wrapText="1"/>
    </xf>
    <xf numFmtId="3" fontId="9" fillId="0" borderId="2" xfId="0" applyNumberFormat="1" applyFont="1" applyFill="1" applyBorder="1" applyAlignment="1">
      <alignment horizontal="center" vertical="center"/>
    </xf>
    <xf numFmtId="0" fontId="9" fillId="0" borderId="28" xfId="27" applyFont="1" applyFill="1" applyBorder="1" applyAlignment="1">
      <alignment horizontal="justify" vertical="center" wrapText="1"/>
    </xf>
    <xf numFmtId="0" fontId="9" fillId="0" borderId="79" xfId="27" applyFont="1" applyFill="1" applyBorder="1" applyAlignment="1">
      <alignment horizontal="justify" vertical="center" wrapText="1"/>
    </xf>
    <xf numFmtId="0" fontId="9" fillId="0" borderId="19" xfId="27" applyFont="1" applyFill="1" applyBorder="1" applyAlignment="1">
      <alignment horizontal="justify" vertical="center" wrapText="1"/>
    </xf>
    <xf numFmtId="3" fontId="9" fillId="0" borderId="2" xfId="0" applyNumberFormat="1" applyFont="1" applyFill="1" applyBorder="1" applyAlignment="1">
      <alignment horizontal="center" vertical="center" wrapText="1"/>
    </xf>
    <xf numFmtId="0" fontId="9" fillId="2" borderId="0" xfId="7" applyFont="1" applyFill="1" applyBorder="1" applyAlignment="1">
      <alignment horizontal="justify" vertical="center" wrapText="1"/>
    </xf>
    <xf numFmtId="0" fontId="9" fillId="2" borderId="47" xfId="7" applyFont="1" applyFill="1" applyBorder="1" applyAlignment="1">
      <alignment horizontal="justify" vertical="center" wrapText="1"/>
    </xf>
    <xf numFmtId="0" fontId="9" fillId="2" borderId="13" xfId="7" applyFont="1" applyFill="1" applyBorder="1" applyAlignment="1">
      <alignment horizontal="center" vertical="center" wrapText="1"/>
    </xf>
    <xf numFmtId="0" fontId="9" fillId="2" borderId="6" xfId="7" applyFont="1" applyFill="1" applyBorder="1" applyAlignment="1">
      <alignment horizontal="center" vertical="center" wrapText="1"/>
    </xf>
    <xf numFmtId="0" fontId="9" fillId="2" borderId="35" xfId="7" applyFont="1" applyFill="1" applyBorder="1" applyAlignment="1">
      <alignment horizontal="justify" vertical="center" wrapText="1"/>
    </xf>
    <xf numFmtId="0" fontId="9" fillId="2" borderId="22" xfId="7" applyFont="1" applyFill="1" applyBorder="1" applyAlignment="1">
      <alignment horizontal="justify" vertical="center" wrapText="1"/>
    </xf>
    <xf numFmtId="9" fontId="9" fillId="0" borderId="13" xfId="0" applyNumberFormat="1" applyFont="1" applyFill="1" applyBorder="1" applyAlignment="1">
      <alignment horizontal="center" vertical="center"/>
    </xf>
    <xf numFmtId="9" fontId="9" fillId="0" borderId="6" xfId="0" applyNumberFormat="1" applyFont="1" applyFill="1" applyBorder="1" applyAlignment="1">
      <alignment horizontal="center" vertical="center"/>
    </xf>
    <xf numFmtId="0" fontId="3" fillId="6" borderId="6" xfId="0" applyFont="1" applyFill="1" applyBorder="1" applyAlignment="1">
      <alignment horizontal="left" vertical="center"/>
    </xf>
    <xf numFmtId="0" fontId="3" fillId="6" borderId="0" xfId="0" applyFont="1" applyFill="1" applyBorder="1" applyAlignment="1">
      <alignment horizontal="left" vertical="center"/>
    </xf>
    <xf numFmtId="0" fontId="9" fillId="29" borderId="2" xfId="7" applyFont="1" applyFill="1" applyBorder="1" applyAlignment="1">
      <alignment horizontal="center" vertical="center"/>
    </xf>
    <xf numFmtId="0" fontId="9" fillId="27" borderId="2" xfId="7" applyFont="1" applyFill="1" applyBorder="1" applyAlignment="1">
      <alignment horizontal="center" vertical="center"/>
    </xf>
    <xf numFmtId="0" fontId="9" fillId="10" borderId="2" xfId="7" applyFont="1" applyFill="1" applyBorder="1" applyAlignment="1">
      <alignment horizontal="center" vertical="center"/>
    </xf>
    <xf numFmtId="188" fontId="9" fillId="0" borderId="15" xfId="0" applyNumberFormat="1" applyFont="1" applyFill="1" applyBorder="1" applyAlignment="1">
      <alignment horizontal="center" vertical="center"/>
    </xf>
    <xf numFmtId="188" fontId="9" fillId="0" borderId="17" xfId="0" applyNumberFormat="1" applyFont="1" applyFill="1" applyBorder="1" applyAlignment="1">
      <alignment horizontal="center" vertical="center"/>
    </xf>
    <xf numFmtId="188" fontId="9" fillId="0" borderId="18" xfId="0" applyNumberFormat="1" applyFont="1" applyFill="1" applyBorder="1" applyAlignment="1">
      <alignment horizontal="center" vertical="center"/>
    </xf>
    <xf numFmtId="43" fontId="9" fillId="0" borderId="37" xfId="23" applyNumberFormat="1" applyFont="1" applyFill="1" applyBorder="1" applyAlignment="1">
      <alignment horizontal="center" vertical="center"/>
    </xf>
    <xf numFmtId="0" fontId="9" fillId="0" borderId="24" xfId="0" applyFont="1" applyFill="1" applyBorder="1" applyAlignment="1">
      <alignment horizontal="center" vertical="center"/>
    </xf>
    <xf numFmtId="14" fontId="9" fillId="0" borderId="2" xfId="7" applyNumberFormat="1" applyFont="1" applyFill="1" applyBorder="1" applyAlignment="1">
      <alignment horizontal="center" vertical="center"/>
    </xf>
    <xf numFmtId="0" fontId="9" fillId="0" borderId="2" xfId="7" applyFont="1" applyFill="1" applyBorder="1" applyAlignment="1">
      <alignment horizontal="center" vertical="center"/>
    </xf>
    <xf numFmtId="0" fontId="9" fillId="2" borderId="18" xfId="7" applyFont="1" applyFill="1" applyBorder="1" applyAlignment="1">
      <alignment horizontal="justify" vertical="center" wrapText="1"/>
    </xf>
    <xf numFmtId="0" fontId="9" fillId="2" borderId="13" xfId="7" applyFont="1" applyFill="1" applyBorder="1" applyAlignment="1">
      <alignment horizontal="justify" vertical="center" wrapText="1"/>
    </xf>
    <xf numFmtId="0" fontId="9" fillId="2" borderId="6" xfId="7" applyFont="1" applyFill="1" applyBorder="1" applyAlignment="1">
      <alignment horizontal="justify" vertical="center" wrapText="1"/>
    </xf>
    <xf numFmtId="0" fontId="9" fillId="0" borderId="40" xfId="25" applyFont="1" applyFill="1" applyBorder="1" applyAlignment="1">
      <alignment horizontal="justify" vertical="center" wrapText="1" readingOrder="2"/>
    </xf>
    <xf numFmtId="0" fontId="9" fillId="0" borderId="0" xfId="25" applyFont="1" applyFill="1" applyBorder="1" applyAlignment="1">
      <alignment horizontal="justify" vertical="center" wrapText="1" readingOrder="2"/>
    </xf>
    <xf numFmtId="0" fontId="9" fillId="0" borderId="3" xfId="25" applyFont="1" applyFill="1" applyBorder="1" applyAlignment="1">
      <alignment horizontal="justify" vertical="center" wrapText="1" readingOrder="2"/>
    </xf>
    <xf numFmtId="0" fontId="9" fillId="0" borderId="28" xfId="25" applyFont="1" applyFill="1" applyBorder="1" applyAlignment="1">
      <alignment horizontal="justify" vertical="center" wrapText="1"/>
    </xf>
    <xf numFmtId="0" fontId="9" fillId="0" borderId="19" xfId="25" applyFont="1" applyFill="1" applyBorder="1" applyAlignment="1">
      <alignment horizontal="justify" vertical="center" wrapText="1"/>
    </xf>
    <xf numFmtId="0" fontId="9" fillId="0" borderId="79" xfId="25" applyFont="1" applyFill="1" applyBorder="1" applyAlignment="1">
      <alignment horizontal="justify" vertical="center" wrapText="1"/>
    </xf>
    <xf numFmtId="9" fontId="9" fillId="2" borderId="40" xfId="7" applyNumberFormat="1" applyFont="1" applyFill="1" applyBorder="1" applyAlignment="1">
      <alignment horizontal="center" vertical="center"/>
    </xf>
    <xf numFmtId="9" fontId="9" fillId="2" borderId="23" xfId="7" applyNumberFormat="1" applyFont="1" applyFill="1" applyBorder="1" applyAlignment="1">
      <alignment horizontal="center" vertical="center"/>
    </xf>
    <xf numFmtId="0" fontId="9" fillId="2" borderId="37" xfId="7" applyFont="1" applyFill="1" applyBorder="1" applyAlignment="1">
      <alignment horizontal="justify" vertical="center" wrapText="1"/>
    </xf>
    <xf numFmtId="0" fontId="9" fillId="2" borderId="33" xfId="7" applyFont="1" applyFill="1" applyBorder="1" applyAlignment="1">
      <alignment horizontal="justify" vertical="center" wrapText="1"/>
    </xf>
    <xf numFmtId="0" fontId="9" fillId="2" borderId="4" xfId="7" applyFont="1" applyFill="1" applyBorder="1" applyAlignment="1">
      <alignment horizontal="justify" vertical="center" wrapText="1"/>
    </xf>
    <xf numFmtId="3" fontId="9" fillId="0" borderId="48" xfId="0" applyNumberFormat="1" applyFont="1" applyFill="1" applyBorder="1" applyAlignment="1">
      <alignment horizontal="center" vertical="center"/>
    </xf>
    <xf numFmtId="9" fontId="9" fillId="2" borderId="38" xfId="7" applyNumberFormat="1" applyFont="1" applyFill="1" applyBorder="1" applyAlignment="1">
      <alignment horizontal="center" vertical="center" wrapText="1"/>
    </xf>
    <xf numFmtId="43" fontId="9" fillId="2" borderId="35" xfId="23" applyNumberFormat="1" applyFont="1" applyFill="1" applyBorder="1" applyAlignment="1">
      <alignment horizontal="center" vertical="center" wrapText="1"/>
    </xf>
    <xf numFmtId="43" fontId="9" fillId="2" borderId="38" xfId="23" applyNumberFormat="1" applyFont="1" applyFill="1" applyBorder="1" applyAlignment="1">
      <alignment horizontal="center" vertical="center" wrapText="1"/>
    </xf>
    <xf numFmtId="0" fontId="9" fillId="2" borderId="21" xfId="7" applyFont="1" applyFill="1" applyBorder="1" applyAlignment="1">
      <alignment horizontal="justify" vertical="center" wrapText="1"/>
    </xf>
    <xf numFmtId="0" fontId="9" fillId="2" borderId="19" xfId="7" applyFont="1" applyFill="1" applyBorder="1" applyAlignment="1">
      <alignment horizontal="justify" vertical="center" wrapText="1"/>
    </xf>
    <xf numFmtId="9" fontId="9" fillId="2" borderId="30" xfId="7" applyNumberFormat="1" applyFont="1" applyFill="1" applyBorder="1" applyAlignment="1">
      <alignment horizontal="center" vertical="center"/>
    </xf>
    <xf numFmtId="1" fontId="9" fillId="0" borderId="24" xfId="7" applyNumberFormat="1" applyFont="1" applyFill="1" applyBorder="1" applyAlignment="1">
      <alignment horizontal="center" vertical="center"/>
    </xf>
    <xf numFmtId="0" fontId="9" fillId="0" borderId="2" xfId="7" applyFont="1" applyFill="1" applyBorder="1" applyAlignment="1">
      <alignment horizontal="justify" vertical="center" wrapText="1"/>
    </xf>
    <xf numFmtId="3" fontId="9" fillId="11" borderId="15" xfId="0" applyNumberFormat="1" applyFont="1" applyFill="1" applyBorder="1" applyAlignment="1">
      <alignment horizontal="center" vertical="center"/>
    </xf>
    <xf numFmtId="3" fontId="9" fillId="11" borderId="17" xfId="0" applyNumberFormat="1" applyFont="1" applyFill="1" applyBorder="1" applyAlignment="1">
      <alignment horizontal="center" vertical="center"/>
    </xf>
    <xf numFmtId="3" fontId="9" fillId="11" borderId="48" xfId="0" applyNumberFormat="1" applyFont="1" applyFill="1" applyBorder="1" applyAlignment="1">
      <alignment horizontal="center" vertical="center"/>
    </xf>
    <xf numFmtId="0" fontId="9" fillId="0" borderId="2" xfId="7" applyFont="1" applyBorder="1" applyAlignment="1">
      <alignment horizontal="center" vertical="center"/>
    </xf>
    <xf numFmtId="0" fontId="9" fillId="0" borderId="5" xfId="25" applyFont="1" applyFill="1" applyBorder="1" applyAlignment="1">
      <alignment horizontal="justify" vertical="center" wrapText="1"/>
    </xf>
    <xf numFmtId="0" fontId="9" fillId="0" borderId="3" xfId="25" applyFont="1" applyFill="1" applyBorder="1" applyAlignment="1">
      <alignment horizontal="justify" vertical="center" wrapText="1"/>
    </xf>
    <xf numFmtId="0" fontId="9" fillId="0" borderId="0" xfId="25" applyFont="1" applyFill="1" applyBorder="1" applyAlignment="1">
      <alignment horizontal="justify" vertical="center" wrapText="1"/>
    </xf>
    <xf numFmtId="0" fontId="9" fillId="0" borderId="15"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18" xfId="7" applyFont="1" applyBorder="1" applyAlignment="1">
      <alignment horizontal="center" vertical="center" wrapText="1"/>
    </xf>
    <xf numFmtId="14" fontId="9" fillId="0" borderId="2" xfId="7" applyNumberFormat="1" applyFont="1" applyBorder="1" applyAlignment="1">
      <alignment horizontal="center" vertical="center"/>
    </xf>
    <xf numFmtId="171" fontId="9" fillId="2" borderId="15" xfId="7" applyNumberFormat="1" applyFont="1" applyFill="1" applyBorder="1" applyAlignment="1">
      <alignment horizontal="center" vertical="center" wrapText="1"/>
    </xf>
    <xf numFmtId="171" fontId="9" fillId="2" borderId="17" xfId="7" applyNumberFormat="1" applyFont="1" applyFill="1" applyBorder="1" applyAlignment="1">
      <alignment horizontal="center" vertical="center" wrapText="1"/>
    </xf>
    <xf numFmtId="175" fontId="9" fillId="0" borderId="15" xfId="20" applyNumberFormat="1" applyFont="1" applyBorder="1" applyAlignment="1">
      <alignment horizontal="center" vertical="center"/>
    </xf>
    <xf numFmtId="175" fontId="9" fillId="0" borderId="17" xfId="20" applyNumberFormat="1" applyFont="1" applyBorder="1" applyAlignment="1">
      <alignment horizontal="center" vertical="center"/>
    </xf>
    <xf numFmtId="175" fontId="9" fillId="0" borderId="18" xfId="20" applyNumberFormat="1" applyFont="1" applyBorder="1" applyAlignment="1">
      <alignment horizontal="center" vertical="center"/>
    </xf>
    <xf numFmtId="10" fontId="9" fillId="0" borderId="15" xfId="4" applyNumberFormat="1" applyFont="1" applyBorder="1" applyAlignment="1">
      <alignment horizontal="center" vertical="center"/>
    </xf>
    <xf numFmtId="10" fontId="9" fillId="0" borderId="17" xfId="4" applyNumberFormat="1" applyFont="1" applyBorder="1" applyAlignment="1">
      <alignment horizontal="center" vertical="center"/>
    </xf>
    <xf numFmtId="10" fontId="9" fillId="0" borderId="18" xfId="4" applyNumberFormat="1" applyFont="1" applyBorder="1" applyAlignment="1">
      <alignment horizontal="center" vertical="center"/>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9" fontId="9" fillId="2" borderId="37" xfId="7" applyNumberFormat="1" applyFont="1" applyFill="1" applyBorder="1" applyAlignment="1">
      <alignment horizontal="center" vertical="center"/>
    </xf>
    <xf numFmtId="9" fontId="9" fillId="2" borderId="33" xfId="7" applyNumberFormat="1" applyFont="1" applyFill="1" applyBorder="1" applyAlignment="1">
      <alignment horizontal="center" vertical="center"/>
    </xf>
    <xf numFmtId="9" fontId="9" fillId="2" borderId="36" xfId="7" applyNumberFormat="1" applyFont="1" applyFill="1" applyBorder="1" applyAlignment="1">
      <alignment horizontal="center" vertical="center"/>
    </xf>
    <xf numFmtId="0" fontId="9" fillId="2" borderId="36" xfId="7" applyFont="1" applyFill="1" applyBorder="1" applyAlignment="1">
      <alignment horizontal="center" vertical="center" wrapText="1"/>
    </xf>
    <xf numFmtId="0" fontId="9" fillId="2" borderId="32" xfId="7" applyFont="1" applyFill="1" applyBorder="1" applyAlignment="1">
      <alignment horizontal="justify" vertical="center" wrapText="1"/>
    </xf>
    <xf numFmtId="0" fontId="9" fillId="2" borderId="34" xfId="7" applyFont="1" applyFill="1" applyBorder="1" applyAlignment="1">
      <alignment horizontal="justify" vertical="center" wrapText="1"/>
    </xf>
    <xf numFmtId="0" fontId="9" fillId="2" borderId="42" xfId="7" applyFont="1" applyFill="1" applyBorder="1" applyAlignment="1">
      <alignment horizontal="justify" vertical="center" wrapText="1"/>
    </xf>
    <xf numFmtId="0" fontId="9" fillId="2" borderId="43" xfId="7" applyFont="1" applyFill="1" applyBorder="1" applyAlignment="1">
      <alignment horizontal="justify" vertical="center" wrapText="1"/>
    </xf>
    <xf numFmtId="0" fontId="9" fillId="2" borderId="45" xfId="7" applyFont="1" applyFill="1" applyBorder="1" applyAlignment="1">
      <alignment horizontal="justify" vertical="center" wrapText="1"/>
    </xf>
    <xf numFmtId="0" fontId="9" fillId="2" borderId="26" xfId="7"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3" xfId="7" applyFont="1" applyBorder="1" applyAlignment="1">
      <alignment horizontal="center" vertical="center"/>
    </xf>
    <xf numFmtId="0" fontId="2" fillId="0" borderId="5" xfId="7" applyFont="1" applyBorder="1" applyAlignment="1">
      <alignment horizontal="center" vertical="center"/>
    </xf>
    <xf numFmtId="0" fontId="2" fillId="0" borderId="14" xfId="7" applyFont="1" applyBorder="1" applyAlignment="1">
      <alignment horizontal="center" vertical="center"/>
    </xf>
    <xf numFmtId="0" fontId="2" fillId="0" borderId="16"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14" xfId="0" applyFont="1" applyBorder="1" applyAlignment="1">
      <alignment horizontal="center" vertical="center"/>
    </xf>
    <xf numFmtId="0" fontId="2" fillId="15" borderId="13" xfId="0" applyFont="1" applyFill="1" applyBorder="1" applyAlignment="1">
      <alignment horizontal="center" vertical="center"/>
    </xf>
    <xf numFmtId="0" fontId="2" fillId="15" borderId="5" xfId="0" applyFont="1" applyFill="1" applyBorder="1" applyAlignment="1">
      <alignment horizontal="center" vertical="center"/>
    </xf>
    <xf numFmtId="1" fontId="2" fillId="3" borderId="5"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3" fontId="2" fillId="5" borderId="48" xfId="0" applyNumberFormat="1" applyFont="1" applyFill="1" applyBorder="1" applyAlignment="1">
      <alignment horizontal="center" vertical="center" wrapText="1"/>
    </xf>
    <xf numFmtId="168" fontId="13" fillId="3" borderId="7" xfId="5" applyFont="1" applyFill="1" applyBorder="1" applyAlignment="1">
      <alignment horizontal="center" vertical="center"/>
    </xf>
    <xf numFmtId="168" fontId="13" fillId="3" borderId="8" xfId="5" applyFont="1" applyFill="1" applyBorder="1" applyAlignment="1">
      <alignment horizontal="center" vertical="center"/>
    </xf>
    <xf numFmtId="168" fontId="13" fillId="3" borderId="9" xfId="5" applyFont="1" applyFill="1" applyBorder="1" applyAlignment="1">
      <alignment horizontal="center" vertical="center"/>
    </xf>
    <xf numFmtId="0" fontId="2" fillId="5" borderId="66"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0" xfId="0" applyFont="1" applyFill="1" applyBorder="1" applyAlignment="1">
      <alignment horizontal="center" vertical="center" wrapText="1"/>
    </xf>
    <xf numFmtId="171" fontId="2" fillId="5" borderId="2" xfId="0" applyNumberFormat="1"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2" fillId="5" borderId="1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6" borderId="19" xfId="0" applyFont="1" applyFill="1" applyBorder="1" applyAlignment="1">
      <alignment horizontal="left" vertical="center"/>
    </xf>
    <xf numFmtId="0" fontId="2" fillId="6" borderId="0" xfId="0" applyFont="1" applyFill="1" applyBorder="1" applyAlignment="1">
      <alignment horizontal="left" vertical="center"/>
    </xf>
    <xf numFmtId="0" fontId="3" fillId="8" borderId="28" xfId="0" applyFont="1" applyFill="1" applyBorder="1" applyAlignment="1">
      <alignment horizontal="left" vertical="center"/>
    </xf>
    <xf numFmtId="0" fontId="3" fillId="8" borderId="5"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38" xfId="0" applyFont="1" applyFill="1" applyBorder="1" applyAlignment="1">
      <alignment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8" xfId="0" applyFont="1" applyFill="1" applyBorder="1" applyAlignment="1">
      <alignment horizontal="justify" vertical="center" wrapText="1"/>
    </xf>
    <xf numFmtId="0" fontId="4" fillId="0" borderId="19" xfId="0" applyFont="1" applyFill="1" applyBorder="1" applyAlignment="1">
      <alignment horizontal="justify" vertical="center" wrapText="1"/>
    </xf>
    <xf numFmtId="10" fontId="4" fillId="0" borderId="15" xfId="4" applyNumberFormat="1" applyFont="1" applyFill="1" applyBorder="1" applyAlignment="1">
      <alignment horizontal="center" vertical="center" wrapText="1"/>
    </xf>
    <xf numFmtId="10" fontId="4" fillId="0" borderId="17" xfId="4" applyNumberFormat="1" applyFont="1" applyFill="1" applyBorder="1" applyAlignment="1">
      <alignment horizontal="center" vertical="center" wrapText="1"/>
    </xf>
    <xf numFmtId="180" fontId="4" fillId="0" borderId="14"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4" fillId="0" borderId="55"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4" fillId="0" borderId="37" xfId="0" applyFont="1" applyFill="1" applyBorder="1" applyAlignment="1">
      <alignment vertical="center" wrapText="1"/>
    </xf>
    <xf numFmtId="0" fontId="4" fillId="0" borderId="33" xfId="0" applyFont="1" applyFill="1" applyBorder="1" applyAlignment="1">
      <alignment vertical="center" wrapText="1"/>
    </xf>
    <xf numFmtId="0" fontId="4" fillId="0" borderId="37"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10" fontId="4" fillId="0" borderId="38" xfId="4"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textRotation="91" wrapText="1"/>
    </xf>
    <xf numFmtId="1" fontId="4" fillId="0" borderId="17" xfId="0" applyNumberFormat="1" applyFont="1" applyFill="1" applyBorder="1" applyAlignment="1">
      <alignment horizontal="center" vertical="center" textRotation="91" wrapText="1"/>
    </xf>
    <xf numFmtId="3" fontId="4" fillId="0" borderId="37" xfId="0" applyNumberFormat="1" applyFont="1" applyFill="1" applyBorder="1" applyAlignment="1">
      <alignment horizontal="justify" vertical="center" wrapText="1"/>
    </xf>
    <xf numFmtId="3" fontId="4" fillId="0" borderId="33" xfId="0" applyNumberFormat="1" applyFont="1" applyFill="1" applyBorder="1" applyAlignment="1">
      <alignment horizontal="justify" vertical="center" wrapText="1"/>
    </xf>
    <xf numFmtId="3" fontId="4" fillId="0" borderId="36" xfId="0" applyNumberFormat="1" applyFont="1" applyFill="1" applyBorder="1" applyAlignment="1">
      <alignment horizontal="justify" vertical="center" wrapText="1"/>
    </xf>
    <xf numFmtId="0" fontId="4" fillId="0" borderId="4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45" xfId="0" applyFont="1" applyFill="1" applyBorder="1" applyAlignment="1">
      <alignment horizontal="justify" vertical="center" wrapText="1"/>
    </xf>
    <xf numFmtId="3" fontId="4" fillId="0" borderId="23" xfId="0" applyNumberFormat="1" applyFont="1" applyFill="1" applyBorder="1" applyAlignment="1">
      <alignment horizontal="justify" vertical="center" wrapText="1"/>
    </xf>
    <xf numFmtId="3" fontId="4" fillId="0" borderId="19" xfId="0" applyNumberFormat="1" applyFont="1" applyFill="1" applyBorder="1" applyAlignment="1">
      <alignment horizontal="justify" vertical="center" wrapText="1"/>
    </xf>
    <xf numFmtId="3" fontId="4" fillId="0" borderId="15"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0" fontId="4" fillId="0" borderId="38"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40" xfId="0" applyFont="1" applyFill="1" applyBorder="1" applyAlignment="1">
      <alignment vertical="center" wrapText="1"/>
    </xf>
    <xf numFmtId="9" fontId="4" fillId="0" borderId="15" xfId="4" applyFont="1" applyFill="1" applyBorder="1" applyAlignment="1">
      <alignment horizontal="center" vertical="center" textRotation="91" wrapText="1"/>
    </xf>
    <xf numFmtId="9" fontId="4" fillId="0" borderId="17" xfId="4" applyFont="1" applyFill="1" applyBorder="1" applyAlignment="1">
      <alignment horizontal="center" vertical="center" textRotation="91" wrapText="1"/>
    </xf>
    <xf numFmtId="179" fontId="32" fillId="0" borderId="51" xfId="13" applyFont="1" applyFill="1">
      <alignment horizontal="center"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justify" vertical="center" wrapText="1"/>
    </xf>
    <xf numFmtId="9" fontId="4" fillId="0" borderId="38" xfId="4" applyFont="1" applyFill="1" applyBorder="1" applyAlignment="1">
      <alignment horizontal="center" vertical="center" wrapText="1"/>
    </xf>
    <xf numFmtId="180" fontId="4" fillId="0" borderId="38" xfId="0"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0" xfId="0" applyFont="1" applyFill="1" applyBorder="1" applyAlignment="1">
      <alignment horizontal="justify" vertical="center" wrapText="1"/>
    </xf>
    <xf numFmtId="1" fontId="4" fillId="0" borderId="38" xfId="0" applyNumberFormat="1" applyFont="1" applyFill="1" applyBorder="1" applyAlignment="1">
      <alignment horizontal="center" vertical="center" wrapText="1"/>
    </xf>
    <xf numFmtId="3" fontId="4" fillId="0" borderId="66" xfId="0" applyNumberFormat="1" applyFont="1" applyFill="1" applyBorder="1" applyAlignment="1">
      <alignment horizontal="justify" vertical="center" wrapText="1"/>
    </xf>
    <xf numFmtId="3" fontId="4" fillId="0" borderId="6" xfId="0" applyNumberFormat="1" applyFont="1" applyFill="1" applyBorder="1" applyAlignment="1">
      <alignment horizontal="justify" vertical="center" wrapText="1"/>
    </xf>
    <xf numFmtId="3" fontId="4" fillId="0" borderId="57" xfId="0" applyNumberFormat="1"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30" xfId="0" applyFont="1" applyFill="1" applyBorder="1" applyAlignment="1">
      <alignment horizontal="justify" vertical="center" wrapText="1"/>
    </xf>
    <xf numFmtId="0" fontId="9" fillId="0" borderId="38" xfId="16"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9" fontId="4" fillId="0" borderId="38" xfId="4" applyNumberFormat="1" applyFont="1" applyFill="1" applyBorder="1" applyAlignment="1">
      <alignment horizontal="center" vertical="center" wrapText="1"/>
    </xf>
    <xf numFmtId="0" fontId="4" fillId="0" borderId="38" xfId="4" applyNumberFormat="1" applyFont="1" applyFill="1" applyBorder="1" applyAlignment="1">
      <alignment horizontal="center" vertical="center" wrapText="1"/>
    </xf>
    <xf numFmtId="169" fontId="4" fillId="0" borderId="38" xfId="0" applyNumberFormat="1" applyFont="1" applyFill="1" applyBorder="1" applyAlignment="1">
      <alignment horizontal="center" vertical="center" wrapText="1"/>
    </xf>
    <xf numFmtId="0" fontId="4" fillId="0" borderId="36" xfId="0" applyFont="1" applyFill="1" applyBorder="1" applyAlignment="1">
      <alignment horizontal="justify" vertical="center" wrapText="1"/>
    </xf>
    <xf numFmtId="9" fontId="4" fillId="0" borderId="36" xfId="4" applyFont="1" applyFill="1" applyBorder="1" applyAlignment="1">
      <alignment horizontal="center"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1" fontId="4" fillId="0" borderId="36"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80" fontId="4" fillId="0" borderId="36" xfId="0" applyNumberFormat="1" applyFont="1" applyFill="1" applyBorder="1" applyAlignment="1">
      <alignment horizontal="center" vertical="center" wrapText="1"/>
    </xf>
    <xf numFmtId="3" fontId="4" fillId="0" borderId="30" xfId="0" applyNumberFormat="1" applyFont="1" applyFill="1" applyBorder="1" applyAlignment="1">
      <alignment horizontal="justify" vertical="center" wrapText="1"/>
    </xf>
    <xf numFmtId="169" fontId="4" fillId="0" borderId="36" xfId="0" applyNumberFormat="1" applyFont="1" applyFill="1" applyBorder="1" applyAlignment="1">
      <alignment horizontal="center" vertical="center" wrapText="1"/>
    </xf>
    <xf numFmtId="9" fontId="4" fillId="0" borderId="35" xfId="4"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180" fontId="4" fillId="0" borderId="17" xfId="0" applyNumberFormat="1" applyFont="1" applyFill="1" applyBorder="1" applyAlignment="1">
      <alignment horizontal="center" vertical="center" wrapText="1"/>
    </xf>
    <xf numFmtId="180" fontId="4" fillId="0" borderId="18" xfId="0" applyNumberFormat="1" applyFont="1" applyFill="1" applyBorder="1" applyAlignment="1">
      <alignment horizontal="center" vertical="center" wrapText="1"/>
    </xf>
    <xf numFmtId="0" fontId="4" fillId="0" borderId="41" xfId="0" applyFont="1" applyFill="1" applyBorder="1" applyAlignment="1">
      <alignment horizontal="justify" vertical="center" wrapText="1"/>
    </xf>
    <xf numFmtId="0" fontId="9" fillId="0" borderId="15" xfId="16" applyNumberFormat="1" applyFont="1" applyFill="1" applyBorder="1" applyAlignment="1">
      <alignment horizontal="center" vertical="center" wrapText="1"/>
    </xf>
    <xf numFmtId="0" fontId="9" fillId="0" borderId="17" xfId="16" applyNumberFormat="1" applyFont="1" applyFill="1" applyBorder="1" applyAlignment="1">
      <alignment horizontal="center" vertical="center" wrapText="1"/>
    </xf>
    <xf numFmtId="0" fontId="9" fillId="0" borderId="18" xfId="16" applyNumberFormat="1" applyFont="1" applyFill="1" applyBorder="1" applyAlignment="1">
      <alignment horizontal="center" vertical="center" wrapText="1"/>
    </xf>
    <xf numFmtId="0" fontId="9" fillId="0" borderId="55" xfId="7" applyFont="1" applyFill="1" applyBorder="1" applyAlignment="1">
      <alignment horizontal="justify" vertical="center" wrapText="1"/>
    </xf>
    <xf numFmtId="0" fontId="9" fillId="0" borderId="27" xfId="7" applyFont="1" applyFill="1" applyBorder="1" applyAlignment="1">
      <alignment horizontal="justify" vertical="center" wrapText="1"/>
    </xf>
    <xf numFmtId="0" fontId="9" fillId="0" borderId="29" xfId="7" applyFont="1" applyFill="1" applyBorder="1" applyAlignment="1">
      <alignment horizontal="justify" vertical="center" wrapText="1"/>
    </xf>
    <xf numFmtId="9" fontId="4" fillId="0" borderId="15" xfId="4"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9" fillId="0" borderId="55" xfId="7" applyFont="1" applyFill="1" applyBorder="1" applyAlignment="1">
      <alignment vertical="center" wrapText="1"/>
    </xf>
    <xf numFmtId="0" fontId="9" fillId="0" borderId="27" xfId="7" applyFont="1" applyFill="1" applyBorder="1" applyAlignment="1">
      <alignment vertical="center" wrapText="1"/>
    </xf>
    <xf numFmtId="0" fontId="9" fillId="0" borderId="29" xfId="7" applyFont="1" applyFill="1" applyBorder="1" applyAlignment="1">
      <alignment vertical="center" wrapText="1"/>
    </xf>
    <xf numFmtId="0" fontId="9" fillId="0" borderId="6" xfId="7" applyFont="1" applyBorder="1" applyAlignment="1">
      <alignment horizontal="justify" vertical="center" wrapText="1"/>
    </xf>
    <xf numFmtId="0" fontId="9" fillId="2" borderId="34" xfId="7" applyFont="1" applyFill="1" applyBorder="1" applyAlignment="1">
      <alignment horizontal="center" vertical="center" wrapText="1"/>
    </xf>
    <xf numFmtId="0" fontId="4" fillId="0" borderId="55" xfId="0" applyFont="1" applyBorder="1" applyAlignment="1">
      <alignment horizontal="justify" vertical="center" wrapText="1"/>
    </xf>
    <xf numFmtId="0" fontId="4" fillId="0" borderId="29" xfId="0" applyFont="1" applyBorder="1" applyAlignment="1">
      <alignment horizontal="justify" vertical="center" wrapText="1"/>
    </xf>
    <xf numFmtId="9" fontId="4" fillId="2" borderId="18" xfId="0" applyNumberFormat="1" applyFont="1" applyFill="1" applyBorder="1" applyAlignment="1">
      <alignment horizontal="center" vertical="center"/>
    </xf>
    <xf numFmtId="0" fontId="9" fillId="0" borderId="2" xfId="15" applyFont="1" applyFill="1" applyBorder="1">
      <alignment horizontal="center" vertical="center" wrapText="1"/>
    </xf>
    <xf numFmtId="169" fontId="4" fillId="0" borderId="26" xfId="0" applyNumberFormat="1" applyFont="1" applyBorder="1" applyAlignment="1">
      <alignment horizontal="center" vertical="center" wrapText="1"/>
    </xf>
    <xf numFmtId="169" fontId="4" fillId="0" borderId="17" xfId="0" applyNumberFormat="1" applyFont="1" applyBorder="1" applyAlignment="1">
      <alignment horizontal="center" vertical="center" wrapText="1"/>
    </xf>
    <xf numFmtId="169" fontId="4" fillId="0" borderId="18" xfId="0" applyNumberFormat="1" applyFont="1" applyBorder="1" applyAlignment="1">
      <alignment horizontal="center" vertical="center" wrapText="1"/>
    </xf>
    <xf numFmtId="3" fontId="4" fillId="2" borderId="26"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186" fontId="4" fillId="0" borderId="26" xfId="0" applyNumberFormat="1" applyFont="1" applyBorder="1" applyAlignment="1">
      <alignment horizontal="center" vertical="center" wrapText="1"/>
    </xf>
    <xf numFmtId="186" fontId="4" fillId="0" borderId="17" xfId="0" applyNumberFormat="1" applyFont="1" applyBorder="1" applyAlignment="1">
      <alignment horizontal="center" vertical="center" wrapText="1"/>
    </xf>
    <xf numFmtId="186" fontId="4" fillId="0" borderId="18" xfId="0" applyNumberFormat="1" applyFont="1" applyBorder="1" applyAlignment="1">
      <alignment horizontal="center" vertical="center" wrapText="1"/>
    </xf>
    <xf numFmtId="169" fontId="4" fillId="2" borderId="26" xfId="0" applyNumberFormat="1" applyFont="1" applyFill="1" applyBorder="1" applyAlignment="1">
      <alignment horizontal="center" vertical="center" wrapText="1"/>
    </xf>
    <xf numFmtId="41" fontId="4" fillId="0" borderId="17" xfId="20" applyFont="1" applyBorder="1" applyAlignment="1">
      <alignment horizontal="center" vertical="center"/>
    </xf>
    <xf numFmtId="41" fontId="4" fillId="0" borderId="18" xfId="20" applyFont="1" applyBorder="1" applyAlignment="1">
      <alignment horizontal="center" vertical="center"/>
    </xf>
    <xf numFmtId="10" fontId="4" fillId="0" borderId="17" xfId="4" applyNumberFormat="1" applyFont="1" applyBorder="1" applyAlignment="1">
      <alignment horizontal="center" vertical="center"/>
    </xf>
    <xf numFmtId="10" fontId="4" fillId="0" borderId="18" xfId="4" applyNumberFormat="1" applyFont="1" applyBorder="1" applyAlignment="1">
      <alignment horizontal="center" vertical="center"/>
    </xf>
    <xf numFmtId="0" fontId="2" fillId="10" borderId="40" xfId="0" applyFont="1" applyFill="1" applyBorder="1" applyAlignment="1">
      <alignment horizontal="left" vertical="center"/>
    </xf>
    <xf numFmtId="0" fontId="2" fillId="10" borderId="24" xfId="0" applyFont="1" applyFill="1" applyBorder="1" applyAlignment="1">
      <alignment horizontal="left" vertical="center"/>
    </xf>
    <xf numFmtId="167" fontId="9" fillId="0" borderId="17" xfId="12" applyFont="1" applyBorder="1" applyAlignment="1">
      <alignment horizontal="center" vertical="center" wrapText="1"/>
    </xf>
    <xf numFmtId="167" fontId="9" fillId="0" borderId="18" xfId="12"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7" xfId="15" applyFont="1" applyFill="1" applyBorder="1">
      <alignment horizontal="center" vertical="center" wrapText="1"/>
    </xf>
    <xf numFmtId="1" fontId="4" fillId="2" borderId="48" xfId="0" applyNumberFormat="1" applyFont="1" applyFill="1" applyBorder="1" applyAlignment="1">
      <alignment horizontal="center" vertical="center" wrapText="1"/>
    </xf>
    <xf numFmtId="169" fontId="4" fillId="2" borderId="48"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48"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1" fontId="4" fillId="2" borderId="1" xfId="20" applyFont="1" applyFill="1" applyBorder="1" applyAlignment="1">
      <alignment horizontal="center" vertical="center" wrapText="1"/>
    </xf>
    <xf numFmtId="41" fontId="4" fillId="2" borderId="17" xfId="20" applyFont="1" applyFill="1" applyBorder="1" applyAlignment="1">
      <alignment horizontal="center" vertical="center" wrapText="1"/>
    </xf>
    <xf numFmtId="10" fontId="4" fillId="2" borderId="1" xfId="4" applyNumberFormat="1" applyFont="1" applyFill="1" applyBorder="1" applyAlignment="1">
      <alignment horizontal="center" vertical="center" wrapText="1"/>
    </xf>
    <xf numFmtId="10" fontId="4" fillId="2" borderId="17" xfId="4" applyNumberFormat="1" applyFont="1" applyFill="1" applyBorder="1" applyAlignment="1">
      <alignment horizontal="center" vertical="center" wrapText="1"/>
    </xf>
    <xf numFmtId="167" fontId="9" fillId="2" borderId="33" xfId="12" applyFont="1" applyFill="1" applyBorder="1" applyAlignment="1">
      <alignment horizontal="center" vertical="center"/>
    </xf>
    <xf numFmtId="0" fontId="9" fillId="0" borderId="61" xfId="0" applyFont="1" applyBorder="1" applyAlignment="1">
      <alignment horizontal="justify" vertical="center" wrapText="1"/>
    </xf>
    <xf numFmtId="0" fontId="9" fillId="0" borderId="43"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9" fillId="2" borderId="43" xfId="0" applyFont="1" applyFill="1" applyBorder="1" applyAlignment="1">
      <alignment horizontal="justify" vertical="center" wrapText="1"/>
    </xf>
    <xf numFmtId="9" fontId="4" fillId="2" borderId="27" xfId="0" applyNumberFormat="1" applyFont="1" applyFill="1" applyBorder="1" applyAlignment="1">
      <alignment horizontal="center" vertical="center" wrapText="1"/>
    </xf>
    <xf numFmtId="10" fontId="4" fillId="2" borderId="38" xfId="0" applyNumberFormat="1" applyFont="1" applyFill="1" applyBorder="1" applyAlignment="1">
      <alignment horizontal="center" vertical="center" wrapText="1"/>
    </xf>
    <xf numFmtId="0" fontId="4" fillId="0" borderId="34"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167" fontId="9" fillId="0" borderId="38" xfId="12" applyFont="1" applyBorder="1" applyAlignment="1">
      <alignment horizontal="center" vertical="center" wrapText="1"/>
    </xf>
    <xf numFmtId="167" fontId="9" fillId="0" borderId="35" xfId="12" applyFont="1" applyBorder="1" applyAlignment="1">
      <alignment horizontal="center" vertical="center" wrapText="1"/>
    </xf>
    <xf numFmtId="3" fontId="4" fillId="0" borderId="38" xfId="0" applyNumberFormat="1" applyFont="1" applyBorder="1" applyAlignment="1">
      <alignment horizontal="justify" vertical="center" wrapText="1"/>
    </xf>
    <xf numFmtId="0" fontId="9" fillId="0" borderId="38" xfId="13" applyNumberFormat="1" applyFont="1" applyFill="1" applyBorder="1">
      <alignment horizontal="center" vertical="center" wrapText="1"/>
    </xf>
    <xf numFmtId="0" fontId="9" fillId="0" borderId="37" xfId="13" applyNumberFormat="1" applyFont="1" applyFill="1" applyBorder="1">
      <alignment horizontal="center" vertical="center" wrapText="1"/>
    </xf>
    <xf numFmtId="0" fontId="9" fillId="2" borderId="38" xfId="13" applyNumberFormat="1" applyFont="1" applyFill="1" applyBorder="1">
      <alignment horizontal="center" vertical="center" wrapText="1"/>
    </xf>
    <xf numFmtId="0" fontId="9" fillId="2" borderId="35" xfId="0" applyFont="1" applyFill="1" applyBorder="1" applyAlignment="1">
      <alignment horizontal="justify" vertical="center" wrapText="1"/>
    </xf>
    <xf numFmtId="0" fontId="9" fillId="2" borderId="38" xfId="15" applyFont="1" applyFill="1" applyBorder="1">
      <alignment horizontal="center" vertical="center" wrapText="1"/>
    </xf>
    <xf numFmtId="0" fontId="9" fillId="0" borderId="40" xfId="7" applyFont="1" applyBorder="1" applyAlignment="1">
      <alignment horizontal="center" vertical="center" wrapText="1"/>
    </xf>
    <xf numFmtId="1" fontId="4" fillId="2" borderId="31" xfId="0" applyNumberFormat="1" applyFont="1" applyFill="1" applyBorder="1" applyAlignment="1">
      <alignment horizontal="center" vertical="center" wrapText="1"/>
    </xf>
    <xf numFmtId="1" fontId="4" fillId="2" borderId="21" xfId="0" applyNumberFormat="1" applyFont="1" applyFill="1" applyBorder="1" applyAlignment="1">
      <alignment horizontal="center" vertical="center" wrapText="1"/>
    </xf>
    <xf numFmtId="1" fontId="4" fillId="2" borderId="65" xfId="0" applyNumberFormat="1" applyFont="1" applyFill="1" applyBorder="1" applyAlignment="1">
      <alignment horizontal="center" vertical="center" wrapText="1"/>
    </xf>
    <xf numFmtId="169" fontId="4" fillId="2" borderId="42" xfId="0" applyNumberFormat="1" applyFont="1" applyFill="1" applyBorder="1" applyAlignment="1">
      <alignment horizontal="center" vertical="center" wrapText="1"/>
    </xf>
    <xf numFmtId="169" fontId="4" fillId="2" borderId="43" xfId="0" applyNumberFormat="1" applyFont="1" applyFill="1" applyBorder="1" applyAlignment="1">
      <alignment horizontal="center" vertical="center" wrapText="1"/>
    </xf>
    <xf numFmtId="169" fontId="4" fillId="2" borderId="45" xfId="0" applyNumberFormat="1" applyFont="1" applyFill="1" applyBorder="1" applyAlignment="1">
      <alignment horizontal="center" vertical="center" wrapText="1"/>
    </xf>
    <xf numFmtId="1" fontId="4" fillId="2" borderId="40" xfId="0" applyNumberFormat="1" applyFont="1" applyFill="1" applyBorder="1" applyAlignment="1">
      <alignment horizontal="center" vertical="center" wrapText="1"/>
    </xf>
    <xf numFmtId="41" fontId="4" fillId="2" borderId="2" xfId="20" applyFont="1" applyFill="1" applyBorder="1" applyAlignment="1">
      <alignment horizontal="center" vertical="center" wrapText="1"/>
    </xf>
    <xf numFmtId="10" fontId="4" fillId="2" borderId="2" xfId="4" applyNumberFormat="1" applyFont="1" applyFill="1" applyBorder="1" applyAlignment="1">
      <alignment horizontal="center" vertical="center" wrapText="1"/>
    </xf>
    <xf numFmtId="1" fontId="4" fillId="2" borderId="38" xfId="0" applyNumberFormat="1" applyFont="1" applyFill="1" applyBorder="1" applyAlignment="1">
      <alignment horizontal="center" vertical="center" wrapText="1"/>
    </xf>
    <xf numFmtId="10" fontId="4" fillId="2" borderId="31" xfId="0" applyNumberFormat="1" applyFont="1" applyFill="1" applyBorder="1" applyAlignment="1">
      <alignment horizontal="center" vertical="center" wrapText="1"/>
    </xf>
    <xf numFmtId="10" fontId="4" fillId="2" borderId="21" xfId="0" applyNumberFormat="1" applyFont="1" applyFill="1" applyBorder="1" applyAlignment="1">
      <alignment horizontal="center" vertical="center" wrapText="1"/>
    </xf>
    <xf numFmtId="10" fontId="4" fillId="2" borderId="65" xfId="0" applyNumberFormat="1" applyFont="1" applyFill="1" applyBorder="1" applyAlignment="1">
      <alignment horizontal="center" vertical="center" wrapText="1"/>
    </xf>
    <xf numFmtId="167" fontId="9" fillId="0" borderId="22" xfId="12" applyFont="1" applyBorder="1" applyAlignment="1">
      <alignment horizontal="center" vertical="center" wrapText="1"/>
    </xf>
    <xf numFmtId="167" fontId="9" fillId="0" borderId="21" xfId="12" applyFont="1" applyBorder="1" applyAlignment="1">
      <alignment horizontal="center" vertical="center" wrapText="1"/>
    </xf>
    <xf numFmtId="3" fontId="4" fillId="0" borderId="42" xfId="0" applyNumberFormat="1" applyFont="1" applyBorder="1" applyAlignment="1">
      <alignment horizontal="justify" vertical="center" wrapText="1"/>
    </xf>
    <xf numFmtId="3" fontId="4" fillId="0" borderId="43" xfId="0" applyNumberFormat="1" applyFont="1" applyBorder="1" applyAlignment="1">
      <alignment horizontal="justify" vertical="center" wrapText="1"/>
    </xf>
    <xf numFmtId="3" fontId="4" fillId="0" borderId="45" xfId="0" applyNumberFormat="1" applyFont="1" applyBorder="1" applyAlignment="1">
      <alignment horizontal="justify" vertical="center" wrapText="1"/>
    </xf>
    <xf numFmtId="0" fontId="9" fillId="0" borderId="4" xfId="0" applyFont="1" applyBorder="1" applyAlignment="1">
      <alignment horizontal="justify" vertical="center" wrapText="1"/>
    </xf>
    <xf numFmtId="0" fontId="9" fillId="0" borderId="15" xfId="15" applyFont="1" applyFill="1" applyBorder="1">
      <alignment horizontal="center" vertical="center" wrapText="1"/>
    </xf>
    <xf numFmtId="0" fontId="9" fillId="0" borderId="18" xfId="15" applyFont="1" applyFill="1" applyBorder="1">
      <alignment horizontal="center" vertical="center" wrapText="1"/>
    </xf>
    <xf numFmtId="0" fontId="9" fillId="0" borderId="13" xfId="7" applyFont="1" applyBorder="1" applyAlignment="1">
      <alignment horizontal="justify" vertical="center" wrapText="1"/>
    </xf>
    <xf numFmtId="0" fontId="9" fillId="0" borderId="16" xfId="7" applyFont="1" applyBorder="1" applyAlignment="1">
      <alignment horizontal="justify" vertical="center" wrapText="1"/>
    </xf>
    <xf numFmtId="0" fontId="9" fillId="0" borderId="13"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37" xfId="7" applyFont="1" applyBorder="1" applyAlignment="1">
      <alignment horizontal="center" vertical="center" wrapText="1"/>
    </xf>
    <xf numFmtId="0" fontId="9" fillId="0" borderId="33" xfId="7" applyFont="1" applyBorder="1" applyAlignment="1">
      <alignment horizontal="center" vertical="center" wrapText="1"/>
    </xf>
    <xf numFmtId="0" fontId="9" fillId="0" borderId="36" xfId="7" applyFont="1" applyBorder="1" applyAlignment="1">
      <alignment horizontal="center" vertical="center" wrapText="1"/>
    </xf>
    <xf numFmtId="10" fontId="4" fillId="2" borderId="14"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 fontId="4" fillId="2" borderId="26" xfId="0" applyNumberFormat="1" applyFont="1" applyFill="1" applyBorder="1" applyAlignment="1">
      <alignment horizontal="center" vertical="center" wrapText="1"/>
    </xf>
    <xf numFmtId="41" fontId="4" fillId="2" borderId="18" xfId="20" applyFont="1" applyFill="1" applyBorder="1" applyAlignment="1">
      <alignment horizontal="center" vertical="center" wrapText="1"/>
    </xf>
    <xf numFmtId="10" fontId="4" fillId="2" borderId="18" xfId="4" applyNumberFormat="1"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9" fillId="7" borderId="38" xfId="0" applyFont="1" applyFill="1" applyBorder="1" applyAlignment="1">
      <alignment horizontal="justify" vertical="center" wrapText="1"/>
    </xf>
    <xf numFmtId="167" fontId="9" fillId="0" borderId="27" xfId="12" applyFont="1" applyBorder="1" applyAlignment="1">
      <alignment horizontal="center" vertical="center"/>
    </xf>
    <xf numFmtId="167" fontId="9" fillId="0" borderId="44" xfId="12" applyFont="1" applyBorder="1" applyAlignment="1">
      <alignment horizontal="center" vertical="center"/>
    </xf>
    <xf numFmtId="10" fontId="24" fillId="4" borderId="17" xfId="6" applyNumberFormat="1" applyFont="1" applyFill="1" applyBorder="1" applyAlignment="1">
      <alignment horizontal="center" vertical="center" wrapText="1"/>
    </xf>
    <xf numFmtId="10" fontId="24" fillId="4" borderId="18" xfId="6" applyNumberFormat="1" applyFont="1" applyFill="1" applyBorder="1" applyAlignment="1">
      <alignment horizontal="center" vertical="center" wrapText="1"/>
    </xf>
    <xf numFmtId="170" fontId="2" fillId="5" borderId="13" xfId="0" applyNumberFormat="1" applyFont="1" applyFill="1" applyBorder="1" applyAlignment="1">
      <alignment horizontal="center" vertical="center" wrapText="1"/>
    </xf>
    <xf numFmtId="170" fontId="2" fillId="5" borderId="5" xfId="0" applyNumberFormat="1" applyFont="1" applyFill="1" applyBorder="1" applyAlignment="1">
      <alignment horizontal="center" vertical="center" wrapText="1"/>
    </xf>
    <xf numFmtId="170" fontId="2" fillId="5" borderId="14" xfId="0" applyNumberFormat="1" applyFont="1" applyFill="1" applyBorder="1" applyAlignment="1">
      <alignment horizontal="center" vertical="center" wrapText="1"/>
    </xf>
    <xf numFmtId="0" fontId="2" fillId="5" borderId="13" xfId="0" applyFont="1" applyFill="1" applyBorder="1" applyAlignment="1">
      <alignment horizontal="center" vertical="center" textRotation="90" wrapText="1"/>
    </xf>
    <xf numFmtId="0" fontId="2" fillId="5" borderId="14"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3" borderId="5" xfId="0" applyFont="1" applyFill="1" applyBorder="1" applyAlignment="1">
      <alignment horizontal="center" vertical="center"/>
    </xf>
    <xf numFmtId="0" fontId="3" fillId="3" borderId="14" xfId="0" applyFont="1" applyFill="1" applyBorder="1" applyAlignment="1">
      <alignment horizontal="center" vertical="center"/>
    </xf>
    <xf numFmtId="0" fontId="2" fillId="15" borderId="38" xfId="0"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2" fillId="6" borderId="5" xfId="0" applyFont="1" applyFill="1" applyBorder="1" applyAlignment="1">
      <alignment horizontal="left"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72" fontId="9" fillId="0" borderId="15" xfId="3" applyNumberFormat="1" applyFont="1" applyBorder="1" applyAlignment="1">
      <alignment horizontal="center" vertical="center" wrapText="1"/>
    </xf>
    <xf numFmtId="172" fontId="9" fillId="0" borderId="17" xfId="3" applyNumberFormat="1" applyFont="1" applyBorder="1" applyAlignment="1">
      <alignment horizontal="center" vertical="center" wrapText="1"/>
    </xf>
    <xf numFmtId="172" fontId="9" fillId="0" borderId="18" xfId="3" applyNumberFormat="1" applyFont="1" applyBorder="1" applyAlignment="1">
      <alignment horizontal="center" vertical="center" wrapText="1"/>
    </xf>
    <xf numFmtId="1" fontId="9" fillId="0" borderId="2" xfId="0" applyNumberFormat="1"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1" fontId="9" fillId="0" borderId="15" xfId="15" applyNumberFormat="1" applyFont="1" applyFill="1" applyBorder="1" applyAlignment="1">
      <alignment horizontal="center" vertical="center" wrapText="1"/>
    </xf>
    <xf numFmtId="1" fontId="9" fillId="0" borderId="18" xfId="15" applyNumberFormat="1" applyFont="1" applyFill="1" applyBorder="1" applyAlignment="1">
      <alignment horizontal="center" vertical="center" wrapText="1"/>
    </xf>
    <xf numFmtId="0" fontId="9" fillId="0" borderId="15" xfId="7" applyFont="1" applyFill="1" applyBorder="1" applyAlignment="1">
      <alignment horizontal="justify" vertical="center" wrapText="1"/>
    </xf>
    <xf numFmtId="0" fontId="9" fillId="0" borderId="18" xfId="7" applyFont="1" applyFill="1" applyBorder="1" applyAlignment="1">
      <alignment horizontal="justify" vertical="center" wrapText="1"/>
    </xf>
    <xf numFmtId="1" fontId="4" fillId="2" borderId="15" xfId="0" applyNumberFormat="1" applyFont="1" applyFill="1" applyBorder="1" applyAlignment="1" applyProtection="1">
      <alignment horizontal="center" vertical="center" wrapText="1"/>
      <protection locked="0"/>
    </xf>
    <xf numFmtId="1" fontId="4" fillId="2" borderId="17" xfId="0" applyNumberFormat="1" applyFont="1" applyFill="1" applyBorder="1" applyAlignment="1" applyProtection="1">
      <alignment horizontal="center" vertical="center" wrapText="1"/>
      <protection locked="0"/>
    </xf>
    <xf numFmtId="1" fontId="4" fillId="2" borderId="18" xfId="0" applyNumberFormat="1" applyFont="1" applyFill="1" applyBorder="1" applyAlignment="1" applyProtection="1">
      <alignment horizontal="center" vertical="center" wrapText="1"/>
      <protection locked="0"/>
    </xf>
    <xf numFmtId="1" fontId="4" fillId="2" borderId="14"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4" fontId="4" fillId="2" borderId="17" xfId="0" applyNumberFormat="1" applyFont="1" applyFill="1" applyBorder="1" applyAlignment="1">
      <alignment horizontal="center" vertical="center"/>
    </xf>
    <xf numFmtId="14" fontId="4" fillId="2" borderId="18" xfId="0" applyNumberFormat="1" applyFont="1" applyFill="1" applyBorder="1" applyAlignment="1">
      <alignment horizontal="center" vertical="center"/>
    </xf>
    <xf numFmtId="167" fontId="4" fillId="2" borderId="15" xfId="2" applyNumberFormat="1" applyFont="1" applyFill="1" applyBorder="1" applyAlignment="1">
      <alignment horizontal="center" vertical="center" wrapText="1"/>
    </xf>
    <xf numFmtId="167" fontId="4" fillId="2" borderId="17" xfId="2" applyNumberFormat="1" applyFont="1" applyFill="1" applyBorder="1" applyAlignment="1">
      <alignment horizontal="center" vertical="center" wrapText="1"/>
    </xf>
    <xf numFmtId="167" fontId="4" fillId="2" borderId="18" xfId="2" applyNumberFormat="1" applyFont="1" applyFill="1" applyBorder="1" applyAlignment="1">
      <alignment horizontal="center" vertical="center" wrapText="1"/>
    </xf>
    <xf numFmtId="0" fontId="9" fillId="0" borderId="15" xfId="13" applyNumberFormat="1" applyFont="1" applyFill="1" applyBorder="1" applyAlignment="1">
      <alignment horizontal="center" vertical="center"/>
    </xf>
    <xf numFmtId="0" fontId="9" fillId="0" borderId="17" xfId="13" applyNumberFormat="1" applyFont="1" applyFill="1" applyBorder="1" applyAlignment="1">
      <alignment horizontal="center" vertical="center"/>
    </xf>
    <xf numFmtId="0" fontId="9" fillId="0" borderId="18" xfId="13" applyNumberFormat="1" applyFont="1" applyFill="1" applyBorder="1" applyAlignment="1">
      <alignment horizontal="center" vertical="center"/>
    </xf>
    <xf numFmtId="0" fontId="9" fillId="0" borderId="17" xfId="7" applyFont="1" applyFill="1" applyBorder="1" applyAlignment="1">
      <alignment horizontal="justify" vertical="center" wrapText="1"/>
    </xf>
    <xf numFmtId="0" fontId="9" fillId="0" borderId="15" xfId="15" applyFont="1" applyFill="1" applyBorder="1" applyAlignment="1">
      <alignment horizontal="center" vertical="center" wrapText="1"/>
    </xf>
    <xf numFmtId="0" fontId="9" fillId="0" borderId="17" xfId="15" applyFont="1" applyFill="1" applyBorder="1" applyAlignment="1">
      <alignment horizontal="center" vertical="center" wrapText="1"/>
    </xf>
    <xf numFmtId="0" fontId="9" fillId="0" borderId="18" xfId="15" applyFont="1" applyFill="1" applyBorder="1" applyAlignment="1">
      <alignment horizontal="center" vertical="center" wrapText="1"/>
    </xf>
    <xf numFmtId="0" fontId="9" fillId="0" borderId="15" xfId="0" applyNumberFormat="1" applyFont="1" applyFill="1" applyBorder="1" applyAlignment="1">
      <alignment horizontal="justify" vertical="center" wrapText="1"/>
    </xf>
    <xf numFmtId="0" fontId="9" fillId="0" borderId="18" xfId="0" applyNumberFormat="1" applyFont="1" applyFill="1" applyBorder="1" applyAlignment="1">
      <alignment horizontal="justify" vertical="center" wrapText="1"/>
    </xf>
    <xf numFmtId="9" fontId="4" fillId="2" borderId="17" xfId="0" applyNumberFormat="1" applyFont="1" applyFill="1" applyBorder="1" applyAlignment="1">
      <alignment horizontal="center" vertical="center" wrapText="1"/>
    </xf>
    <xf numFmtId="172" fontId="9" fillId="0" borderId="2" xfId="3" applyNumberFormat="1" applyFont="1" applyBorder="1" applyAlignment="1">
      <alignment horizontal="center" vertical="center" wrapText="1"/>
    </xf>
    <xf numFmtId="0" fontId="10" fillId="0" borderId="15" xfId="7" applyFont="1" applyFill="1" applyBorder="1" applyAlignment="1">
      <alignment horizontal="center" vertical="center" wrapText="1"/>
    </xf>
    <xf numFmtId="0" fontId="10" fillId="0" borderId="17"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2" borderId="15" xfId="7" applyFont="1" applyFill="1" applyBorder="1" applyAlignment="1">
      <alignment horizontal="center" vertical="center" wrapText="1"/>
    </xf>
    <xf numFmtId="0" fontId="10" fillId="2" borderId="17" xfId="7" applyFont="1" applyFill="1" applyBorder="1" applyAlignment="1">
      <alignment horizontal="center" vertical="center" wrapText="1"/>
    </xf>
    <xf numFmtId="0" fontId="10" fillId="2" borderId="18" xfId="7"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1" fontId="4" fillId="0" borderId="15" xfId="0" applyNumberFormat="1" applyFont="1" applyBorder="1" applyAlignment="1">
      <alignment horizontal="justify" vertical="center" wrapText="1"/>
    </xf>
    <xf numFmtId="1" fontId="4" fillId="0" borderId="17" xfId="0" applyNumberFormat="1" applyFont="1" applyBorder="1" applyAlignment="1">
      <alignment horizontal="justify" vertical="center" wrapText="1"/>
    </xf>
    <xf numFmtId="1" fontId="4" fillId="0" borderId="18" xfId="0" applyNumberFormat="1" applyFont="1" applyBorder="1" applyAlignment="1">
      <alignment horizontal="justify"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172" fontId="9" fillId="0" borderId="15" xfId="3" applyNumberFormat="1" applyFont="1" applyFill="1" applyBorder="1" applyAlignment="1">
      <alignment horizontal="center" vertical="center" wrapText="1"/>
    </xf>
    <xf numFmtId="172" fontId="9" fillId="0" borderId="18" xfId="3"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172" fontId="9" fillId="0" borderId="2" xfId="3" applyNumberFormat="1" applyFont="1" applyBorder="1" applyAlignment="1">
      <alignment horizontal="center" vertical="center"/>
    </xf>
    <xf numFmtId="167" fontId="4" fillId="0" borderId="15" xfId="2" applyNumberFormat="1" applyFont="1" applyFill="1" applyBorder="1" applyAlignment="1">
      <alignment horizontal="center" vertical="center" wrapText="1"/>
    </xf>
    <xf numFmtId="167" fontId="4" fillId="0" borderId="18" xfId="2"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1" fontId="4" fillId="0" borderId="15" xfId="0" applyNumberFormat="1" applyFont="1" applyFill="1" applyBorder="1" applyAlignment="1">
      <alignment horizontal="justify" vertical="center" wrapText="1"/>
    </xf>
    <xf numFmtId="1" fontId="4" fillId="0" borderId="18" xfId="0" applyNumberFormat="1" applyFont="1" applyFill="1" applyBorder="1" applyAlignment="1">
      <alignment horizontal="justify" vertical="center" wrapText="1"/>
    </xf>
    <xf numFmtId="0" fontId="9" fillId="0" borderId="2" xfId="15" applyFont="1" applyFill="1" applyBorder="1" applyAlignment="1">
      <alignment horizontal="center" vertical="center" wrapText="1"/>
    </xf>
    <xf numFmtId="169" fontId="4" fillId="0" borderId="13"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169" fontId="4" fillId="0" borderId="16" xfId="0" applyNumberFormat="1" applyFont="1" applyFill="1" applyBorder="1" applyAlignment="1">
      <alignment horizontal="center" vertical="center" wrapText="1"/>
    </xf>
    <xf numFmtId="169" fontId="4" fillId="2" borderId="13" xfId="0" applyNumberFormat="1" applyFont="1" applyFill="1" applyBorder="1" applyAlignment="1">
      <alignment horizontal="center" vertical="center" wrapText="1"/>
    </xf>
    <xf numFmtId="169" fontId="4" fillId="2" borderId="6" xfId="0" applyNumberFormat="1" applyFont="1" applyFill="1" applyBorder="1" applyAlignment="1">
      <alignment horizontal="center" vertical="center" wrapText="1"/>
    </xf>
    <xf numFmtId="169" fontId="4" fillId="2" borderId="16" xfId="0" applyNumberFormat="1" applyFont="1" applyFill="1" applyBorder="1" applyAlignment="1">
      <alignment horizontal="center" vertical="center" wrapText="1"/>
    </xf>
    <xf numFmtId="1" fontId="4" fillId="0" borderId="38" xfId="0" applyNumberFormat="1" applyFont="1" applyFill="1" applyBorder="1" applyAlignment="1">
      <alignment horizontal="center" vertical="center"/>
    </xf>
    <xf numFmtId="170" fontId="4" fillId="0" borderId="2"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4" fontId="4" fillId="2" borderId="42" xfId="0" applyNumberFormat="1" applyFont="1" applyFill="1" applyBorder="1" applyAlignment="1">
      <alignment horizontal="center" vertical="center"/>
    </xf>
    <xf numFmtId="14" fontId="4" fillId="2" borderId="45" xfId="0" applyNumberFormat="1" applyFont="1" applyFill="1" applyBorder="1" applyAlignment="1">
      <alignment horizontal="center" vertic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38" xfId="0" applyNumberFormat="1" applyFont="1" applyFill="1" applyBorder="1" applyAlignment="1">
      <alignment horizontal="justify" vertical="center"/>
    </xf>
    <xf numFmtId="14" fontId="4" fillId="0" borderId="42" xfId="0" applyNumberFormat="1" applyFont="1" applyFill="1" applyBorder="1" applyAlignment="1">
      <alignment horizontal="center" vertical="center"/>
    </xf>
    <xf numFmtId="14" fontId="4" fillId="0" borderId="45" xfId="0" applyNumberFormat="1" applyFont="1" applyFill="1" applyBorder="1" applyAlignment="1">
      <alignment horizontal="center" vertical="center"/>
    </xf>
    <xf numFmtId="167" fontId="4" fillId="0" borderId="38" xfId="2" applyNumberFormat="1" applyFont="1" applyFill="1" applyBorder="1" applyAlignment="1">
      <alignment horizontal="center" vertical="center"/>
    </xf>
    <xf numFmtId="9" fontId="4" fillId="0" borderId="38" xfId="4" applyFont="1" applyFill="1" applyBorder="1" applyAlignment="1">
      <alignment horizontal="center" vertical="center"/>
    </xf>
    <xf numFmtId="0" fontId="9" fillId="0" borderId="2" xfId="7"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1" fontId="4" fillId="2" borderId="2" xfId="0" applyNumberFormat="1" applyFont="1" applyFill="1" applyBorder="1" applyAlignment="1">
      <alignment horizontal="justify" vertical="center" wrapText="1"/>
    </xf>
    <xf numFmtId="14" fontId="4" fillId="0" borderId="13"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14" fontId="4" fillId="2" borderId="13" xfId="0" applyNumberFormat="1" applyFont="1" applyFill="1" applyBorder="1" applyAlignment="1">
      <alignment horizontal="center" vertical="center"/>
    </xf>
    <xf numFmtId="14" fontId="4" fillId="2" borderId="6" xfId="0" applyNumberFormat="1" applyFont="1" applyFill="1" applyBorder="1" applyAlignment="1">
      <alignment horizontal="center" vertical="center"/>
    </xf>
    <xf numFmtId="14" fontId="4" fillId="2" borderId="16" xfId="0" applyNumberFormat="1" applyFont="1" applyFill="1" applyBorder="1" applyAlignment="1">
      <alignment horizontal="center" vertical="center"/>
    </xf>
    <xf numFmtId="9" fontId="4" fillId="0" borderId="2" xfId="0" applyNumberFormat="1" applyFont="1" applyFill="1" applyBorder="1" applyAlignment="1">
      <alignment horizontal="center" vertical="center" wrapText="1"/>
    </xf>
    <xf numFmtId="172" fontId="9" fillId="0" borderId="2" xfId="3" applyNumberFormat="1" applyFont="1" applyFill="1" applyBorder="1" applyAlignment="1">
      <alignment horizontal="center" vertical="center"/>
    </xf>
    <xf numFmtId="1" fontId="4" fillId="2" borderId="24" xfId="0" applyNumberFormat="1" applyFont="1" applyFill="1" applyBorder="1" applyAlignment="1">
      <alignment horizontal="center" vertical="center" wrapText="1"/>
    </xf>
    <xf numFmtId="0" fontId="9" fillId="2" borderId="2" xfId="7" applyFont="1" applyFill="1" applyBorder="1" applyAlignment="1">
      <alignment horizontal="center" vertical="center"/>
    </xf>
    <xf numFmtId="0" fontId="9" fillId="0" borderId="17" xfId="0" applyNumberFormat="1" applyFont="1" applyFill="1" applyBorder="1" applyAlignment="1">
      <alignment horizontal="center" vertical="center" wrapText="1"/>
    </xf>
    <xf numFmtId="0" fontId="9" fillId="0" borderId="17" xfId="0" applyNumberFormat="1" applyFont="1" applyFill="1" applyBorder="1" applyAlignment="1">
      <alignment horizontal="justify" vertical="center" wrapText="1"/>
    </xf>
    <xf numFmtId="9" fontId="4" fillId="0" borderId="2" xfId="4" applyFont="1" applyFill="1" applyBorder="1" applyAlignment="1">
      <alignment horizontal="center" vertical="center" wrapText="1"/>
    </xf>
    <xf numFmtId="167" fontId="4" fillId="0" borderId="2" xfId="2"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3" fontId="4" fillId="2" borderId="46" xfId="0" applyNumberFormat="1"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1" fontId="4" fillId="0" borderId="2" xfId="0" applyNumberFormat="1" applyFont="1" applyFill="1" applyBorder="1" applyAlignment="1">
      <alignment horizontal="justify" vertical="center" wrapText="1"/>
    </xf>
    <xf numFmtId="14" fontId="4" fillId="0" borderId="15" xfId="0" applyNumberFormat="1" applyFont="1" applyFill="1" applyBorder="1" applyAlignment="1">
      <alignment horizontal="center" vertical="center"/>
    </xf>
    <xf numFmtId="14" fontId="4" fillId="0" borderId="18" xfId="0" applyNumberFormat="1" applyFont="1" applyFill="1" applyBorder="1" applyAlignment="1">
      <alignment horizontal="center" vertical="center"/>
    </xf>
    <xf numFmtId="172" fontId="9" fillId="0" borderId="15" xfId="3" applyNumberFormat="1" applyFont="1" applyFill="1" applyBorder="1" applyAlignment="1">
      <alignment horizontal="center" vertical="center"/>
    </xf>
    <xf numFmtId="172" fontId="9" fillId="0" borderId="17" xfId="3" applyNumberFormat="1" applyFont="1" applyFill="1" applyBorder="1" applyAlignment="1">
      <alignment horizontal="center" vertical="center"/>
    </xf>
    <xf numFmtId="172" fontId="9" fillId="0" borderId="18" xfId="3" applyNumberFormat="1" applyFont="1" applyFill="1" applyBorder="1" applyAlignment="1">
      <alignment horizontal="center" vertical="center"/>
    </xf>
    <xf numFmtId="1" fontId="4" fillId="2" borderId="20" xfId="0" applyNumberFormat="1" applyFont="1" applyFill="1" applyBorder="1" applyAlignment="1">
      <alignment horizontal="center" vertical="center" wrapText="1"/>
    </xf>
    <xf numFmtId="167" fontId="4" fillId="0" borderId="17" xfId="2" applyNumberFormat="1" applyFont="1" applyFill="1" applyBorder="1" applyAlignment="1">
      <alignment horizontal="center" vertical="center" wrapText="1"/>
    </xf>
    <xf numFmtId="0" fontId="2" fillId="10" borderId="54" xfId="0" applyFont="1" applyFill="1" applyBorder="1" applyAlignment="1">
      <alignment horizontal="left" vertical="center"/>
    </xf>
    <xf numFmtId="0" fontId="2" fillId="10" borderId="50" xfId="0" applyFont="1" applyFill="1" applyBorder="1" applyAlignment="1">
      <alignment horizontal="left" vertical="center"/>
    </xf>
    <xf numFmtId="0" fontId="9" fillId="7" borderId="38" xfId="0" applyFont="1" applyFill="1" applyBorder="1" applyAlignment="1">
      <alignment horizontal="center" vertical="center" wrapText="1"/>
    </xf>
    <xf numFmtId="0" fontId="9" fillId="0" borderId="42" xfId="0" applyFont="1" applyBorder="1" applyAlignment="1">
      <alignment horizontal="justify" vertical="center" wrapText="1"/>
    </xf>
    <xf numFmtId="0" fontId="9" fillId="0" borderId="56" xfId="0" applyFont="1" applyBorder="1" applyAlignment="1">
      <alignment horizontal="justify" vertical="center" wrapText="1"/>
    </xf>
    <xf numFmtId="172" fontId="9" fillId="0" borderId="55" xfId="3" applyNumberFormat="1" applyFont="1" applyFill="1" applyBorder="1" applyAlignment="1">
      <alignment horizontal="center" vertical="center"/>
    </xf>
    <xf numFmtId="172" fontId="9" fillId="0" borderId="27" xfId="3" applyNumberFormat="1" applyFont="1" applyFill="1" applyBorder="1" applyAlignment="1">
      <alignment horizontal="center" vertical="center"/>
    </xf>
    <xf numFmtId="172" fontId="9" fillId="0" borderId="29" xfId="3" applyNumberFormat="1" applyFont="1" applyFill="1" applyBorder="1" applyAlignment="1">
      <alignment horizontal="center" vertical="center"/>
    </xf>
    <xf numFmtId="14" fontId="4" fillId="0" borderId="17" xfId="0" applyNumberFormat="1" applyFont="1" applyFill="1" applyBorder="1" applyAlignment="1">
      <alignment horizontal="center" vertical="center"/>
    </xf>
    <xf numFmtId="0" fontId="9" fillId="0" borderId="37" xfId="0" applyFont="1" applyBorder="1" applyAlignment="1">
      <alignment horizontal="justify" vertical="center" wrapText="1"/>
    </xf>
    <xf numFmtId="0" fontId="4" fillId="2" borderId="15" xfId="4" applyNumberFormat="1" applyFont="1" applyFill="1" applyBorder="1" applyAlignment="1">
      <alignment horizontal="center" vertical="center" wrapText="1"/>
    </xf>
    <xf numFmtId="169" fontId="4" fillId="2" borderId="0" xfId="0" applyNumberFormat="1" applyFont="1" applyFill="1" applyBorder="1" applyAlignment="1">
      <alignment horizontal="center" vertical="center" wrapText="1"/>
    </xf>
    <xf numFmtId="167" fontId="9" fillId="0" borderId="18" xfId="0" applyNumberFormat="1" applyFont="1" applyBorder="1" applyAlignment="1">
      <alignment horizontal="center" vertical="center" wrapText="1"/>
    </xf>
    <xf numFmtId="167" fontId="9" fillId="0" borderId="2" xfId="0" applyNumberFormat="1" applyFont="1" applyBorder="1" applyAlignment="1">
      <alignment horizontal="center" vertical="center" wrapText="1"/>
    </xf>
    <xf numFmtId="3" fontId="4" fillId="0" borderId="15"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167" fontId="9" fillId="2" borderId="15"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3" fontId="4" fillId="0" borderId="19"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9" fontId="9" fillId="0" borderId="33" xfId="0" applyNumberFormat="1" applyFont="1" applyBorder="1" applyAlignment="1">
      <alignment horizontal="center" vertical="center" wrapText="1"/>
    </xf>
    <xf numFmtId="3" fontId="9" fillId="0" borderId="33" xfId="0" applyNumberFormat="1" applyFont="1" applyBorder="1" applyAlignment="1">
      <alignment horizontal="center" vertical="center" wrapText="1"/>
    </xf>
    <xf numFmtId="0" fontId="9" fillId="2" borderId="37" xfId="7" applyFont="1" applyFill="1" applyBorder="1" applyAlignment="1">
      <alignment horizontal="center" vertical="center"/>
    </xf>
    <xf numFmtId="0" fontId="9" fillId="2" borderId="3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4" xfId="7" applyFont="1" applyFill="1" applyBorder="1" applyAlignment="1">
      <alignment horizontal="center" vertical="center"/>
    </xf>
    <xf numFmtId="0" fontId="9" fillId="7" borderId="37" xfId="0" applyFont="1" applyFill="1" applyBorder="1" applyAlignment="1">
      <alignment horizontal="justify" vertical="center" wrapText="1"/>
    </xf>
    <xf numFmtId="0" fontId="9" fillId="7" borderId="33" xfId="0" applyFont="1" applyFill="1" applyBorder="1" applyAlignment="1">
      <alignment horizontal="justify" vertical="center" wrapText="1"/>
    </xf>
    <xf numFmtId="0" fontId="3" fillId="10" borderId="28" xfId="0" applyFont="1" applyFill="1" applyBorder="1" applyAlignment="1">
      <alignment horizontal="left" vertical="center"/>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15" xfId="0" applyNumberFormat="1" applyFont="1" applyBorder="1" applyAlignment="1">
      <alignment horizontal="justify" vertical="center" wrapText="1"/>
    </xf>
    <xf numFmtId="167" fontId="9" fillId="0" borderId="18" xfId="0" applyNumberFormat="1" applyFont="1" applyBorder="1" applyAlignment="1">
      <alignment horizontal="justify" vertical="center" wrapText="1"/>
    </xf>
    <xf numFmtId="3" fontId="4" fillId="0" borderId="17" xfId="0" applyNumberFormat="1" applyFont="1" applyFill="1" applyBorder="1" applyAlignment="1">
      <alignment horizontal="center" vertical="center"/>
    </xf>
    <xf numFmtId="167" fontId="9" fillId="2" borderId="15" xfId="11" applyFont="1" applyFill="1" applyBorder="1" applyAlignment="1" applyProtection="1">
      <alignment horizontal="center" vertical="center"/>
      <protection locked="0"/>
    </xf>
    <xf numFmtId="167" fontId="9" fillId="2" borderId="17" xfId="11" applyFont="1" applyFill="1" applyBorder="1" applyAlignment="1" applyProtection="1">
      <alignment horizontal="center" vertical="center"/>
      <protection locked="0"/>
    </xf>
    <xf numFmtId="167" fontId="9" fillId="2" borderId="18" xfId="11" applyFont="1" applyFill="1" applyBorder="1" applyAlignment="1" applyProtection="1">
      <alignment horizontal="center" vertical="center"/>
      <protection locked="0"/>
    </xf>
    <xf numFmtId="3" fontId="4" fillId="2" borderId="2" xfId="0" applyNumberFormat="1" applyFont="1" applyFill="1" applyBorder="1" applyAlignment="1">
      <alignment horizontal="center" vertical="center"/>
    </xf>
    <xf numFmtId="3" fontId="4" fillId="0" borderId="2" xfId="0" applyNumberFormat="1" applyFont="1" applyBorder="1" applyAlignment="1">
      <alignment horizontal="justify" vertical="center" wrapText="1"/>
    </xf>
    <xf numFmtId="3" fontId="4" fillId="0" borderId="35"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9" fillId="0" borderId="2" xfId="0" applyNumberFormat="1" applyFont="1" applyBorder="1" applyAlignment="1">
      <alignment horizontal="center" vertical="center" wrapText="1"/>
    </xf>
    <xf numFmtId="0" fontId="9" fillId="0" borderId="2" xfId="11" applyNumberFormat="1" applyFont="1" applyBorder="1" applyAlignment="1">
      <alignment horizontal="center" vertical="center"/>
    </xf>
    <xf numFmtId="0" fontId="9" fillId="0" borderId="15" xfId="11" applyNumberFormat="1" applyFont="1" applyBorder="1" applyAlignment="1">
      <alignment horizontal="center" vertical="center"/>
    </xf>
    <xf numFmtId="167" fontId="9" fillId="0" borderId="2" xfId="11" applyFont="1" applyBorder="1" applyAlignment="1">
      <alignment horizontal="center" vertical="center" wrapText="1"/>
    </xf>
    <xf numFmtId="167" fontId="9" fillId="0" borderId="15" xfId="11" applyFont="1" applyBorder="1" applyAlignment="1">
      <alignment horizontal="center" vertical="center" wrapText="1"/>
    </xf>
    <xf numFmtId="0" fontId="9" fillId="0" borderId="2" xfId="12" applyNumberFormat="1" applyFont="1" applyFill="1" applyBorder="1" applyAlignment="1">
      <alignment horizontal="justify" vertical="center" wrapText="1"/>
    </xf>
    <xf numFmtId="167" fontId="9" fillId="0" borderId="2" xfId="0" applyNumberFormat="1" applyFont="1" applyBorder="1" applyAlignment="1">
      <alignment horizontal="justify" vertical="center" wrapText="1"/>
    </xf>
    <xf numFmtId="0" fontId="9" fillId="0" borderId="33" xfId="7" applyFont="1" applyFill="1" applyBorder="1" applyAlignment="1">
      <alignment horizontal="center" vertical="center"/>
    </xf>
    <xf numFmtId="0" fontId="3" fillId="10" borderId="49" xfId="0" applyFont="1" applyFill="1" applyBorder="1" applyAlignment="1">
      <alignment horizontal="left" vertical="center"/>
    </xf>
    <xf numFmtId="9" fontId="9" fillId="0" borderId="37" xfId="0" applyNumberFormat="1" applyFont="1" applyBorder="1" applyAlignment="1">
      <alignment horizontal="center" vertical="center" wrapText="1"/>
    </xf>
    <xf numFmtId="3" fontId="9" fillId="0" borderId="37" xfId="0" applyNumberFormat="1" applyFont="1" applyBorder="1" applyAlignment="1">
      <alignment horizontal="center" vertical="center" wrapText="1"/>
    </xf>
    <xf numFmtId="0" fontId="9" fillId="0" borderId="37" xfId="11" applyNumberFormat="1" applyFont="1" applyBorder="1" applyAlignment="1">
      <alignment horizontal="justify" vertical="center" wrapText="1"/>
    </xf>
    <xf numFmtId="167" fontId="9" fillId="0" borderId="23" xfId="11" applyFont="1" applyBorder="1" applyAlignment="1">
      <alignment horizontal="justify" vertical="center" wrapText="1"/>
    </xf>
    <xf numFmtId="1" fontId="2" fillId="5" borderId="48" xfId="0" applyNumberFormat="1" applyFont="1" applyFill="1" applyBorder="1" applyAlignment="1">
      <alignment horizontal="center" vertical="center" wrapText="1"/>
    </xf>
    <xf numFmtId="1" fontId="2" fillId="5" borderId="47"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3" fontId="6" fillId="4" borderId="18" xfId="0" applyNumberFormat="1" applyFont="1" applyFill="1" applyBorder="1" applyAlignment="1">
      <alignment horizontal="center" vertical="center" wrapText="1"/>
    </xf>
    <xf numFmtId="9" fontId="6" fillId="4" borderId="15" xfId="6" applyFont="1" applyFill="1" applyBorder="1" applyAlignment="1">
      <alignment horizontal="center" vertical="center" wrapText="1"/>
    </xf>
    <xf numFmtId="9" fontId="6" fillId="4" borderId="18" xfId="6" applyFont="1" applyFill="1" applyBorder="1" applyAlignment="1">
      <alignment horizontal="center" vertical="center" wrapText="1"/>
    </xf>
    <xf numFmtId="0" fontId="2" fillId="0" borderId="16" xfId="0" applyFont="1" applyBorder="1" applyAlignment="1">
      <alignment horizontal="center" vertical="center" wrapText="1"/>
    </xf>
    <xf numFmtId="1" fontId="2" fillId="3" borderId="7" xfId="0" applyNumberFormat="1" applyFont="1" applyFill="1" applyBorder="1" applyAlignment="1">
      <alignment horizontal="center" vertical="center"/>
    </xf>
    <xf numFmtId="1" fontId="2" fillId="3" borderId="9" xfId="0" applyNumberFormat="1" applyFont="1" applyFill="1" applyBorder="1" applyAlignment="1">
      <alignment horizontal="center" vertical="center"/>
    </xf>
    <xf numFmtId="1" fontId="2" fillId="5" borderId="15" xfId="0" applyNumberFormat="1" applyFont="1" applyFill="1" applyBorder="1" applyAlignment="1">
      <alignment horizontal="justify" vertical="center" wrapText="1"/>
    </xf>
    <xf numFmtId="1" fontId="2" fillId="5" borderId="48" xfId="0" applyNumberFormat="1" applyFont="1" applyFill="1" applyBorder="1" applyAlignment="1">
      <alignment horizontal="justify" vertical="center" wrapText="1"/>
    </xf>
    <xf numFmtId="169" fontId="9" fillId="2" borderId="26" xfId="0" applyNumberFormat="1" applyFont="1" applyFill="1" applyBorder="1" applyAlignment="1">
      <alignment horizontal="center" vertical="center" wrapText="1"/>
    </xf>
    <xf numFmtId="169" fontId="9" fillId="2" borderId="17" xfId="0" applyNumberFormat="1" applyFont="1" applyFill="1" applyBorder="1" applyAlignment="1">
      <alignment horizontal="center" vertical="center" wrapText="1"/>
    </xf>
    <xf numFmtId="49" fontId="9" fillId="2" borderId="18"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169" fontId="9" fillId="0" borderId="18" xfId="0" applyNumberFormat="1" applyFont="1" applyFill="1" applyBorder="1" applyAlignment="1">
      <alignment horizontal="center" vertical="center" wrapText="1"/>
    </xf>
    <xf numFmtId="169" fontId="9" fillId="0" borderId="15" xfId="0" applyNumberFormat="1" applyFont="1" applyFill="1" applyBorder="1" applyAlignment="1">
      <alignment horizontal="center" vertical="center" wrapText="1"/>
    </xf>
    <xf numFmtId="169" fontId="9" fillId="0" borderId="26" xfId="0" applyNumberFormat="1" applyFont="1" applyFill="1" applyBorder="1" applyAlignment="1">
      <alignment horizontal="center" vertical="center" wrapText="1"/>
    </xf>
    <xf numFmtId="169" fontId="9" fillId="0" borderId="17" xfId="0" applyNumberFormat="1" applyFont="1" applyFill="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9" fontId="9" fillId="2" borderId="17" xfId="0" applyNumberFormat="1" applyFont="1" applyFill="1" applyBorder="1" applyAlignment="1">
      <alignment horizontal="center" vertical="center"/>
    </xf>
    <xf numFmtId="170" fontId="9" fillId="0" borderId="17" xfId="22" applyNumberFormat="1" applyFont="1" applyFill="1" applyBorder="1" applyAlignment="1">
      <alignment horizontal="center" vertical="center"/>
    </xf>
    <xf numFmtId="0" fontId="9" fillId="2" borderId="6" xfId="0" applyFont="1" applyFill="1" applyBorder="1" applyAlignment="1">
      <alignment horizontal="justify" vertical="center" wrapText="1"/>
    </xf>
    <xf numFmtId="1" fontId="9" fillId="2" borderId="4" xfId="0" applyNumberFormat="1" applyFont="1" applyFill="1" applyBorder="1" applyAlignment="1">
      <alignment horizontal="center" vertical="center"/>
    </xf>
    <xf numFmtId="1" fontId="9" fillId="2" borderId="14" xfId="0" applyNumberFormat="1" applyFont="1" applyFill="1" applyBorder="1" applyAlignment="1">
      <alignment horizontal="center" vertical="center"/>
    </xf>
    <xf numFmtId="3" fontId="9" fillId="0" borderId="18" xfId="7" applyNumberFormat="1" applyFont="1" applyBorder="1" applyAlignment="1">
      <alignment horizontal="center" vertical="center" wrapText="1"/>
    </xf>
    <xf numFmtId="3" fontId="9" fillId="0" borderId="15" xfId="7"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1" fontId="3" fillId="6" borderId="13" xfId="0" applyNumberFormat="1" applyFont="1" applyFill="1" applyBorder="1" applyAlignment="1">
      <alignment horizontal="left" vertical="center"/>
    </xf>
    <xf numFmtId="1" fontId="3" fillId="6" borderId="5" xfId="0" applyNumberFormat="1" applyFont="1" applyFill="1" applyBorder="1" applyAlignment="1">
      <alignment horizontal="left" vertical="center"/>
    </xf>
    <xf numFmtId="0" fontId="3" fillId="8" borderId="23" xfId="0" applyFont="1" applyFill="1" applyBorder="1" applyAlignment="1">
      <alignment horizontal="left" vertical="center" wrapText="1"/>
    </xf>
    <xf numFmtId="0" fontId="3" fillId="8" borderId="25" xfId="0" applyFont="1" applyFill="1" applyBorder="1" applyAlignment="1">
      <alignment horizontal="left" vertical="center" wrapText="1"/>
    </xf>
    <xf numFmtId="49" fontId="9"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 fontId="9" fillId="0" borderId="1" xfId="0" applyNumberFormat="1" applyFont="1" applyBorder="1" applyAlignment="1">
      <alignment horizontal="center" vertical="center"/>
    </xf>
    <xf numFmtId="1" fontId="9" fillId="0" borderId="8" xfId="0" applyNumberFormat="1" applyFont="1" applyBorder="1" applyAlignment="1">
      <alignment horizontal="center" vertical="center"/>
    </xf>
    <xf numFmtId="1" fontId="9" fillId="0" borderId="9"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15" xfId="0" applyNumberFormat="1" applyFont="1" applyBorder="1" applyAlignment="1">
      <alignment horizontal="justify" vertical="center" wrapText="1"/>
    </xf>
    <xf numFmtId="49" fontId="9" fillId="0" borderId="17" xfId="0" applyNumberFormat="1" applyFont="1" applyBorder="1" applyAlignment="1">
      <alignment horizontal="justify" vertical="center" wrapText="1"/>
    </xf>
    <xf numFmtId="49" fontId="9" fillId="0" borderId="48" xfId="0" applyNumberFormat="1" applyFont="1" applyBorder="1" applyAlignment="1">
      <alignment horizontal="justify" vertical="center" wrapText="1"/>
    </xf>
    <xf numFmtId="49" fontId="9" fillId="0" borderId="13" xfId="0" applyNumberFormat="1" applyFont="1" applyBorder="1" applyAlignment="1">
      <alignment horizontal="justify" vertical="center" wrapText="1"/>
    </xf>
    <xf numFmtId="49" fontId="9" fillId="0" borderId="6" xfId="0" applyNumberFormat="1" applyFont="1" applyBorder="1" applyAlignment="1">
      <alignment horizontal="justify" vertical="center" wrapText="1"/>
    </xf>
    <xf numFmtId="49" fontId="9" fillId="0" borderId="57" xfId="0" applyNumberFormat="1" applyFont="1" applyBorder="1" applyAlignment="1">
      <alignment horizontal="justify" vertical="center" wrapText="1"/>
    </xf>
    <xf numFmtId="49" fontId="9" fillId="0" borderId="2" xfId="0" applyNumberFormat="1" applyFont="1" applyBorder="1" applyAlignment="1">
      <alignment horizontal="center" vertical="center" wrapText="1"/>
    </xf>
    <xf numFmtId="0" fontId="9" fillId="0" borderId="2" xfId="13" applyNumberFormat="1" applyFont="1" applyFill="1" applyBorder="1">
      <alignment horizontal="center" vertical="center" wrapText="1"/>
    </xf>
    <xf numFmtId="169" fontId="9" fillId="2" borderId="15" xfId="0" applyNumberFormat="1" applyFont="1" applyFill="1" applyBorder="1" applyAlignment="1">
      <alignment horizontal="center" vertical="center" wrapText="1"/>
    </xf>
    <xf numFmtId="169" fontId="9" fillId="2" borderId="48"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49" fontId="9" fillId="2" borderId="48" xfId="0" applyNumberFormat="1" applyFont="1" applyFill="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0" fontId="9" fillId="0" borderId="34" xfId="0" applyFont="1" applyBorder="1" applyAlignment="1">
      <alignment horizontal="justify" vertical="center" wrapText="1"/>
    </xf>
    <xf numFmtId="0" fontId="9" fillId="0" borderId="79" xfId="0" applyFont="1" applyBorder="1" applyAlignment="1">
      <alignment horizontal="justify" vertical="center" wrapText="1"/>
    </xf>
    <xf numFmtId="10" fontId="9" fillId="0" borderId="15" xfId="4" applyNumberFormat="1" applyFont="1" applyFill="1" applyBorder="1" applyAlignment="1">
      <alignment horizontal="center" vertical="center" wrapText="1"/>
    </xf>
    <xf numFmtId="10" fontId="9" fillId="0" borderId="17" xfId="4" applyNumberFormat="1" applyFont="1" applyFill="1" applyBorder="1" applyAlignment="1">
      <alignment horizontal="center" vertical="center" wrapText="1"/>
    </xf>
    <xf numFmtId="10" fontId="9" fillId="0" borderId="48" xfId="4" applyNumberFormat="1" applyFont="1" applyFill="1" applyBorder="1" applyAlignment="1">
      <alignment horizontal="center" vertical="center" wrapText="1"/>
    </xf>
    <xf numFmtId="3" fontId="9" fillId="0" borderId="48" xfId="0" applyNumberFormat="1" applyFont="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43" fontId="9" fillId="0" borderId="15" xfId="16" applyFont="1" applyBorder="1" applyAlignment="1">
      <alignment horizontal="center" vertical="center" wrapText="1"/>
    </xf>
    <xf numFmtId="43" fontId="9" fillId="0" borderId="17" xfId="16" applyFont="1" applyBorder="1" applyAlignment="1">
      <alignment horizontal="center" vertical="center" wrapText="1"/>
    </xf>
    <xf numFmtId="43" fontId="9" fillId="0" borderId="48" xfId="16" applyFont="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47" xfId="0" applyNumberFormat="1" applyFont="1" applyBorder="1" applyAlignment="1">
      <alignment horizontal="center" vertical="center" wrapText="1"/>
    </xf>
    <xf numFmtId="10" fontId="9" fillId="0" borderId="22" xfId="4" applyNumberFormat="1" applyFont="1" applyFill="1" applyBorder="1" applyAlignment="1">
      <alignment horizontal="center" vertical="center" wrapText="1"/>
    </xf>
    <xf numFmtId="10" fontId="9" fillId="0" borderId="21" xfId="4" applyNumberFormat="1" applyFont="1" applyFill="1" applyBorder="1" applyAlignment="1">
      <alignment horizontal="center" vertical="center" wrapText="1"/>
    </xf>
    <xf numFmtId="10" fontId="9" fillId="0" borderId="46" xfId="4" applyNumberFormat="1" applyFont="1" applyFill="1" applyBorder="1" applyAlignment="1">
      <alignment horizontal="center" vertical="center" wrapText="1"/>
    </xf>
    <xf numFmtId="180" fontId="9" fillId="0" borderId="14" xfId="22" applyNumberFormat="1" applyFont="1" applyFill="1" applyBorder="1" applyAlignment="1">
      <alignment horizontal="center" vertical="center"/>
    </xf>
    <xf numFmtId="180" fontId="9" fillId="0" borderId="1" xfId="22" applyNumberFormat="1" applyFont="1" applyFill="1" applyBorder="1" applyAlignment="1">
      <alignment horizontal="center" vertical="center"/>
    </xf>
    <xf numFmtId="0" fontId="9" fillId="0" borderId="25"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0" xfId="0" applyFont="1" applyBorder="1" applyAlignment="1">
      <alignment horizontal="justify" vertical="center" wrapText="1"/>
    </xf>
    <xf numFmtId="1" fontId="9" fillId="0" borderId="14" xfId="0" applyNumberFormat="1" applyFont="1" applyBorder="1" applyAlignment="1">
      <alignment horizontal="center" vertical="center"/>
    </xf>
    <xf numFmtId="1" fontId="9" fillId="0" borderId="4" xfId="0" applyNumberFormat="1" applyFont="1" applyBorder="1" applyAlignment="1">
      <alignment horizontal="center" vertical="center"/>
    </xf>
    <xf numFmtId="10" fontId="9" fillId="0" borderId="22" xfId="7" applyNumberFormat="1" applyFont="1" applyBorder="1" applyAlignment="1">
      <alignment horizontal="center" vertical="center" wrapText="1"/>
    </xf>
    <xf numFmtId="10" fontId="9" fillId="0" borderId="21" xfId="7" applyNumberFormat="1" applyFont="1" applyBorder="1" applyAlignment="1">
      <alignment horizontal="center" vertical="center" wrapText="1"/>
    </xf>
    <xf numFmtId="10" fontId="9" fillId="0" borderId="65" xfId="7" applyNumberFormat="1" applyFont="1" applyBorder="1" applyAlignment="1">
      <alignment horizontal="center" vertical="center" wrapText="1"/>
    </xf>
    <xf numFmtId="0" fontId="9" fillId="0" borderId="3" xfId="0" applyFont="1" applyBorder="1" applyAlignment="1">
      <alignment horizontal="justify" vertical="center" wrapText="1"/>
    </xf>
    <xf numFmtId="10" fontId="9" fillId="0" borderId="9" xfId="7" applyNumberFormat="1" applyFont="1" applyBorder="1" applyAlignment="1">
      <alignment horizontal="center" vertical="center" wrapText="1"/>
    </xf>
    <xf numFmtId="10" fontId="9" fillId="0" borderId="15" xfId="7" applyNumberFormat="1" applyFont="1" applyBorder="1" applyAlignment="1">
      <alignment horizontal="center" vertical="center" wrapText="1"/>
    </xf>
    <xf numFmtId="10" fontId="9" fillId="0" borderId="17" xfId="7"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3" fontId="9" fillId="0" borderId="38" xfId="7" applyNumberFormat="1" applyFont="1" applyFill="1" applyBorder="1" applyAlignment="1">
      <alignment horizontal="center" vertical="center" wrapText="1"/>
    </xf>
    <xf numFmtId="49" fontId="9" fillId="0" borderId="38" xfId="0" applyNumberFormat="1" applyFont="1" applyBorder="1" applyAlignment="1">
      <alignment horizontal="center" vertical="center" wrapText="1"/>
    </xf>
    <xf numFmtId="0" fontId="9" fillId="0" borderId="37" xfId="16" applyNumberFormat="1" applyFont="1" applyFill="1" applyBorder="1" applyAlignment="1">
      <alignment horizontal="center" vertical="center" wrapText="1"/>
    </xf>
    <xf numFmtId="0" fontId="9" fillId="0" borderId="33" xfId="16" applyNumberFormat="1" applyFont="1" applyFill="1" applyBorder="1" applyAlignment="1">
      <alignment horizontal="center" vertical="center" wrapText="1"/>
    </xf>
    <xf numFmtId="0" fontId="9" fillId="0" borderId="36" xfId="16" applyNumberFormat="1" applyFont="1" applyFill="1" applyBorder="1" applyAlignment="1">
      <alignment horizontal="center" vertical="center" wrapText="1"/>
    </xf>
    <xf numFmtId="169" fontId="9" fillId="2" borderId="18" xfId="0" applyNumberFormat="1" applyFont="1" applyFill="1" applyBorder="1" applyAlignment="1">
      <alignment horizontal="center" vertical="center" wrapText="1"/>
    </xf>
    <xf numFmtId="0" fontId="9" fillId="0" borderId="33" xfId="13" applyNumberFormat="1" applyFont="1" applyFill="1" applyBorder="1">
      <alignment horizontal="center" vertical="center" wrapText="1"/>
    </xf>
    <xf numFmtId="0" fontId="9" fillId="0" borderId="36" xfId="13" applyNumberFormat="1" applyFont="1" applyFill="1" applyBorder="1">
      <alignment horizontal="center" vertical="center" wrapText="1"/>
    </xf>
    <xf numFmtId="10" fontId="9" fillId="0" borderId="23" xfId="7" applyNumberFormat="1" applyFont="1" applyBorder="1" applyAlignment="1">
      <alignment horizontal="center" vertical="center" wrapText="1"/>
    </xf>
    <xf numFmtId="10" fontId="9" fillId="0" borderId="19" xfId="7" applyNumberFormat="1" applyFont="1" applyBorder="1" applyAlignment="1">
      <alignment horizontal="center" vertical="center" wrapText="1"/>
    </xf>
    <xf numFmtId="10" fontId="9" fillId="0" borderId="30" xfId="7" applyNumberFormat="1" applyFont="1" applyBorder="1" applyAlignment="1">
      <alignment horizontal="center" vertical="center" wrapText="1"/>
    </xf>
    <xf numFmtId="180" fontId="9" fillId="0" borderId="2" xfId="22" applyNumberFormat="1" applyFont="1" applyFill="1" applyBorder="1" applyAlignment="1">
      <alignment horizontal="center" vertical="center"/>
    </xf>
    <xf numFmtId="0" fontId="9" fillId="0" borderId="23" xfId="7" applyFont="1" applyBorder="1" applyAlignment="1">
      <alignment horizontal="justify" vertical="center" wrapText="1"/>
    </xf>
    <xf numFmtId="0" fontId="9" fillId="0" borderId="19" xfId="7" applyFont="1" applyBorder="1" applyAlignment="1">
      <alignment horizontal="justify" vertical="center" wrapText="1"/>
    </xf>
    <xf numFmtId="0" fontId="9" fillId="0" borderId="30" xfId="7" applyFont="1" applyBorder="1" applyAlignment="1">
      <alignment horizontal="justify" vertical="center" wrapText="1"/>
    </xf>
    <xf numFmtId="3" fontId="9" fillId="0" borderId="23" xfId="7" applyNumberFormat="1" applyFont="1" applyFill="1" applyBorder="1" applyAlignment="1">
      <alignment horizontal="center" vertical="center" wrapText="1"/>
    </xf>
    <xf numFmtId="3" fontId="9" fillId="0" borderId="19" xfId="7" applyNumberFormat="1" applyFont="1" applyFill="1" applyBorder="1" applyAlignment="1">
      <alignment horizontal="center" vertical="center" wrapText="1"/>
    </xf>
    <xf numFmtId="3" fontId="9" fillId="0" borderId="30" xfId="7" applyNumberFormat="1" applyFont="1" applyFill="1" applyBorder="1" applyAlignment="1">
      <alignment horizontal="center" vertical="center" wrapText="1"/>
    </xf>
    <xf numFmtId="0" fontId="9" fillId="0" borderId="55"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9" xfId="0" applyFont="1" applyBorder="1" applyAlignment="1">
      <alignment horizontal="justify" vertical="center" wrapText="1"/>
    </xf>
    <xf numFmtId="3" fontId="9" fillId="0" borderId="61" xfId="7" applyNumberFormat="1" applyFont="1" applyFill="1" applyBorder="1" applyAlignment="1">
      <alignment horizontal="center" vertical="center" wrapText="1"/>
    </xf>
    <xf numFmtId="3" fontId="9" fillId="0" borderId="43" xfId="7" applyNumberFormat="1" applyFont="1" applyFill="1" applyBorder="1" applyAlignment="1">
      <alignment horizontal="center" vertical="center" wrapText="1"/>
    </xf>
    <xf numFmtId="3" fontId="9" fillId="0" borderId="56" xfId="7" applyNumberFormat="1" applyFont="1" applyFill="1" applyBorder="1" applyAlignment="1">
      <alignment horizontal="center" vertical="center" wrapText="1"/>
    </xf>
    <xf numFmtId="3" fontId="9" fillId="0" borderId="37" xfId="7" applyNumberFormat="1" applyFont="1" applyFill="1" applyBorder="1" applyAlignment="1">
      <alignment horizontal="center" vertical="center" wrapText="1"/>
    </xf>
    <xf numFmtId="3" fontId="9" fillId="0" borderId="33" xfId="7" applyNumberFormat="1" applyFont="1" applyFill="1" applyBorder="1" applyAlignment="1">
      <alignment horizontal="center" vertical="center" wrapText="1"/>
    </xf>
    <xf numFmtId="49" fontId="9" fillId="0" borderId="32" xfId="0" applyNumberFormat="1" applyFont="1" applyBorder="1" applyAlignment="1">
      <alignment horizontal="center" vertical="center" wrapText="1"/>
    </xf>
    <xf numFmtId="0" fontId="9" fillId="0" borderId="32" xfId="0" applyFont="1" applyBorder="1" applyAlignment="1">
      <alignment horizontal="justify" vertical="center" wrapText="1"/>
    </xf>
    <xf numFmtId="0" fontId="9" fillId="0" borderId="32" xfId="13" applyNumberFormat="1" applyFont="1" applyFill="1" applyBorder="1">
      <alignment horizontal="center" vertical="center" wrapText="1"/>
    </xf>
    <xf numFmtId="0" fontId="9" fillId="0" borderId="18" xfId="0" applyFont="1" applyBorder="1" applyAlignment="1">
      <alignment horizontal="center" vertical="center"/>
    </xf>
    <xf numFmtId="9" fontId="9" fillId="0" borderId="43" xfId="7" applyNumberFormat="1" applyFont="1" applyBorder="1" applyAlignment="1">
      <alignment horizontal="center" vertical="center" wrapText="1"/>
    </xf>
    <xf numFmtId="9" fontId="9" fillId="0" borderId="56" xfId="7" applyNumberFormat="1" applyFont="1" applyBorder="1" applyAlignment="1">
      <alignment horizontal="center" vertical="center" wrapText="1"/>
    </xf>
    <xf numFmtId="180" fontId="9" fillId="0" borderId="15" xfId="22" applyNumberFormat="1" applyFont="1" applyFill="1" applyBorder="1" applyAlignment="1">
      <alignment horizontal="center" vertical="center"/>
    </xf>
    <xf numFmtId="180" fontId="9" fillId="0" borderId="17" xfId="22" applyNumberFormat="1" applyFont="1" applyFill="1" applyBorder="1" applyAlignment="1">
      <alignment horizontal="center" vertical="center"/>
    </xf>
    <xf numFmtId="180" fontId="9" fillId="0" borderId="18" xfId="22" applyNumberFormat="1" applyFont="1" applyFill="1" applyBorder="1" applyAlignment="1">
      <alignment horizontal="center" vertical="center"/>
    </xf>
    <xf numFmtId="9" fontId="9" fillId="0" borderId="42" xfId="7" applyNumberFormat="1" applyFont="1" applyBorder="1" applyAlignment="1">
      <alignment horizontal="center" vertical="center" wrapText="1"/>
    </xf>
    <xf numFmtId="0" fontId="9" fillId="0" borderId="5" xfId="0" applyFont="1" applyBorder="1" applyAlignment="1">
      <alignment horizontal="justify" vertical="center" wrapText="1"/>
    </xf>
    <xf numFmtId="3" fontId="9" fillId="0" borderId="42" xfId="7" applyNumberFormat="1" applyFont="1" applyFill="1" applyBorder="1" applyAlignment="1">
      <alignment horizontal="center" vertical="center" wrapText="1"/>
    </xf>
    <xf numFmtId="183" fontId="9" fillId="0" borderId="38" xfId="4" applyNumberFormat="1" applyFont="1" applyFill="1" applyBorder="1" applyAlignment="1">
      <alignment horizontal="center" vertical="center" wrapText="1"/>
    </xf>
    <xf numFmtId="180" fontId="9" fillId="0" borderId="4" xfId="22" applyNumberFormat="1" applyFont="1" applyFill="1" applyBorder="1" applyAlignment="1">
      <alignment horizontal="center" vertical="center"/>
    </xf>
    <xf numFmtId="1" fontId="9" fillId="0" borderId="35" xfId="0" applyNumberFormat="1" applyFont="1" applyBorder="1" applyAlignment="1">
      <alignment horizontal="center" vertical="center"/>
    </xf>
    <xf numFmtId="183" fontId="9" fillId="0" borderId="38" xfId="7" applyNumberFormat="1" applyFont="1" applyBorder="1" applyAlignment="1">
      <alignment horizontal="center" vertical="center" wrapText="1"/>
    </xf>
    <xf numFmtId="186" fontId="9" fillId="0" borderId="26" xfId="7" applyNumberFormat="1" applyFont="1" applyFill="1" applyBorder="1" applyAlignment="1">
      <alignment horizontal="center" vertical="center" wrapText="1"/>
    </xf>
    <xf numFmtId="186" fontId="9" fillId="0" borderId="17" xfId="7" applyNumberFormat="1" applyFont="1" applyFill="1" applyBorder="1" applyAlignment="1">
      <alignment horizontal="center" vertical="center" wrapText="1"/>
    </xf>
    <xf numFmtId="186" fontId="9" fillId="0" borderId="18" xfId="7" applyNumberFormat="1" applyFont="1" applyFill="1" applyBorder="1" applyAlignment="1">
      <alignment horizontal="center" vertical="center" wrapText="1"/>
    </xf>
    <xf numFmtId="0" fontId="9" fillId="0" borderId="2" xfId="16" applyNumberFormat="1" applyFont="1" applyFill="1" applyBorder="1" applyAlignment="1">
      <alignment horizontal="center" vertical="center" wrapText="1"/>
    </xf>
    <xf numFmtId="10" fontId="9" fillId="0" borderId="18" xfId="4"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10" fontId="9" fillId="0" borderId="61" xfId="7" applyNumberFormat="1" applyFont="1" applyBorder="1" applyAlignment="1">
      <alignment horizontal="center" vertical="center" wrapText="1"/>
    </xf>
    <xf numFmtId="10" fontId="9" fillId="0" borderId="43" xfId="7" applyNumberFormat="1" applyFont="1" applyBorder="1" applyAlignment="1">
      <alignment horizontal="center" vertical="center" wrapText="1"/>
    </xf>
    <xf numFmtId="180" fontId="9" fillId="2" borderId="2" xfId="0" applyNumberFormat="1" applyFont="1" applyFill="1" applyBorder="1" applyAlignment="1">
      <alignment horizontal="center" vertical="center"/>
    </xf>
    <xf numFmtId="180" fontId="9" fillId="2" borderId="15" xfId="0" applyNumberFormat="1" applyFont="1" applyFill="1" applyBorder="1" applyAlignment="1">
      <alignment horizontal="center" vertical="center"/>
    </xf>
    <xf numFmtId="1" fontId="9" fillId="0" borderId="38" xfId="0" applyNumberFormat="1" applyFont="1" applyBorder="1" applyAlignment="1">
      <alignment horizontal="center" vertical="center" wrapText="1"/>
    </xf>
    <xf numFmtId="10" fontId="9" fillId="0" borderId="2"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1" fontId="9" fillId="0" borderId="42" xfId="0" applyNumberFormat="1" applyFont="1" applyBorder="1" applyAlignment="1">
      <alignment horizontal="center" vertical="center"/>
    </xf>
    <xf numFmtId="1" fontId="9" fillId="0" borderId="43" xfId="0" applyNumberFormat="1" applyFont="1" applyBorder="1" applyAlignment="1">
      <alignment horizontal="center" vertical="center"/>
    </xf>
    <xf numFmtId="1" fontId="9" fillId="0" borderId="45" xfId="0" applyNumberFormat="1" applyFont="1" applyBorder="1" applyAlignment="1">
      <alignment horizontal="center" vertical="center"/>
    </xf>
    <xf numFmtId="10" fontId="9" fillId="0" borderId="18" xfId="7"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0" fontId="9" fillId="0" borderId="42" xfId="7" applyNumberFormat="1" applyFont="1" applyBorder="1" applyAlignment="1">
      <alignment horizontal="center" vertical="center" wrapText="1"/>
    </xf>
    <xf numFmtId="10" fontId="9" fillId="0" borderId="56" xfId="7" applyNumberFormat="1" applyFont="1" applyBorder="1" applyAlignment="1">
      <alignment horizontal="center" vertical="center" wrapText="1"/>
    </xf>
    <xf numFmtId="0" fontId="9" fillId="2" borderId="7" xfId="0" applyFont="1" applyFill="1" applyBorder="1" applyAlignment="1">
      <alignment horizontal="justify" vertical="center" wrapText="1"/>
    </xf>
    <xf numFmtId="10" fontId="9" fillId="0" borderId="42" xfId="4" applyNumberFormat="1" applyFont="1" applyFill="1" applyBorder="1" applyAlignment="1">
      <alignment horizontal="center" vertical="center" wrapText="1"/>
    </xf>
    <xf numFmtId="10" fontId="9" fillId="0" borderId="43" xfId="4" applyNumberFormat="1" applyFont="1" applyFill="1" applyBorder="1" applyAlignment="1">
      <alignment horizontal="center" vertical="center" wrapText="1"/>
    </xf>
    <xf numFmtId="10" fontId="9" fillId="0" borderId="56" xfId="4" applyNumberFormat="1" applyFont="1" applyFill="1" applyBorder="1" applyAlignment="1">
      <alignment horizontal="center" vertical="center" wrapText="1"/>
    </xf>
    <xf numFmtId="3" fontId="9" fillId="0" borderId="2" xfId="7" applyNumberFormat="1" applyFont="1" applyFill="1" applyBorder="1" applyAlignment="1">
      <alignment horizontal="center" vertical="center" wrapText="1"/>
    </xf>
    <xf numFmtId="3" fontId="9" fillId="0" borderId="15" xfId="7" applyNumberFormat="1" applyFont="1" applyFill="1" applyBorder="1" applyAlignment="1">
      <alignment horizontal="center" vertical="center" wrapText="1"/>
    </xf>
    <xf numFmtId="3" fontId="9" fillId="0" borderId="17" xfId="7" applyNumberFormat="1" applyFont="1" applyFill="1" applyBorder="1" applyAlignment="1">
      <alignment horizontal="center" vertical="center" wrapText="1"/>
    </xf>
    <xf numFmtId="3" fontId="9" fillId="0" borderId="18" xfId="7" applyNumberFormat="1" applyFont="1" applyFill="1" applyBorder="1" applyAlignment="1">
      <alignment horizontal="center" vertical="center" wrapText="1"/>
    </xf>
    <xf numFmtId="170" fontId="9" fillId="2"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0" fontId="9" fillId="0" borderId="7" xfId="7" applyNumberFormat="1" applyFont="1" applyBorder="1" applyAlignment="1">
      <alignment horizontal="center" vertical="center" wrapText="1"/>
    </xf>
    <xf numFmtId="49" fontId="9" fillId="0" borderId="2" xfId="0" applyNumberFormat="1" applyFont="1" applyBorder="1" applyAlignment="1">
      <alignment horizontal="justify" vertical="center" wrapText="1"/>
    </xf>
    <xf numFmtId="0" fontId="9" fillId="0" borderId="15" xfId="13" applyNumberFormat="1" applyFont="1" applyFill="1" applyBorder="1">
      <alignment horizontal="center" vertical="center" wrapText="1"/>
    </xf>
    <xf numFmtId="0" fontId="9" fillId="0" borderId="17" xfId="13" applyNumberFormat="1" applyFont="1" applyFill="1" applyBorder="1">
      <alignment horizontal="center" vertical="center" wrapText="1"/>
    </xf>
    <xf numFmtId="0" fontId="9" fillId="0" borderId="18" xfId="13" applyNumberFormat="1" applyFont="1" applyFill="1" applyBorder="1">
      <alignment horizontal="center" vertical="center" wrapText="1"/>
    </xf>
    <xf numFmtId="10" fontId="9" fillId="0" borderId="6" xfId="4" applyNumberFormat="1" applyFont="1" applyBorder="1" applyAlignment="1">
      <alignment horizontal="center" vertical="center"/>
    </xf>
    <xf numFmtId="10" fontId="9" fillId="0" borderId="16" xfId="4" applyNumberFormat="1" applyFont="1" applyBorder="1" applyAlignment="1">
      <alignment horizontal="center" vertical="center"/>
    </xf>
    <xf numFmtId="4" fontId="9" fillId="2" borderId="36" xfId="0" applyNumberFormat="1" applyFont="1" applyFill="1" applyBorder="1" applyAlignment="1">
      <alignment horizontal="center" vertical="center" wrapText="1"/>
    </xf>
    <xf numFmtId="4" fontId="9" fillId="2" borderId="38" xfId="0" applyNumberFormat="1" applyFont="1" applyFill="1" applyBorder="1" applyAlignment="1">
      <alignment horizontal="center" vertical="center" wrapText="1"/>
    </xf>
    <xf numFmtId="10" fontId="9" fillId="0" borderId="13" xfId="7" applyNumberFormat="1" applyFont="1" applyBorder="1" applyAlignment="1">
      <alignment horizontal="center" vertical="center" wrapText="1"/>
    </xf>
    <xf numFmtId="10" fontId="9" fillId="0" borderId="6" xfId="7" applyNumberFormat="1" applyFont="1" applyBorder="1" applyAlignment="1">
      <alignment horizontal="center" vertical="center" wrapText="1"/>
    </xf>
    <xf numFmtId="10" fontId="9" fillId="0" borderId="16" xfId="7" applyNumberFormat="1" applyFont="1" applyBorder="1" applyAlignment="1">
      <alignment horizontal="center" vertical="center" wrapText="1"/>
    </xf>
    <xf numFmtId="49" fontId="9" fillId="2" borderId="26"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10" fontId="9" fillId="0" borderId="26" xfId="4" applyNumberFormat="1" applyFont="1" applyFill="1" applyBorder="1" applyAlignment="1">
      <alignment horizontal="center" vertical="center" wrapText="1"/>
    </xf>
    <xf numFmtId="3" fontId="9" fillId="0" borderId="36" xfId="7" applyNumberFormat="1" applyFont="1" applyFill="1" applyBorder="1" applyAlignment="1">
      <alignment horizontal="center" vertical="center" wrapText="1"/>
    </xf>
    <xf numFmtId="0" fontId="3" fillId="6" borderId="13" xfId="0" applyFont="1" applyFill="1" applyBorder="1" applyAlignment="1">
      <alignment horizontal="left" vertical="center"/>
    </xf>
    <xf numFmtId="0" fontId="3" fillId="6" borderId="5" xfId="0" applyFont="1" applyFill="1" applyBorder="1" applyAlignment="1">
      <alignment horizontal="left" vertical="center"/>
    </xf>
    <xf numFmtId="0" fontId="9" fillId="6" borderId="0" xfId="0" applyFont="1" applyFill="1" applyBorder="1" applyAlignment="1">
      <alignment horizontal="center" vertical="center"/>
    </xf>
    <xf numFmtId="1" fontId="3" fillId="2" borderId="6"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10" borderId="40" xfId="0" applyNumberFormat="1" applyFont="1" applyFill="1" applyBorder="1" applyAlignment="1">
      <alignment horizontal="left" vertical="center"/>
    </xf>
    <xf numFmtId="1" fontId="3" fillId="10" borderId="24" xfId="0" applyNumberFormat="1" applyFont="1" applyFill="1" applyBorder="1" applyAlignment="1">
      <alignment horizontal="left" vertical="center"/>
    </xf>
    <xf numFmtId="0" fontId="3" fillId="5" borderId="6"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9" fontId="3" fillId="4" borderId="17" xfId="6" applyFont="1" applyFill="1" applyBorder="1" applyAlignment="1">
      <alignment horizontal="center" vertical="center" wrapText="1"/>
    </xf>
    <xf numFmtId="9" fontId="3" fillId="4" borderId="18" xfId="6" applyFont="1" applyFill="1" applyBorder="1" applyAlignment="1">
      <alignment horizontal="center" vertical="center" wrapText="1"/>
    </xf>
    <xf numFmtId="0" fontId="3" fillId="5" borderId="7" xfId="0" applyFont="1" applyFill="1" applyBorder="1" applyAlignment="1">
      <alignment horizontal="center" vertical="center" textRotation="90" wrapText="1"/>
    </xf>
    <xf numFmtId="0" fontId="3" fillId="5" borderId="9" xfId="0" applyFont="1" applyFill="1" applyBorder="1" applyAlignment="1">
      <alignment horizontal="center" vertical="center" textRotation="90" wrapText="1"/>
    </xf>
    <xf numFmtId="170" fontId="3" fillId="5" borderId="18" xfId="0" applyNumberFormat="1" applyFont="1" applyFill="1" applyBorder="1" applyAlignment="1">
      <alignment horizontal="center" vertical="center" wrapText="1"/>
    </xf>
    <xf numFmtId="170" fontId="3" fillId="5" borderId="2" xfId="0" applyNumberFormat="1" applyFont="1" applyFill="1" applyBorder="1" applyAlignment="1">
      <alignment horizontal="center" vertical="center" wrapText="1"/>
    </xf>
    <xf numFmtId="41" fontId="3" fillId="5" borderId="16" xfId="20" applyFont="1" applyFill="1" applyBorder="1" applyAlignment="1">
      <alignment horizontal="center" vertical="center" wrapText="1"/>
    </xf>
    <xf numFmtId="41" fontId="3" fillId="5" borderId="3" xfId="20" applyFont="1" applyFill="1" applyBorder="1" applyAlignment="1">
      <alignment horizontal="center" vertical="center" wrapText="1"/>
    </xf>
    <xf numFmtId="41" fontId="3" fillId="5" borderId="4" xfId="20" applyFont="1" applyFill="1" applyBorder="1" applyAlignment="1">
      <alignment horizontal="center" vertical="center" wrapText="1"/>
    </xf>
    <xf numFmtId="0" fontId="3" fillId="3" borderId="6"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1" fontId="3" fillId="5" borderId="2"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textRotation="90" wrapText="1"/>
    </xf>
    <xf numFmtId="49" fontId="3" fillId="5" borderId="9" xfId="0" applyNumberFormat="1" applyFont="1" applyFill="1" applyBorder="1" applyAlignment="1">
      <alignment horizontal="center" vertical="center" textRotation="90" wrapText="1"/>
    </xf>
    <xf numFmtId="0" fontId="3" fillId="5" borderId="0" xfId="0" applyFont="1" applyFill="1" applyBorder="1" applyAlignment="1">
      <alignment horizontal="center" vertical="center" wrapText="1"/>
    </xf>
    <xf numFmtId="171" fontId="3" fillId="5" borderId="18" xfId="0" applyNumberFormat="1" applyFont="1" applyFill="1" applyBorder="1" applyAlignment="1">
      <alignment horizontal="center" vertical="center" wrapText="1"/>
    </xf>
    <xf numFmtId="171" fontId="3" fillId="5" borderId="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1" fontId="3" fillId="3" borderId="8"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15" borderId="2" xfId="0" applyFont="1" applyFill="1" applyBorder="1" applyAlignment="1">
      <alignment horizontal="center" vertical="center"/>
    </xf>
    <xf numFmtId="3" fontId="3" fillId="5" borderId="15" xfId="0" applyNumberFormat="1" applyFont="1" applyFill="1" applyBorder="1" applyAlignment="1">
      <alignment horizontal="center" vertical="center" wrapText="1"/>
    </xf>
    <xf numFmtId="3" fontId="3" fillId="5" borderId="17" xfId="0" applyNumberFormat="1" applyFont="1" applyFill="1" applyBorder="1" applyAlignment="1">
      <alignment horizontal="center" vertical="center" wrapText="1"/>
    </xf>
    <xf numFmtId="3" fontId="3" fillId="5" borderId="18" xfId="0" applyNumberFormat="1" applyFont="1" applyFill="1" applyBorder="1" applyAlignment="1">
      <alignment horizontal="center" vertical="center" wrapText="1"/>
    </xf>
    <xf numFmtId="1" fontId="3" fillId="3" borderId="14"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10" fillId="12" borderId="9" xfId="0" applyFont="1" applyFill="1" applyBorder="1" applyAlignment="1">
      <alignment horizontal="justify" vertical="center" wrapText="1"/>
    </xf>
    <xf numFmtId="166" fontId="4" fillId="2" borderId="15" xfId="2" applyFont="1" applyFill="1" applyBorder="1" applyAlignment="1">
      <alignment horizontal="center" vertical="center" wrapText="1"/>
    </xf>
    <xf numFmtId="166" fontId="4" fillId="2" borderId="17" xfId="2" applyFont="1" applyFill="1" applyBorder="1" applyAlignment="1">
      <alignment horizontal="center" vertical="center" wrapText="1"/>
    </xf>
    <xf numFmtId="166" fontId="4" fillId="2" borderId="18" xfId="2" applyFont="1" applyFill="1" applyBorder="1" applyAlignment="1">
      <alignment horizontal="center" vertical="center" wrapText="1"/>
    </xf>
    <xf numFmtId="43" fontId="4" fillId="2" borderId="2" xfId="16"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166" fontId="4" fillId="0" borderId="26" xfId="2" applyFont="1" applyFill="1" applyBorder="1" applyAlignment="1">
      <alignment horizontal="center" vertical="center" wrapText="1"/>
    </xf>
    <xf numFmtId="166" fontId="4" fillId="0" borderId="18" xfId="2"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43" fontId="4" fillId="0" borderId="17" xfId="16" applyFont="1" applyFill="1" applyBorder="1" applyAlignment="1">
      <alignment horizontal="center" vertical="center" wrapText="1"/>
    </xf>
    <xf numFmtId="0" fontId="4" fillId="0" borderId="26" xfId="0" applyFont="1" applyFill="1" applyBorder="1" applyAlignment="1">
      <alignment horizontal="justify" vertical="center" wrapText="1"/>
    </xf>
    <xf numFmtId="166" fontId="10" fillId="2" borderId="15" xfId="2" applyFont="1" applyFill="1" applyBorder="1" applyAlignment="1">
      <alignment horizontal="center" vertical="center" wrapText="1"/>
    </xf>
    <xf numFmtId="166" fontId="10" fillId="2" borderId="17" xfId="2" applyFont="1" applyFill="1" applyBorder="1" applyAlignment="1">
      <alignment horizontal="center" vertical="center" wrapText="1"/>
    </xf>
    <xf numFmtId="9" fontId="10" fillId="0" borderId="15" xfId="4" applyFont="1" applyFill="1" applyBorder="1" applyAlignment="1">
      <alignment horizontal="center" vertical="center" wrapText="1"/>
    </xf>
    <xf numFmtId="9" fontId="10" fillId="0" borderId="17" xfId="4"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43" fontId="4" fillId="2" borderId="15" xfId="16" applyFont="1" applyFill="1" applyBorder="1" applyAlignment="1">
      <alignment horizontal="center" vertical="center" wrapText="1"/>
    </xf>
    <xf numFmtId="43" fontId="4" fillId="2" borderId="17" xfId="16"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166" fontId="10" fillId="2" borderId="48" xfId="2" applyFont="1" applyFill="1" applyBorder="1" applyAlignment="1">
      <alignment horizontal="center" vertical="center" wrapText="1"/>
    </xf>
    <xf numFmtId="9" fontId="10" fillId="0" borderId="48" xfId="4" applyFont="1" applyFill="1" applyBorder="1" applyAlignment="1">
      <alignment horizontal="center" vertical="center" wrapText="1"/>
    </xf>
    <xf numFmtId="43" fontId="4" fillId="0" borderId="18" xfId="16"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32" xfId="0" applyNumberFormat="1" applyFont="1" applyFill="1" applyBorder="1" applyAlignment="1">
      <alignment horizontal="center" vertical="center" wrapText="1"/>
    </xf>
    <xf numFmtId="1" fontId="4" fillId="0" borderId="33" xfId="0" applyNumberFormat="1" applyFont="1" applyFill="1" applyBorder="1" applyAlignment="1">
      <alignment horizontal="center" vertical="center" wrapText="1"/>
    </xf>
    <xf numFmtId="14" fontId="4" fillId="0" borderId="36" xfId="0" applyNumberFormat="1" applyFont="1" applyFill="1" applyBorder="1" applyAlignment="1">
      <alignment horizontal="center" vertical="center" wrapText="1"/>
    </xf>
    <xf numFmtId="14" fontId="4" fillId="0" borderId="38" xfId="0" applyNumberFormat="1" applyFont="1" applyFill="1" applyBorder="1" applyAlignment="1">
      <alignment horizontal="center" vertical="center" wrapText="1"/>
    </xf>
    <xf numFmtId="1" fontId="4" fillId="2" borderId="32" xfId="0" applyNumberFormat="1" applyFont="1" applyFill="1" applyBorder="1" applyAlignment="1">
      <alignment horizontal="center" vertical="center" wrapText="1"/>
    </xf>
    <xf numFmtId="1" fontId="4" fillId="2" borderId="33" xfId="0" applyNumberFormat="1" applyFont="1" applyFill="1" applyBorder="1" applyAlignment="1">
      <alignment horizontal="center" vertical="center" wrapText="1"/>
    </xf>
    <xf numFmtId="1" fontId="4" fillId="2" borderId="36" xfId="0" applyNumberFormat="1" applyFont="1" applyFill="1" applyBorder="1" applyAlignment="1">
      <alignment horizontal="center" vertical="center" wrapText="1"/>
    </xf>
    <xf numFmtId="166" fontId="4" fillId="2" borderId="32" xfId="2" applyFont="1" applyFill="1" applyBorder="1" applyAlignment="1">
      <alignment horizontal="center" vertical="center" wrapText="1"/>
    </xf>
    <xf numFmtId="166" fontId="4" fillId="2" borderId="33" xfId="2" applyFont="1" applyFill="1" applyBorder="1" applyAlignment="1">
      <alignment horizontal="center" vertical="center" wrapText="1"/>
    </xf>
    <xf numFmtId="166" fontId="4" fillId="2" borderId="36" xfId="2" applyFont="1" applyFill="1" applyBorder="1" applyAlignment="1">
      <alignment horizontal="center" vertical="center" wrapText="1"/>
    </xf>
    <xf numFmtId="9" fontId="4" fillId="0" borderId="32" xfId="4" applyFont="1" applyFill="1" applyBorder="1" applyAlignment="1">
      <alignment horizontal="center" vertical="center" wrapText="1"/>
    </xf>
    <xf numFmtId="9" fontId="4" fillId="0" borderId="33" xfId="4"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8" xfId="0" applyFont="1" applyFill="1" applyBorder="1" applyAlignment="1">
      <alignment horizontal="center" vertical="center" wrapText="1"/>
    </xf>
    <xf numFmtId="3" fontId="4" fillId="2" borderId="21" xfId="0" applyNumberFormat="1" applyFont="1" applyFill="1" applyBorder="1" applyAlignment="1">
      <alignment horizontal="justify" vertical="center" wrapText="1"/>
    </xf>
    <xf numFmtId="3" fontId="4" fillId="2" borderId="65" xfId="0" applyNumberFormat="1" applyFont="1" applyFill="1" applyBorder="1" applyAlignment="1">
      <alignment horizontal="justify" vertical="center" wrapText="1"/>
    </xf>
    <xf numFmtId="3" fontId="4" fillId="2" borderId="36" xfId="0" applyNumberFormat="1" applyFont="1" applyFill="1" applyBorder="1" applyAlignment="1">
      <alignment horizontal="justify" vertical="center" wrapText="1"/>
    </xf>
    <xf numFmtId="3" fontId="4" fillId="2" borderId="38" xfId="0" applyNumberFormat="1" applyFont="1" applyFill="1" applyBorder="1" applyAlignment="1">
      <alignment horizontal="justify" vertical="center" wrapText="1"/>
    </xf>
    <xf numFmtId="1" fontId="4" fillId="0" borderId="20"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9" fontId="4" fillId="0" borderId="38" xfId="0" applyNumberFormat="1" applyFont="1" applyFill="1" applyBorder="1" applyAlignment="1">
      <alignment horizontal="center" vertical="center" wrapText="1"/>
    </xf>
    <xf numFmtId="43" fontId="4" fillId="0" borderId="36" xfId="16" applyFont="1" applyFill="1" applyBorder="1" applyAlignment="1">
      <alignment horizontal="center" vertical="center" wrapText="1"/>
    </xf>
    <xf numFmtId="43" fontId="4" fillId="0" borderId="38" xfId="16" applyFont="1" applyFill="1" applyBorder="1" applyAlignment="1">
      <alignment horizontal="center" vertical="center" wrapText="1"/>
    </xf>
    <xf numFmtId="14" fontId="4" fillId="2" borderId="38" xfId="0" applyNumberFormat="1" applyFont="1" applyFill="1" applyBorder="1" applyAlignment="1">
      <alignment horizontal="center" vertical="center" wrapText="1"/>
    </xf>
    <xf numFmtId="166" fontId="10" fillId="2" borderId="2" xfId="2" applyFont="1" applyFill="1" applyBorder="1" applyAlignment="1">
      <alignment horizontal="center" vertical="center" wrapText="1"/>
    </xf>
    <xf numFmtId="9" fontId="10" fillId="0" borderId="2" xfId="4" applyFont="1" applyFill="1" applyBorder="1" applyAlignment="1">
      <alignment horizontal="center" vertical="center" wrapText="1"/>
    </xf>
    <xf numFmtId="0" fontId="10" fillId="0" borderId="24" xfId="0" applyFont="1" applyFill="1" applyBorder="1" applyAlignment="1">
      <alignment horizontal="center" vertical="center" wrapText="1"/>
    </xf>
    <xf numFmtId="9" fontId="4" fillId="2" borderId="38" xfId="0" applyNumberFormat="1" applyFont="1" applyFill="1" applyBorder="1" applyAlignment="1">
      <alignment horizontal="center" vertical="center" wrapText="1"/>
    </xf>
    <xf numFmtId="43" fontId="4" fillId="2" borderId="38" xfId="16" applyFont="1" applyFill="1" applyBorder="1" applyAlignment="1">
      <alignment horizontal="center" vertical="center" wrapText="1"/>
    </xf>
    <xf numFmtId="0" fontId="4" fillId="2" borderId="38" xfId="0" applyFont="1" applyFill="1" applyBorder="1" applyAlignment="1">
      <alignment horizontal="justify" vertical="center" wrapText="1"/>
    </xf>
    <xf numFmtId="0" fontId="4" fillId="2" borderId="38" xfId="0" applyFont="1" applyFill="1" applyBorder="1" applyAlignment="1">
      <alignment horizontal="center" vertical="center" wrapText="1"/>
    </xf>
    <xf numFmtId="0" fontId="2" fillId="6" borderId="28" xfId="0" applyFont="1" applyFill="1" applyBorder="1" applyAlignment="1">
      <alignment horizontal="left" vertical="center"/>
    </xf>
    <xf numFmtId="0" fontId="3" fillId="8" borderId="49" xfId="0" applyFont="1" applyFill="1" applyBorder="1" applyAlignment="1">
      <alignment horizontal="center" vertical="center"/>
    </xf>
    <xf numFmtId="0" fontId="3" fillId="8" borderId="50" xfId="0" applyFont="1" applyFill="1" applyBorder="1" applyAlignment="1">
      <alignment horizontal="center" vertical="center"/>
    </xf>
    <xf numFmtId="0" fontId="3" fillId="8" borderId="5" xfId="0" applyFont="1" applyFill="1" applyBorder="1" applyAlignment="1">
      <alignment horizontal="center" vertical="center"/>
    </xf>
    <xf numFmtId="0" fontId="10" fillId="11" borderId="17" xfId="0" applyFont="1" applyFill="1" applyBorder="1" applyAlignment="1">
      <alignment horizontal="center" vertical="center" wrapText="1"/>
    </xf>
    <xf numFmtId="0" fontId="4" fillId="2" borderId="2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6" xfId="0" applyFont="1" applyFill="1" applyBorder="1" applyAlignment="1">
      <alignment horizontal="justify" vertical="center" wrapText="1"/>
    </xf>
    <xf numFmtId="0" fontId="4" fillId="2" borderId="35" xfId="0" applyFont="1" applyFill="1" applyBorder="1" applyAlignment="1">
      <alignment horizontal="justify" vertical="center" wrapText="1"/>
    </xf>
    <xf numFmtId="0" fontId="4" fillId="2" borderId="22" xfId="0" applyFont="1" applyFill="1" applyBorder="1" applyAlignment="1">
      <alignment horizontal="justify" vertical="center" wrapText="1"/>
    </xf>
    <xf numFmtId="166" fontId="10" fillId="12" borderId="17" xfId="2" applyFont="1" applyFill="1" applyBorder="1" applyAlignment="1">
      <alignment horizontal="center" vertical="center" wrapText="1"/>
    </xf>
    <xf numFmtId="9" fontId="10" fillId="11" borderId="17" xfId="4"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4" xfId="0" applyFont="1" applyFill="1" applyBorder="1" applyAlignment="1">
      <alignment horizontal="center" vertical="center" wrapText="1"/>
    </xf>
    <xf numFmtId="183" fontId="4" fillId="0" borderId="37" xfId="0" applyNumberFormat="1" applyFont="1" applyFill="1" applyBorder="1" applyAlignment="1">
      <alignment horizontal="center" vertical="center" wrapText="1"/>
    </xf>
    <xf numFmtId="183" fontId="4" fillId="0" borderId="33" xfId="0" applyNumberFormat="1" applyFont="1" applyFill="1" applyBorder="1" applyAlignment="1">
      <alignment horizontal="center" vertical="center" wrapText="1"/>
    </xf>
    <xf numFmtId="183" fontId="4" fillId="0" borderId="36" xfId="0" applyNumberFormat="1" applyFont="1" applyFill="1" applyBorder="1" applyAlignment="1">
      <alignment horizontal="center" vertical="center" wrapText="1"/>
    </xf>
    <xf numFmtId="0" fontId="4" fillId="2" borderId="37" xfId="0" applyFont="1" applyFill="1" applyBorder="1" applyAlignment="1">
      <alignment horizontal="justify" vertical="center" wrapText="1"/>
    </xf>
    <xf numFmtId="0" fontId="4" fillId="2" borderId="33" xfId="0" applyFont="1" applyFill="1" applyBorder="1" applyAlignment="1">
      <alignment horizontal="justify" vertical="center" wrapText="1"/>
    </xf>
    <xf numFmtId="0" fontId="4" fillId="2" borderId="36"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4" fillId="2" borderId="19" xfId="0" applyFont="1" applyFill="1" applyBorder="1" applyAlignment="1">
      <alignment horizontal="justify" vertical="center" wrapText="1"/>
    </xf>
    <xf numFmtId="0" fontId="4" fillId="2" borderId="30" xfId="0" applyFont="1" applyFill="1" applyBorder="1" applyAlignment="1">
      <alignment horizontal="justify" vertical="center" wrapText="1"/>
    </xf>
    <xf numFmtId="0" fontId="4" fillId="0" borderId="30"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7" xfId="2"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83" fontId="4" fillId="0" borderId="30" xfId="0" applyNumberFormat="1" applyFont="1" applyFill="1" applyBorder="1" applyAlignment="1">
      <alignment horizontal="center" vertical="center" wrapText="1"/>
    </xf>
    <xf numFmtId="183" fontId="4" fillId="0" borderId="40" xfId="0" applyNumberFormat="1" applyFont="1" applyFill="1" applyBorder="1" applyAlignment="1">
      <alignment horizontal="center" vertical="center" wrapText="1"/>
    </xf>
    <xf numFmtId="0" fontId="4" fillId="0" borderId="46"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40"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10" fillId="2" borderId="38" xfId="0" applyFont="1" applyFill="1" applyBorder="1" applyAlignment="1">
      <alignment horizontal="center" vertical="center" wrapText="1"/>
    </xf>
    <xf numFmtId="166" fontId="10" fillId="2" borderId="38" xfId="2" applyFont="1" applyFill="1" applyBorder="1" applyAlignment="1">
      <alignment horizontal="center" vertical="center" wrapText="1"/>
    </xf>
    <xf numFmtId="9" fontId="10" fillId="2" borderId="38" xfId="4" applyFont="1" applyFill="1" applyBorder="1" applyAlignment="1">
      <alignment horizontal="center" vertical="center" wrapText="1"/>
    </xf>
    <xf numFmtId="43" fontId="4" fillId="2" borderId="24" xfId="16" applyFont="1" applyFill="1" applyBorder="1" applyAlignment="1">
      <alignment horizontal="center" vertical="center" wrapText="1"/>
    </xf>
    <xf numFmtId="3" fontId="4" fillId="2" borderId="24" xfId="0" applyNumberFormat="1" applyFont="1" applyFill="1" applyBorder="1" applyAlignment="1">
      <alignment horizontal="justify" vertical="center" wrapText="1"/>
    </xf>
    <xf numFmtId="0" fontId="4" fillId="0" borderId="2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Font="1" applyFill="1" applyBorder="1" applyAlignment="1">
      <alignment horizontal="justify" vertical="center" wrapText="1"/>
    </xf>
    <xf numFmtId="0" fontId="4" fillId="0" borderId="4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9" fontId="4" fillId="2" borderId="37" xfId="0" applyNumberFormat="1" applyFont="1" applyFill="1" applyBorder="1" applyAlignment="1">
      <alignment horizontal="center" vertical="center" wrapText="1"/>
    </xf>
    <xf numFmtId="9" fontId="4" fillId="2" borderId="33" xfId="0" applyNumberFormat="1" applyFont="1" applyFill="1" applyBorder="1" applyAlignment="1">
      <alignment horizontal="center" vertical="center" wrapText="1"/>
    </xf>
    <xf numFmtId="9" fontId="4" fillId="2" borderId="34" xfId="0" applyNumberFormat="1" applyFont="1" applyFill="1" applyBorder="1" applyAlignment="1">
      <alignment horizontal="center" vertical="center" wrapText="1"/>
    </xf>
    <xf numFmtId="166" fontId="4" fillId="2" borderId="2" xfId="2"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14" fontId="4" fillId="0" borderId="24"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 fontId="4" fillId="0" borderId="41"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0" borderId="44" xfId="0" applyNumberFormat="1"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43" fontId="4" fillId="2" borderId="46" xfId="16" applyFont="1" applyFill="1" applyBorder="1" applyAlignment="1">
      <alignment horizontal="center" vertical="center" wrapText="1"/>
    </xf>
    <xf numFmtId="43" fontId="4" fillId="2" borderId="35" xfId="16" applyFont="1" applyFill="1" applyBorder="1" applyAlignment="1">
      <alignment horizontal="center" vertical="center" wrapText="1"/>
    </xf>
    <xf numFmtId="9" fontId="10" fillId="2" borderId="2" xfId="4"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35" xfId="0" applyFont="1" applyFill="1" applyBorder="1" applyAlignment="1">
      <alignment horizontal="center" vertical="center" wrapText="1"/>
    </xf>
    <xf numFmtId="43" fontId="4" fillId="2" borderId="20" xfId="16" applyFont="1" applyFill="1" applyBorder="1" applyAlignment="1">
      <alignment horizontal="center" vertical="center" wrapText="1"/>
    </xf>
    <xf numFmtId="0" fontId="4" fillId="2" borderId="24" xfId="0" applyFont="1" applyFill="1" applyBorder="1" applyAlignment="1">
      <alignment horizontal="justify" vertical="center" wrapText="1"/>
    </xf>
    <xf numFmtId="0" fontId="4" fillId="0" borderId="62" xfId="0"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wrapText="1"/>
    </xf>
    <xf numFmtId="1" fontId="4" fillId="0" borderId="46"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Border="1" applyAlignment="1">
      <alignment horizontal="center" vertical="center" wrapText="1"/>
    </xf>
    <xf numFmtId="9" fontId="4" fillId="0" borderId="37"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9" fillId="0" borderId="48" xfId="0" applyFont="1" applyFill="1" applyBorder="1" applyAlignment="1">
      <alignment horizontal="center" vertical="center" wrapText="1"/>
    </xf>
    <xf numFmtId="167" fontId="4" fillId="2" borderId="55" xfId="1" applyFont="1" applyFill="1" applyBorder="1" applyAlignment="1">
      <alignment horizontal="center" vertical="center" wrapText="1"/>
    </xf>
    <xf numFmtId="167" fontId="4" fillId="2" borderId="29" xfId="1" applyFont="1" applyFill="1" applyBorder="1" applyAlignment="1">
      <alignment horizontal="center" vertical="center" wrapText="1"/>
    </xf>
    <xf numFmtId="167" fontId="4" fillId="2" borderId="37" xfId="1" applyFont="1" applyFill="1" applyBorder="1" applyAlignment="1">
      <alignment horizontal="center" vertical="center" wrapText="1"/>
    </xf>
    <xf numFmtId="167" fontId="4" fillId="2" borderId="36" xfId="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6"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43" fontId="4" fillId="2" borderId="18" xfId="16" applyFont="1" applyFill="1" applyBorder="1" applyAlignment="1">
      <alignment horizontal="center" vertical="center" wrapText="1"/>
    </xf>
    <xf numFmtId="0" fontId="4" fillId="2" borderId="42" xfId="0" applyFont="1" applyFill="1" applyBorder="1" applyAlignment="1">
      <alignment horizontal="left" vertical="center" wrapText="1"/>
    </xf>
    <xf numFmtId="0" fontId="4" fillId="2" borderId="45" xfId="0" applyFont="1" applyFill="1" applyBorder="1" applyAlignment="1">
      <alignment horizontal="left" vertical="center" wrapText="1"/>
    </xf>
    <xf numFmtId="166" fontId="4" fillId="0" borderId="15" xfId="2" applyFont="1" applyFill="1" applyBorder="1" applyAlignment="1">
      <alignment horizontal="center" vertical="center" wrapText="1"/>
    </xf>
    <xf numFmtId="166" fontId="10" fillId="0" borderId="15" xfId="2" applyFont="1" applyFill="1" applyBorder="1" applyAlignment="1">
      <alignment horizontal="center" vertical="center" wrapText="1"/>
    </xf>
    <xf numFmtId="166" fontId="10" fillId="0" borderId="17" xfId="2" applyFont="1" applyFill="1" applyBorder="1" applyAlignment="1">
      <alignment horizontal="center" vertical="center" wrapText="1"/>
    </xf>
    <xf numFmtId="166" fontId="10" fillId="0" borderId="48" xfId="2" applyFont="1" applyFill="1" applyBorder="1" applyAlignment="1">
      <alignment horizontal="center" vertical="center" wrapText="1"/>
    </xf>
    <xf numFmtId="0" fontId="4" fillId="0" borderId="48" xfId="0" applyFont="1" applyFill="1" applyBorder="1" applyAlignment="1">
      <alignment horizontal="justify" vertical="center" wrapText="1"/>
    </xf>
    <xf numFmtId="171" fontId="4" fillId="0" borderId="15" xfId="0" applyNumberFormat="1" applyFont="1" applyFill="1" applyBorder="1" applyAlignment="1">
      <alignment horizontal="center" vertical="center" wrapText="1"/>
    </xf>
    <xf numFmtId="171" fontId="4" fillId="0" borderId="17" xfId="0" applyNumberFormat="1" applyFont="1" applyFill="1" applyBorder="1" applyAlignment="1">
      <alignment horizontal="center" vertical="center" wrapText="1"/>
    </xf>
    <xf numFmtId="171" fontId="4" fillId="0" borderId="18" xfId="0" applyNumberFormat="1" applyFont="1" applyFill="1" applyBorder="1" applyAlignment="1">
      <alignment horizontal="center" vertical="center" wrapText="1"/>
    </xf>
    <xf numFmtId="0" fontId="4" fillId="0" borderId="56" xfId="0" applyFont="1" applyFill="1" applyBorder="1" applyAlignment="1">
      <alignment horizontal="justify" vertical="center" wrapText="1"/>
    </xf>
    <xf numFmtId="14" fontId="4" fillId="2" borderId="0"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20"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66" fontId="10" fillId="11" borderId="2" xfId="2"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11" borderId="3" xfId="0" applyFont="1" applyFill="1" applyBorder="1" applyAlignment="1">
      <alignment horizontal="center" vertical="center" wrapText="1"/>
    </xf>
    <xf numFmtId="14" fontId="4" fillId="0" borderId="37" xfId="0" applyNumberFormat="1" applyFont="1" applyFill="1" applyBorder="1" applyAlignment="1">
      <alignment horizontal="center" vertical="center" wrapText="1"/>
    </xf>
    <xf numFmtId="0" fontId="4" fillId="2" borderId="36" xfId="0" applyFont="1" applyFill="1" applyBorder="1" applyAlignment="1">
      <alignment horizontal="center" vertical="center" wrapText="1"/>
    </xf>
    <xf numFmtId="43" fontId="4" fillId="2" borderId="30" xfId="16" applyFont="1" applyFill="1" applyBorder="1" applyAlignment="1">
      <alignment horizontal="center" vertical="center" wrapText="1"/>
    </xf>
    <xf numFmtId="3" fontId="4" fillId="2" borderId="46" xfId="0" applyNumberFormat="1" applyFont="1" applyFill="1" applyBorder="1" applyAlignment="1">
      <alignment horizontal="justify" vertical="center" wrapText="1"/>
    </xf>
    <xf numFmtId="3" fontId="4" fillId="2" borderId="35" xfId="0" applyNumberFormat="1" applyFont="1" applyFill="1" applyBorder="1" applyAlignment="1">
      <alignment horizontal="justify" vertical="center" wrapText="1"/>
    </xf>
    <xf numFmtId="166" fontId="4" fillId="0" borderId="38" xfId="2"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9" fillId="0" borderId="26" xfId="7" applyFont="1" applyFill="1" applyBorder="1" applyAlignment="1">
      <alignment horizontal="justify" vertical="center" wrapText="1"/>
    </xf>
    <xf numFmtId="0" fontId="3" fillId="8" borderId="60" xfId="0" applyFont="1" applyFill="1" applyBorder="1" applyAlignment="1">
      <alignment horizontal="left" vertical="center"/>
    </xf>
    <xf numFmtId="0" fontId="4" fillId="0" borderId="61" xfId="0" applyFont="1" applyFill="1" applyBorder="1" applyAlignment="1">
      <alignment horizontal="justify" vertical="center" wrapText="1"/>
    </xf>
    <xf numFmtId="0" fontId="9" fillId="0" borderId="61" xfId="0" applyFont="1" applyFill="1" applyBorder="1" applyAlignment="1">
      <alignment horizontal="justify" vertical="center" wrapText="1"/>
    </xf>
    <xf numFmtId="0" fontId="4" fillId="2" borderId="2" xfId="0" applyFont="1" applyFill="1" applyBorder="1" applyAlignment="1">
      <alignment horizontal="left" vertical="center" wrapText="1"/>
    </xf>
    <xf numFmtId="0" fontId="13" fillId="5" borderId="15"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7" xfId="0"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166" fontId="10" fillId="0" borderId="2" xfId="2" applyFont="1" applyFill="1" applyBorder="1" applyAlignment="1">
      <alignment horizontal="center" vertical="center" wrapText="1"/>
    </xf>
    <xf numFmtId="0" fontId="13" fillId="5" borderId="3" xfId="0" applyFont="1" applyFill="1" applyBorder="1" applyAlignment="1">
      <alignment horizontal="center" vertical="center" wrapText="1"/>
    </xf>
    <xf numFmtId="0" fontId="2" fillId="6" borderId="13" xfId="0" applyFont="1" applyFill="1" applyBorder="1" applyAlignment="1">
      <alignment horizontal="left" vertical="center"/>
    </xf>
    <xf numFmtId="0" fontId="3" fillId="10" borderId="30" xfId="7" applyFont="1" applyFill="1" applyBorder="1" applyAlignment="1">
      <alignment horizontal="left" vertical="center"/>
    </xf>
    <xf numFmtId="0" fontId="3" fillId="10" borderId="20" xfId="7" applyFont="1" applyFill="1" applyBorder="1" applyAlignment="1">
      <alignment horizontal="left" vertical="center"/>
    </xf>
    <xf numFmtId="0" fontId="3" fillId="10" borderId="50" xfId="7" applyFont="1" applyFill="1" applyBorder="1" applyAlignment="1">
      <alignment horizontal="left" vertical="center"/>
    </xf>
    <xf numFmtId="3" fontId="4" fillId="2" borderId="40" xfId="0" applyNumberFormat="1" applyFont="1" applyFill="1" applyBorder="1" applyAlignment="1">
      <alignment horizontal="justify" vertical="center" wrapText="1"/>
    </xf>
    <xf numFmtId="0" fontId="2" fillId="0" borderId="9" xfId="0" applyFont="1" applyBorder="1" applyAlignment="1">
      <alignment horizontal="center" vertical="center"/>
    </xf>
    <xf numFmtId="1" fontId="2" fillId="3" borderId="3"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2" fillId="15" borderId="36" xfId="0" applyFont="1" applyFill="1" applyBorder="1" applyAlignment="1">
      <alignment horizontal="center" vertical="center"/>
    </xf>
    <xf numFmtId="182" fontId="13" fillId="5" borderId="13" xfId="0" applyNumberFormat="1" applyFont="1" applyFill="1" applyBorder="1" applyAlignment="1">
      <alignment horizontal="center" vertical="center" wrapText="1"/>
    </xf>
    <xf numFmtId="182" fontId="13" fillId="5" borderId="14" xfId="0" applyNumberFormat="1" applyFont="1" applyFill="1" applyBorder="1" applyAlignment="1">
      <alignment horizontal="center" vertical="center" wrapText="1"/>
    </xf>
    <xf numFmtId="182" fontId="13" fillId="5" borderId="16" xfId="0" applyNumberFormat="1" applyFont="1" applyFill="1" applyBorder="1" applyAlignment="1">
      <alignment horizontal="center" vertical="center" wrapText="1"/>
    </xf>
    <xf numFmtId="182" fontId="13" fillId="5" borderId="4" xfId="0" applyNumberFormat="1" applyFont="1" applyFill="1" applyBorder="1" applyAlignment="1">
      <alignment horizontal="center" vertical="center" wrapText="1"/>
    </xf>
    <xf numFmtId="182" fontId="13" fillId="5" borderId="5" xfId="0" applyNumberFormat="1" applyFont="1" applyFill="1" applyBorder="1" applyAlignment="1">
      <alignment horizontal="center" vertical="center" wrapText="1"/>
    </xf>
    <xf numFmtId="182" fontId="13" fillId="5" borderId="3" xfId="0" applyNumberFormat="1"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2" fillId="15" borderId="37" xfId="0" applyFont="1" applyFill="1" applyBorder="1" applyAlignment="1">
      <alignment horizontal="center" vertical="center"/>
    </xf>
    <xf numFmtId="1" fontId="2" fillId="23" borderId="5" xfId="0" applyNumberFormat="1" applyFont="1" applyFill="1" applyBorder="1" applyAlignment="1">
      <alignment horizontal="center" vertical="center" wrapText="1"/>
    </xf>
    <xf numFmtId="1" fontId="2" fillId="23" borderId="14" xfId="0" applyNumberFormat="1" applyFont="1" applyFill="1" applyBorder="1" applyAlignment="1">
      <alignment horizontal="center" vertical="center" wrapText="1"/>
    </xf>
    <xf numFmtId="3" fontId="3" fillId="23" borderId="7" xfId="0" applyNumberFormat="1" applyFont="1" applyFill="1" applyBorder="1" applyAlignment="1">
      <alignment horizontal="center" vertical="center" wrapText="1"/>
    </xf>
    <xf numFmtId="3" fontId="3" fillId="23" borderId="8" xfId="0" applyNumberFormat="1" applyFont="1" applyFill="1" applyBorder="1" applyAlignment="1">
      <alignment horizontal="center" vertical="center" wrapText="1"/>
    </xf>
    <xf numFmtId="3" fontId="3" fillId="23" borderId="9" xfId="0" applyNumberFormat="1" applyFont="1" applyFill="1" applyBorder="1" applyAlignment="1">
      <alignment horizontal="center" vertical="center" wrapText="1"/>
    </xf>
    <xf numFmtId="0" fontId="3" fillId="23" borderId="7" xfId="0" applyFont="1" applyFill="1" applyBorder="1" applyAlignment="1">
      <alignment horizontal="center" vertical="center" wrapText="1"/>
    </xf>
    <xf numFmtId="0" fontId="3" fillId="23" borderId="8" xfId="0" applyFont="1" applyFill="1" applyBorder="1" applyAlignment="1">
      <alignment horizontal="center" vertical="center" wrapText="1"/>
    </xf>
    <xf numFmtId="0" fontId="3" fillId="23" borderId="9" xfId="0" applyFont="1" applyFill="1" applyBorder="1" applyAlignment="1">
      <alignment horizontal="center" vertical="center" wrapText="1"/>
    </xf>
    <xf numFmtId="0" fontId="3" fillId="23" borderId="7" xfId="0" applyFont="1" applyFill="1" applyBorder="1" applyAlignment="1">
      <alignment horizontal="center" vertical="center"/>
    </xf>
    <xf numFmtId="0" fontId="3" fillId="23" borderId="8" xfId="0" applyFont="1" applyFill="1" applyBorder="1" applyAlignment="1">
      <alignment horizontal="center" vertical="center"/>
    </xf>
    <xf numFmtId="0" fontId="3" fillId="23" borderId="9" xfId="0" applyFont="1" applyFill="1" applyBorder="1" applyAlignment="1">
      <alignment horizontal="center" vertical="center"/>
    </xf>
    <xf numFmtId="0" fontId="3" fillId="23" borderId="2" xfId="0" applyFont="1" applyFill="1" applyBorder="1" applyAlignment="1">
      <alignment horizontal="center" vertical="center" wrapText="1"/>
    </xf>
    <xf numFmtId="0" fontId="3" fillId="23" borderId="13" xfId="0" applyFont="1" applyFill="1" applyBorder="1" applyAlignment="1">
      <alignment horizontal="center" vertical="center" textRotation="90" wrapText="1"/>
    </xf>
    <xf numFmtId="0" fontId="3" fillId="23" borderId="14" xfId="0" applyFont="1" applyFill="1" applyBorder="1" applyAlignment="1">
      <alignment horizontal="center" vertical="center" textRotation="90" wrapText="1"/>
    </xf>
    <xf numFmtId="0" fontId="3" fillId="23" borderId="6" xfId="0" applyFont="1" applyFill="1" applyBorder="1" applyAlignment="1">
      <alignment horizontal="center" vertical="center" textRotation="90" wrapText="1"/>
    </xf>
    <xf numFmtId="0" fontId="3" fillId="23" borderId="1" xfId="0" applyFont="1" applyFill="1" applyBorder="1" applyAlignment="1">
      <alignment horizontal="center" vertical="center" textRotation="90" wrapText="1"/>
    </xf>
    <xf numFmtId="168" fontId="13" fillId="23" borderId="7" xfId="5" applyFont="1" applyFill="1" applyBorder="1" applyAlignment="1">
      <alignment horizontal="center" vertical="center"/>
    </xf>
    <xf numFmtId="168" fontId="13" fillId="23" borderId="8" xfId="5" applyFont="1" applyFill="1" applyBorder="1" applyAlignment="1">
      <alignment horizontal="center" vertical="center"/>
    </xf>
    <xf numFmtId="168" fontId="13" fillId="23" borderId="9" xfId="5" applyFont="1" applyFill="1" applyBorder="1" applyAlignment="1">
      <alignment horizontal="center" vertical="center"/>
    </xf>
    <xf numFmtId="0" fontId="2" fillId="5" borderId="2" xfId="0" applyFont="1" applyFill="1" applyBorder="1" applyAlignment="1">
      <alignment vertical="center" wrapText="1"/>
    </xf>
    <xf numFmtId="170" fontId="2" fillId="5" borderId="24" xfId="0" applyNumberFormat="1" applyFont="1" applyFill="1" applyBorder="1" applyAlignment="1">
      <alignment horizontal="center" vertical="center" wrapText="1"/>
    </xf>
    <xf numFmtId="170" fontId="2" fillId="5" borderId="35" xfId="0" applyNumberFormat="1" applyFont="1" applyFill="1" applyBorder="1" applyAlignment="1">
      <alignment horizontal="center" vertical="center" wrapText="1"/>
    </xf>
    <xf numFmtId="1" fontId="2" fillId="5" borderId="7" xfId="0" applyNumberFormat="1" applyFont="1" applyFill="1" applyBorder="1" applyAlignment="1">
      <alignment horizontal="center" vertical="center" textRotation="90" wrapText="1"/>
    </xf>
    <xf numFmtId="1" fontId="2" fillId="5" borderId="9" xfId="0" applyNumberFormat="1" applyFont="1" applyFill="1" applyBorder="1" applyAlignment="1">
      <alignment horizontal="center" vertical="center" textRotation="90" wrapText="1"/>
    </xf>
    <xf numFmtId="0" fontId="2" fillId="10" borderId="49" xfId="0" applyFont="1" applyFill="1" applyBorder="1" applyAlignment="1">
      <alignment horizontal="left" vertical="center"/>
    </xf>
    <xf numFmtId="0" fontId="4" fillId="0" borderId="15" xfId="16" applyNumberFormat="1" applyFont="1" applyFill="1" applyBorder="1" applyAlignment="1">
      <alignment horizontal="center" vertical="center" wrapText="1"/>
    </xf>
    <xf numFmtId="0" fontId="4" fillId="0" borderId="17" xfId="16" applyNumberFormat="1" applyFont="1" applyFill="1" applyBorder="1" applyAlignment="1">
      <alignment horizontal="center" vertical="center" wrapText="1"/>
    </xf>
    <xf numFmtId="0" fontId="4" fillId="0" borderId="18" xfId="16" applyNumberFormat="1" applyFont="1" applyFill="1" applyBorder="1" applyAlignment="1">
      <alignment horizontal="center" vertical="center" wrapText="1"/>
    </xf>
    <xf numFmtId="1" fontId="9" fillId="0" borderId="2" xfId="7" applyNumberFormat="1" applyFont="1" applyFill="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175" fontId="4" fillId="0" borderId="18" xfId="20" applyNumberFormat="1" applyFont="1" applyFill="1" applyBorder="1" applyAlignment="1">
      <alignment horizontal="center" vertical="center" wrapText="1"/>
    </xf>
    <xf numFmtId="175" fontId="4" fillId="0" borderId="2" xfId="20"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 fontId="9" fillId="0" borderId="15" xfId="7" applyNumberFormat="1" applyFont="1" applyFill="1" applyBorder="1" applyAlignment="1">
      <alignment horizontal="center" vertical="center" wrapText="1"/>
    </xf>
    <xf numFmtId="9" fontId="4" fillId="0" borderId="6" xfId="4" applyFont="1" applyBorder="1" applyAlignment="1">
      <alignment horizontal="center" vertical="center" wrapText="1"/>
    </xf>
    <xf numFmtId="9" fontId="4" fillId="0" borderId="16" xfId="4" applyFont="1" applyBorder="1" applyAlignment="1">
      <alignment horizontal="center" vertical="center" wrapText="1"/>
    </xf>
    <xf numFmtId="0" fontId="4" fillId="0" borderId="26" xfId="16" applyNumberFormat="1" applyFont="1" applyFill="1" applyBorder="1" applyAlignment="1">
      <alignment horizontal="center" vertical="center" wrapText="1"/>
    </xf>
    <xf numFmtId="175" fontId="4" fillId="0" borderId="15" xfId="20" applyNumberFormat="1" applyFont="1" applyFill="1" applyBorder="1" applyAlignment="1">
      <alignment horizontal="center" vertical="center" wrapText="1"/>
    </xf>
    <xf numFmtId="0" fontId="9" fillId="0" borderId="61" xfId="7" applyFont="1" applyFill="1" applyBorder="1" applyAlignment="1">
      <alignment horizontal="justify" vertical="center" wrapText="1"/>
    </xf>
    <xf numFmtId="0" fontId="9" fillId="0" borderId="43" xfId="7" applyFont="1" applyFill="1" applyBorder="1" applyAlignment="1">
      <alignment horizontal="justify" vertical="center" wrapText="1"/>
    </xf>
    <xf numFmtId="1" fontId="9" fillId="0" borderId="37" xfId="7" applyNumberFormat="1" applyFont="1" applyFill="1" applyBorder="1" applyAlignment="1">
      <alignment horizontal="center" vertical="center" wrapText="1"/>
    </xf>
    <xf numFmtId="1" fontId="9" fillId="0" borderId="33" xfId="7"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1" fontId="4" fillId="0" borderId="15"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9" fillId="0" borderId="15" xfId="0" applyNumberFormat="1" applyFont="1" applyFill="1" applyBorder="1" applyAlignment="1">
      <alignment horizontal="center" vertical="center" wrapText="1"/>
    </xf>
    <xf numFmtId="175" fontId="4" fillId="0" borderId="15"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75" fontId="4" fillId="0" borderId="14" xfId="20" applyNumberFormat="1" applyFont="1" applyFill="1" applyBorder="1" applyAlignment="1">
      <alignment horizontal="center" vertical="center" wrapText="1"/>
    </xf>
    <xf numFmtId="175" fontId="4" fillId="0" borderId="1" xfId="2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1" fontId="9" fillId="0" borderId="34" xfId="0" applyNumberFormat="1" applyFont="1" applyFill="1" applyBorder="1" applyAlignment="1">
      <alignment horizontal="center" vertical="center" wrapText="1"/>
    </xf>
    <xf numFmtId="9" fontId="9" fillId="0" borderId="15" xfId="4" applyFont="1" applyBorder="1" applyAlignment="1">
      <alignment horizontal="center" vertical="center" wrapText="1"/>
    </xf>
    <xf numFmtId="9" fontId="9" fillId="0" borderId="17" xfId="4" applyFont="1" applyBorder="1" applyAlignment="1">
      <alignment horizontal="center" vertical="center" wrapText="1"/>
    </xf>
    <xf numFmtId="9" fontId="9" fillId="0" borderId="18" xfId="4" applyFont="1" applyBorder="1" applyAlignment="1">
      <alignment horizontal="center" vertical="center" wrapText="1"/>
    </xf>
    <xf numFmtId="0" fontId="9" fillId="0" borderId="32" xfId="0"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6" xfId="0" applyFont="1" applyFill="1" applyBorder="1" applyAlignment="1">
      <alignment horizontal="justify" vertical="center" wrapText="1"/>
    </xf>
    <xf numFmtId="14" fontId="9" fillId="0" borderId="15" xfId="0" applyNumberFormat="1" applyFont="1" applyBorder="1" applyAlignment="1">
      <alignment horizontal="center" vertical="center" wrapText="1"/>
    </xf>
    <xf numFmtId="14" fontId="9" fillId="0" borderId="17" xfId="0" applyNumberFormat="1" applyFont="1" applyBorder="1" applyAlignment="1">
      <alignment horizontal="center" vertical="center" wrapText="1"/>
    </xf>
    <xf numFmtId="175" fontId="9" fillId="0" borderId="15" xfId="0" applyNumberFormat="1" applyFont="1" applyBorder="1" applyAlignment="1">
      <alignment horizontal="center" vertical="center" wrapText="1"/>
    </xf>
    <xf numFmtId="0" fontId="4" fillId="0" borderId="55" xfId="16" applyNumberFormat="1" applyFont="1" applyFill="1" applyBorder="1" applyAlignment="1">
      <alignment horizontal="center" vertical="center" wrapText="1"/>
    </xf>
    <xf numFmtId="0" fontId="4" fillId="0" borderId="29" xfId="16"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7" xfId="16" applyNumberFormat="1"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9" fillId="0" borderId="55" xfId="0" applyFont="1" applyBorder="1" applyAlignment="1">
      <alignment horizontal="center" vertical="center" wrapText="1"/>
    </xf>
    <xf numFmtId="0" fontId="9" fillId="0" borderId="27" xfId="0" applyFont="1" applyBorder="1" applyAlignment="1">
      <alignment horizontal="center" vertical="center" wrapText="1"/>
    </xf>
    <xf numFmtId="14" fontId="9" fillId="0" borderId="55" xfId="0" applyNumberFormat="1" applyFont="1" applyBorder="1" applyAlignment="1">
      <alignment horizontal="center" vertical="center" wrapText="1"/>
    </xf>
    <xf numFmtId="14" fontId="9" fillId="0" borderId="27" xfId="0" applyNumberFormat="1" applyFont="1" applyBorder="1" applyAlignment="1">
      <alignment horizontal="center" vertical="center" wrapText="1"/>
    </xf>
    <xf numFmtId="1" fontId="9" fillId="0" borderId="55" xfId="0" applyNumberFormat="1" applyFont="1" applyBorder="1" applyAlignment="1">
      <alignment horizontal="center" vertical="center" wrapText="1"/>
    </xf>
    <xf numFmtId="1" fontId="9" fillId="0" borderId="2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0" fontId="4" fillId="0" borderId="48" xfId="16" applyNumberFormat="1" applyFont="1" applyFill="1" applyBorder="1" applyAlignment="1">
      <alignment horizontal="center" vertical="center" wrapText="1"/>
    </xf>
    <xf numFmtId="0" fontId="9" fillId="0" borderId="6" xfId="0" applyFont="1" applyBorder="1" applyAlignment="1">
      <alignment horizontal="center" vertical="center"/>
    </xf>
    <xf numFmtId="0" fontId="9" fillId="0" borderId="16" xfId="0" applyFont="1" applyBorder="1" applyAlignment="1">
      <alignment horizontal="center" vertical="center"/>
    </xf>
    <xf numFmtId="1" fontId="9" fillId="0" borderId="6" xfId="0" applyNumberFormat="1" applyFont="1" applyBorder="1" applyAlignment="1">
      <alignment horizontal="center" vertical="center"/>
    </xf>
    <xf numFmtId="1" fontId="9" fillId="0" borderId="16" xfId="0" applyNumberFormat="1" applyFont="1" applyBorder="1" applyAlignment="1">
      <alignment horizontal="center" vertical="center"/>
    </xf>
    <xf numFmtId="175" fontId="4" fillId="0" borderId="18" xfId="20" applyNumberFormat="1" applyFont="1" applyFill="1" applyBorder="1" applyAlignment="1">
      <alignment horizontal="center" vertical="center"/>
    </xf>
    <xf numFmtId="175" fontId="4" fillId="0" borderId="2" xfId="20" applyNumberFormat="1" applyFont="1" applyFill="1" applyBorder="1" applyAlignment="1">
      <alignment horizontal="center" vertical="center"/>
    </xf>
    <xf numFmtId="0" fontId="9" fillId="0" borderId="4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14" fontId="9" fillId="0" borderId="6" xfId="0" applyNumberFormat="1" applyFont="1" applyBorder="1" applyAlignment="1">
      <alignment horizontal="center" vertical="center"/>
    </xf>
    <xf numFmtId="14" fontId="9" fillId="0" borderId="16" xfId="0" applyNumberFormat="1" applyFont="1" applyBorder="1" applyAlignment="1">
      <alignment horizontal="center" vertical="center"/>
    </xf>
    <xf numFmtId="175" fontId="9" fillId="0" borderId="6" xfId="0" applyNumberFormat="1" applyFont="1" applyBorder="1" applyAlignment="1">
      <alignment horizontal="center" vertical="center"/>
    </xf>
    <xf numFmtId="9" fontId="9" fillId="0" borderId="6" xfId="4" applyFont="1" applyBorder="1" applyAlignment="1">
      <alignment horizontal="center" vertical="center"/>
    </xf>
    <xf numFmtId="9" fontId="9" fillId="0" borderId="16" xfId="4" applyFont="1" applyBorder="1" applyAlignment="1">
      <alignment horizontal="center" vertical="center"/>
    </xf>
    <xf numFmtId="0" fontId="9" fillId="0" borderId="22" xfId="0" applyFont="1" applyFill="1" applyBorder="1" applyAlignment="1">
      <alignment horizontal="justify" vertical="center" wrapText="1"/>
    </xf>
    <xf numFmtId="0" fontId="9" fillId="0" borderId="46" xfId="0" applyFont="1" applyFill="1" applyBorder="1" applyAlignment="1">
      <alignment horizontal="justify" vertical="center" wrapText="1"/>
    </xf>
    <xf numFmtId="0" fontId="9" fillId="0" borderId="56"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14" fontId="9" fillId="0" borderId="18" xfId="0" applyNumberFormat="1" applyFont="1" applyBorder="1" applyAlignment="1">
      <alignment horizontal="center" vertical="center" wrapText="1"/>
    </xf>
    <xf numFmtId="0" fontId="9" fillId="0" borderId="21" xfId="0" applyFont="1" applyFill="1" applyBorder="1" applyAlignment="1">
      <alignment horizontal="justify" vertical="center" wrapText="1"/>
    </xf>
    <xf numFmtId="0" fontId="9" fillId="0" borderId="56" xfId="7" applyFont="1" applyFill="1" applyBorder="1" applyAlignment="1">
      <alignment horizontal="justify" vertical="center" wrapText="1"/>
    </xf>
    <xf numFmtId="0" fontId="4" fillId="0" borderId="15" xfId="16" applyNumberFormat="1" applyFont="1" applyFill="1" applyBorder="1" applyAlignment="1">
      <alignment horizontal="center" vertical="center"/>
    </xf>
    <xf numFmtId="0" fontId="4" fillId="0" borderId="18" xfId="16"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16" applyNumberFormat="1" applyFont="1" applyFill="1" applyBorder="1" applyAlignment="1">
      <alignment horizontal="center" vertical="center"/>
    </xf>
    <xf numFmtId="1" fontId="9" fillId="0" borderId="36" xfId="7" applyNumberFormat="1" applyFont="1" applyFill="1" applyBorder="1" applyAlignment="1">
      <alignment horizontal="center" vertical="center" wrapText="1"/>
    </xf>
    <xf numFmtId="0" fontId="4" fillId="0" borderId="48" xfId="16" applyNumberFormat="1" applyFont="1" applyFill="1" applyBorder="1" applyAlignment="1">
      <alignment horizontal="center" vertical="center"/>
    </xf>
    <xf numFmtId="0" fontId="9" fillId="0" borderId="13" xfId="0"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6" xfId="0" applyNumberFormat="1" applyFont="1" applyBorder="1" applyAlignment="1">
      <alignment horizontal="center" vertical="center" wrapText="1"/>
    </xf>
    <xf numFmtId="9" fontId="4" fillId="0" borderId="2" xfId="4"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1" xfId="16" applyNumberFormat="1" applyFont="1" applyFill="1" applyBorder="1" applyAlignment="1">
      <alignment horizontal="center" vertical="center" wrapText="1"/>
    </xf>
    <xf numFmtId="0" fontId="9" fillId="0" borderId="43" xfId="16" applyNumberFormat="1" applyFont="1" applyFill="1" applyBorder="1" applyAlignment="1">
      <alignment horizontal="center" vertical="center" wrapText="1"/>
    </xf>
    <xf numFmtId="0" fontId="9" fillId="0" borderId="56" xfId="16" applyNumberFormat="1" applyFont="1" applyFill="1" applyBorder="1" applyAlignment="1">
      <alignment horizontal="center" vertical="center" wrapText="1"/>
    </xf>
    <xf numFmtId="1" fontId="9" fillId="0" borderId="34" xfId="7" applyNumberFormat="1" applyFont="1" applyFill="1" applyBorder="1" applyAlignment="1">
      <alignment horizontal="center" vertical="center" wrapText="1"/>
    </xf>
    <xf numFmtId="0" fontId="9" fillId="0" borderId="37" xfId="7" applyFont="1" applyFill="1" applyBorder="1" applyAlignment="1">
      <alignment horizontal="justify" vertical="center" wrapText="1"/>
    </xf>
    <xf numFmtId="0" fontId="9" fillId="0" borderId="33" xfId="7" applyFont="1" applyFill="1" applyBorder="1" applyAlignment="1">
      <alignment horizontal="justify" vertical="center" wrapText="1"/>
    </xf>
    <xf numFmtId="0" fontId="9" fillId="0" borderId="34" xfId="7" applyFont="1" applyFill="1" applyBorder="1" applyAlignment="1">
      <alignment horizontal="justify" vertical="center" wrapText="1"/>
    </xf>
    <xf numFmtId="0" fontId="9" fillId="0" borderId="61" xfId="7" applyFont="1" applyFill="1" applyBorder="1" applyAlignment="1">
      <alignment horizontal="center" vertical="center" wrapText="1"/>
    </xf>
    <xf numFmtId="0" fontId="9" fillId="0" borderId="43"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26" xfId="16" applyNumberFormat="1" applyFont="1" applyFill="1" applyBorder="1" applyAlignment="1">
      <alignment horizontal="center" vertical="center" wrapText="1"/>
    </xf>
    <xf numFmtId="14" fontId="9" fillId="0" borderId="13"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175" fontId="9" fillId="0" borderId="13" xfId="0" applyNumberFormat="1" applyFont="1" applyBorder="1" applyAlignment="1">
      <alignment horizontal="center" vertical="center" wrapText="1"/>
    </xf>
    <xf numFmtId="9" fontId="9" fillId="0" borderId="13" xfId="4" applyFont="1" applyBorder="1" applyAlignment="1">
      <alignment horizontal="center" vertical="center" wrapText="1"/>
    </xf>
    <xf numFmtId="9" fontId="9" fillId="0" borderId="6" xfId="4" applyFont="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0" fontId="9" fillId="0" borderId="15" xfId="16" applyNumberFormat="1" applyFont="1" applyFill="1" applyBorder="1" applyAlignment="1">
      <alignment horizontal="center" vertical="center"/>
    </xf>
    <xf numFmtId="0" fontId="9" fillId="0" borderId="17" xfId="16" applyNumberFormat="1" applyFont="1" applyFill="1" applyBorder="1" applyAlignment="1">
      <alignment horizontal="center" vertical="center"/>
    </xf>
    <xf numFmtId="0" fontId="9" fillId="0" borderId="18" xfId="16" applyNumberFormat="1" applyFont="1" applyFill="1" applyBorder="1" applyAlignment="1">
      <alignment horizontal="center" vertical="center"/>
    </xf>
    <xf numFmtId="0" fontId="9" fillId="0" borderId="35" xfId="7" applyFont="1" applyFill="1" applyBorder="1" applyAlignment="1">
      <alignment horizontal="center" vertical="center" wrapText="1"/>
    </xf>
    <xf numFmtId="0" fontId="9" fillId="0" borderId="22" xfId="7" applyFont="1" applyFill="1" applyBorder="1" applyAlignment="1">
      <alignment horizontal="justify" vertical="center" wrapText="1"/>
    </xf>
    <xf numFmtId="0" fontId="9" fillId="0" borderId="21" xfId="7" applyFont="1" applyFill="1" applyBorder="1" applyAlignment="1">
      <alignment horizontal="justify" vertical="center" wrapText="1"/>
    </xf>
    <xf numFmtId="0" fontId="9" fillId="0" borderId="65" xfId="7" applyFont="1" applyFill="1" applyBorder="1" applyAlignment="1">
      <alignment horizontal="justify" vertical="center" wrapText="1"/>
    </xf>
    <xf numFmtId="0" fontId="9" fillId="0" borderId="76" xfId="0" applyFont="1" applyFill="1" applyBorder="1" applyAlignment="1">
      <alignment horizontal="justify" vertical="center" wrapText="1"/>
    </xf>
    <xf numFmtId="1" fontId="9" fillId="0" borderId="75" xfId="0" applyNumberFormat="1" applyFont="1" applyFill="1" applyBorder="1" applyAlignment="1">
      <alignment horizontal="center" vertical="center" wrapText="1"/>
    </xf>
    <xf numFmtId="1" fontId="9" fillId="0" borderId="38" xfId="0" applyNumberFormat="1" applyFont="1" applyFill="1" applyBorder="1" applyAlignment="1">
      <alignment horizontal="center" vertical="center" wrapText="1"/>
    </xf>
    <xf numFmtId="0" fontId="9" fillId="0" borderId="75" xfId="0" applyFont="1" applyFill="1" applyBorder="1" applyAlignment="1">
      <alignment horizontal="justify" vertical="center" wrapText="1"/>
    </xf>
    <xf numFmtId="0" fontId="9" fillId="0" borderId="7" xfId="0" applyFont="1" applyFill="1" applyBorder="1" applyAlignment="1">
      <alignment horizontal="center" vertical="center" wrapText="1"/>
    </xf>
    <xf numFmtId="175" fontId="4" fillId="0" borderId="15" xfId="20" applyNumberFormat="1"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32" xfId="16" applyNumberFormat="1" applyFont="1" applyFill="1" applyBorder="1" applyAlignment="1">
      <alignment horizontal="center" vertical="center" wrapText="1"/>
    </xf>
    <xf numFmtId="0" fontId="4" fillId="0" borderId="77" xfId="0" applyFont="1" applyFill="1" applyBorder="1" applyAlignment="1">
      <alignment horizontal="justify" vertical="center" wrapText="1"/>
    </xf>
    <xf numFmtId="0" fontId="4" fillId="0" borderId="62" xfId="0" applyFont="1" applyFill="1" applyBorder="1" applyAlignment="1">
      <alignment horizontal="justify" vertical="center" wrapText="1"/>
    </xf>
    <xf numFmtId="0" fontId="9" fillId="0" borderId="38" xfId="7"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5" xfId="16" applyNumberFormat="1" applyFont="1" applyFill="1" applyBorder="1" applyAlignment="1">
      <alignment horizontal="center" vertical="center" wrapText="1"/>
    </xf>
    <xf numFmtId="0" fontId="9" fillId="24" borderId="17" xfId="0" applyFont="1" applyFill="1" applyBorder="1" applyAlignment="1">
      <alignment horizontal="center" vertical="center" wrapText="1"/>
    </xf>
    <xf numFmtId="1" fontId="9" fillId="24" borderId="17"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14" fontId="9" fillId="24" borderId="17" xfId="0" applyNumberFormat="1" applyFont="1" applyFill="1" applyBorder="1" applyAlignment="1">
      <alignment horizontal="center" vertical="center" wrapText="1"/>
    </xf>
    <xf numFmtId="9" fontId="9" fillId="24" borderId="17" xfId="4" applyFont="1" applyFill="1" applyBorder="1" applyAlignment="1">
      <alignment horizontal="center" vertical="center" wrapText="1"/>
    </xf>
    <xf numFmtId="175" fontId="4" fillId="0" borderId="17" xfId="20" applyNumberFormat="1" applyFont="1" applyFill="1" applyBorder="1" applyAlignment="1">
      <alignment horizontal="center" vertical="center"/>
    </xf>
    <xf numFmtId="3" fontId="4" fillId="0" borderId="38" xfId="0" applyNumberFormat="1" applyFont="1" applyBorder="1" applyAlignment="1">
      <alignment horizontal="center" vertical="center"/>
    </xf>
    <xf numFmtId="3" fontId="4" fillId="0" borderId="38" xfId="0" applyNumberFormat="1" applyFont="1" applyBorder="1" applyAlignment="1">
      <alignment horizontal="center" vertical="center" wrapText="1"/>
    </xf>
    <xf numFmtId="14" fontId="4" fillId="0" borderId="38" xfId="0" applyNumberFormat="1" applyFont="1" applyBorder="1" applyAlignment="1">
      <alignment horizontal="center" vertical="center"/>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xf numFmtId="1" fontId="4" fillId="0" borderId="38" xfId="0" applyNumberFormat="1" applyFont="1" applyBorder="1" applyAlignment="1">
      <alignment horizontal="center" vertical="center"/>
    </xf>
    <xf numFmtId="1" fontId="9" fillId="0" borderId="43" xfId="0" applyNumberFormat="1" applyFont="1" applyBorder="1" applyAlignment="1">
      <alignment horizontal="center" vertical="center" wrapText="1"/>
    </xf>
    <xf numFmtId="1" fontId="9" fillId="0" borderId="45"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175" fontId="9" fillId="0" borderId="43" xfId="0" applyNumberFormat="1" applyFont="1" applyBorder="1" applyAlignment="1">
      <alignment horizontal="center" vertical="center" wrapText="1"/>
    </xf>
    <xf numFmtId="9" fontId="9" fillId="0" borderId="43" xfId="4" applyFont="1" applyFill="1" applyBorder="1" applyAlignment="1">
      <alignment horizontal="center" vertical="center" wrapText="1"/>
    </xf>
    <xf numFmtId="9" fontId="9" fillId="0" borderId="45" xfId="4" applyFont="1" applyFill="1" applyBorder="1" applyAlignment="1">
      <alignment horizontal="center" vertical="center" wrapText="1"/>
    </xf>
    <xf numFmtId="0" fontId="4" fillId="0" borderId="2" xfId="0" applyFont="1" applyBorder="1" applyAlignment="1">
      <alignment horizontal="justify" vertical="center"/>
    </xf>
    <xf numFmtId="9" fontId="9" fillId="0" borderId="15" xfId="4" applyFont="1" applyFill="1" applyBorder="1" applyAlignment="1">
      <alignment horizontal="center" vertical="center" wrapText="1"/>
    </xf>
    <xf numFmtId="9" fontId="9" fillId="0" borderId="17" xfId="4" applyFont="1" applyFill="1" applyBorder="1" applyAlignment="1">
      <alignment horizontal="center" vertical="center" wrapText="1"/>
    </xf>
    <xf numFmtId="1" fontId="9" fillId="0" borderId="16" xfId="0" applyNumberFormat="1" applyFont="1" applyBorder="1" applyAlignment="1">
      <alignment horizontal="center" vertical="center" wrapText="1"/>
    </xf>
    <xf numFmtId="43" fontId="4" fillId="0" borderId="15" xfId="16" applyFont="1" applyFill="1" applyBorder="1" applyAlignment="1">
      <alignment horizontal="center" vertical="center" wrapText="1"/>
    </xf>
    <xf numFmtId="175" fontId="4" fillId="0" borderId="55" xfId="20" applyNumberFormat="1" applyFont="1" applyFill="1" applyBorder="1" applyAlignment="1">
      <alignment horizontal="center" vertical="center" wrapText="1"/>
    </xf>
    <xf numFmtId="175" fontId="4" fillId="0" borderId="29" xfId="20" applyNumberFormat="1" applyFont="1" applyFill="1" applyBorder="1" applyAlignment="1">
      <alignment horizontal="center" vertical="center" wrapText="1"/>
    </xf>
    <xf numFmtId="9" fontId="9" fillId="0" borderId="13" xfId="4" applyFont="1" applyFill="1" applyBorder="1" applyAlignment="1">
      <alignment horizontal="center" vertical="center" wrapText="1"/>
    </xf>
    <xf numFmtId="9" fontId="9" fillId="0" borderId="6" xfId="4" applyFont="1" applyFill="1" applyBorder="1" applyAlignment="1">
      <alignment horizontal="center" vertical="center" wrapText="1"/>
    </xf>
    <xf numFmtId="9" fontId="9" fillId="0" borderId="16" xfId="4" applyFont="1" applyFill="1" applyBorder="1" applyAlignment="1">
      <alignment horizontal="center" vertical="center" wrapText="1"/>
    </xf>
    <xf numFmtId="0" fontId="9" fillId="0" borderId="22" xfId="0" applyFont="1" applyFill="1" applyBorder="1" applyAlignment="1">
      <alignment horizontal="center" vertical="center" wrapText="1"/>
    </xf>
    <xf numFmtId="0" fontId="4" fillId="0" borderId="9" xfId="0" applyFont="1" applyFill="1" applyBorder="1" applyAlignment="1">
      <alignment horizontal="center" vertical="center"/>
    </xf>
    <xf numFmtId="175" fontId="9" fillId="0" borderId="17"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9" fillId="0" borderId="1" xfId="4" applyFont="1" applyBorder="1" applyAlignment="1">
      <alignment horizontal="center" vertical="center" wrapText="1"/>
    </xf>
    <xf numFmtId="0" fontId="9" fillId="0" borderId="9" xfId="0" applyFont="1" applyFill="1" applyBorder="1" applyAlignment="1">
      <alignment horizontal="center" vertical="center" wrapText="1"/>
    </xf>
    <xf numFmtId="175" fontId="4" fillId="0" borderId="15" xfId="20" applyNumberFormat="1" applyFont="1" applyFill="1" applyBorder="1" applyAlignment="1">
      <alignment horizontal="justify" vertical="center" wrapText="1"/>
    </xf>
    <xf numFmtId="175" fontId="4" fillId="0" borderId="17" xfId="20" applyNumberFormat="1" applyFont="1" applyFill="1" applyBorder="1" applyAlignment="1">
      <alignment horizontal="justify" vertical="center" wrapText="1"/>
    </xf>
    <xf numFmtId="175" fontId="4" fillId="0" borderId="18" xfId="20" applyNumberFormat="1" applyFont="1" applyFill="1" applyBorder="1" applyAlignment="1">
      <alignment horizontal="justify" vertical="center" wrapText="1"/>
    </xf>
    <xf numFmtId="0" fontId="9" fillId="0" borderId="5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6" xfId="0" applyFont="1" applyFill="1" applyBorder="1" applyAlignment="1">
      <alignment horizontal="center" vertical="center" wrapText="1"/>
    </xf>
    <xf numFmtId="43" fontId="9" fillId="0" borderId="15" xfId="0" applyNumberFormat="1" applyFont="1" applyBorder="1" applyAlignment="1">
      <alignment horizontal="center" vertical="center" wrapText="1"/>
    </xf>
    <xf numFmtId="0" fontId="2" fillId="5" borderId="0" xfId="0" applyFont="1" applyFill="1" applyBorder="1" applyAlignment="1">
      <alignment horizontal="center" vertical="center" wrapText="1"/>
    </xf>
    <xf numFmtId="9" fontId="2" fillId="5" borderId="18" xfId="4" applyFont="1" applyFill="1" applyBorder="1" applyAlignment="1">
      <alignment horizontal="center" vertical="center" wrapText="1"/>
    </xf>
    <xf numFmtId="9" fontId="2" fillId="5" borderId="2" xfId="4" applyFont="1" applyFill="1" applyBorder="1" applyAlignment="1">
      <alignment horizontal="center" vertical="center" wrapText="1"/>
    </xf>
    <xf numFmtId="170" fontId="2" fillId="5" borderId="18" xfId="0" applyNumberFormat="1" applyFont="1" applyFill="1" applyBorder="1" applyAlignment="1">
      <alignment horizontal="center" vertical="center" wrapText="1"/>
    </xf>
    <xf numFmtId="170" fontId="2" fillId="5" borderId="16" xfId="0" applyNumberFormat="1" applyFont="1" applyFill="1" applyBorder="1" applyAlignment="1">
      <alignment horizontal="center" vertical="center" wrapText="1"/>
    </xf>
    <xf numFmtId="170" fontId="2" fillId="5" borderId="3" xfId="0" applyNumberFormat="1" applyFont="1" applyFill="1" applyBorder="1" applyAlignment="1">
      <alignment horizontal="center" vertical="center" wrapText="1"/>
    </xf>
    <xf numFmtId="170" fontId="2" fillId="5" borderId="4" xfId="0" applyNumberFormat="1" applyFont="1" applyFill="1" applyBorder="1" applyAlignment="1">
      <alignment horizontal="center" vertical="center" wrapText="1"/>
    </xf>
    <xf numFmtId="0" fontId="2" fillId="6" borderId="6" xfId="0" applyFont="1" applyFill="1" applyBorder="1" applyAlignment="1">
      <alignment horizontal="left" vertical="center"/>
    </xf>
    <xf numFmtId="0" fontId="2" fillId="10" borderId="30" xfId="0" applyFont="1" applyFill="1" applyBorder="1" applyAlignment="1">
      <alignment horizontal="left" vertical="center"/>
    </xf>
    <xf numFmtId="0" fontId="2" fillId="10" borderId="0" xfId="0" applyFont="1" applyFill="1" applyBorder="1" applyAlignment="1">
      <alignment horizontal="left" vertical="center"/>
    </xf>
    <xf numFmtId="0" fontId="2" fillId="10" borderId="20" xfId="0" applyFont="1" applyFill="1" applyBorder="1" applyAlignment="1">
      <alignment horizontal="left" vertical="center"/>
    </xf>
    <xf numFmtId="0" fontId="4" fillId="0"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170" fontId="4" fillId="0" borderId="15" xfId="0" applyNumberFormat="1" applyFont="1" applyFill="1" applyBorder="1" applyAlignment="1">
      <alignment horizontal="center" vertical="center" wrapText="1"/>
    </xf>
    <xf numFmtId="170" fontId="4" fillId="0" borderId="17" xfId="0" applyNumberFormat="1" applyFont="1" applyFill="1" applyBorder="1" applyAlignment="1">
      <alignment horizontal="center" vertical="center" wrapText="1"/>
    </xf>
    <xf numFmtId="41" fontId="4" fillId="0" borderId="15" xfId="0" applyNumberFormat="1" applyFont="1" applyFill="1" applyBorder="1" applyAlignment="1">
      <alignment horizontal="center" vertical="center"/>
    </xf>
    <xf numFmtId="170" fontId="4" fillId="0" borderId="15" xfId="0" applyNumberFormat="1" applyFont="1" applyFill="1" applyBorder="1" applyAlignment="1">
      <alignment horizontal="justify" vertical="center" wrapText="1"/>
    </xf>
    <xf numFmtId="170" fontId="4" fillId="0" borderId="17" xfId="0" applyNumberFormat="1" applyFont="1" applyFill="1" applyBorder="1" applyAlignment="1">
      <alignment horizontal="justify" vertical="center" wrapText="1"/>
    </xf>
    <xf numFmtId="1" fontId="4" fillId="0" borderId="1" xfId="0" applyNumberFormat="1" applyFont="1" applyFill="1" applyBorder="1" applyAlignment="1">
      <alignment horizontal="center" vertical="center" wrapText="1"/>
    </xf>
    <xf numFmtId="170" fontId="4" fillId="0" borderId="18" xfId="0" applyNumberFormat="1" applyFont="1" applyFill="1" applyBorder="1" applyAlignment="1">
      <alignment horizontal="center" vertical="center" wrapText="1"/>
    </xf>
    <xf numFmtId="41" fontId="4" fillId="0" borderId="15" xfId="0" applyNumberFormat="1" applyFont="1" applyFill="1" applyBorder="1" applyAlignment="1">
      <alignment horizontal="center" vertical="center" wrapText="1"/>
    </xf>
    <xf numFmtId="10" fontId="4" fillId="0" borderId="18" xfId="4"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10" borderId="28" xfId="0" applyFont="1" applyFill="1" applyBorder="1" applyAlignment="1">
      <alignment horizontal="left" vertical="center"/>
    </xf>
    <xf numFmtId="0" fontId="2" fillId="10" borderId="5" xfId="0" applyFont="1" applyFill="1" applyBorder="1" applyAlignment="1">
      <alignment horizontal="left" vertical="center"/>
    </xf>
    <xf numFmtId="0" fontId="2" fillId="10" borderId="8" xfId="0" applyFont="1" applyFill="1" applyBorder="1" applyAlignment="1">
      <alignment horizontal="left" vertical="center"/>
    </xf>
    <xf numFmtId="1" fontId="4" fillId="0" borderId="35" xfId="0" applyNumberFormat="1" applyFont="1" applyBorder="1" applyAlignment="1">
      <alignment horizontal="center" vertical="center" wrapText="1"/>
    </xf>
    <xf numFmtId="1" fontId="4" fillId="0" borderId="38" xfId="0" applyNumberFormat="1" applyFont="1" applyBorder="1" applyAlignment="1">
      <alignment horizontal="center"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4" xfId="0" applyFont="1" applyBorder="1" applyAlignment="1">
      <alignment horizontal="justify" vertical="center" wrapText="1"/>
    </xf>
    <xf numFmtId="170" fontId="4" fillId="0" borderId="2" xfId="0" applyNumberFormat="1" applyFont="1" applyBorder="1" applyAlignment="1">
      <alignment horizontal="center" vertical="center" wrapText="1"/>
    </xf>
    <xf numFmtId="170" fontId="4" fillId="0" borderId="9" xfId="0" applyNumberFormat="1" applyFont="1" applyBorder="1" applyAlignment="1">
      <alignment horizontal="center" vertical="center" wrapText="1"/>
    </xf>
    <xf numFmtId="170" fontId="4" fillId="0" borderId="15"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justify" vertical="center" wrapText="1"/>
    </xf>
    <xf numFmtId="41" fontId="4" fillId="0" borderId="2" xfId="0" applyNumberFormat="1" applyFont="1" applyBorder="1" applyAlignment="1">
      <alignment horizontal="center" vertical="center" wrapText="1"/>
    </xf>
    <xf numFmtId="10" fontId="4" fillId="0" borderId="2" xfId="4" applyNumberFormat="1" applyFont="1" applyBorder="1" applyAlignment="1">
      <alignment horizontal="center" vertical="center" wrapText="1"/>
    </xf>
    <xf numFmtId="10" fontId="4" fillId="0" borderId="9" xfId="4" applyNumberFormat="1" applyFont="1" applyBorder="1" applyAlignment="1">
      <alignment horizontal="center" vertical="center" wrapText="1"/>
    </xf>
    <xf numFmtId="10" fontId="4" fillId="0" borderId="15" xfId="4" applyNumberFormat="1" applyFont="1" applyBorder="1" applyAlignment="1">
      <alignment horizontal="center" vertical="center" wrapText="1"/>
    </xf>
    <xf numFmtId="0" fontId="2" fillId="10" borderId="71" xfId="0" applyFont="1" applyFill="1" applyBorder="1" applyAlignment="1">
      <alignment horizontal="left" vertical="center"/>
    </xf>
    <xf numFmtId="0" fontId="2" fillId="10" borderId="72" xfId="0" applyFont="1" applyFill="1" applyBorder="1" applyAlignment="1">
      <alignment horizontal="left"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6" xfId="0" applyFont="1" applyBorder="1" applyAlignment="1">
      <alignment horizontal="center" vertical="center" wrapText="1"/>
    </xf>
    <xf numFmtId="183" fontId="9" fillId="0" borderId="32" xfId="4" applyNumberFormat="1" applyFont="1" applyBorder="1" applyAlignment="1">
      <alignment horizontal="center" vertical="center" wrapText="1"/>
    </xf>
    <xf numFmtId="183" fontId="9" fillId="0" borderId="36" xfId="4" applyNumberFormat="1" applyFont="1" applyBorder="1" applyAlignment="1">
      <alignment horizontal="center" vertical="center" wrapText="1"/>
    </xf>
    <xf numFmtId="41" fontId="4" fillId="0" borderId="15" xfId="0" applyNumberFormat="1" applyFont="1" applyBorder="1" applyAlignment="1">
      <alignment horizontal="center" vertical="center" wrapText="1"/>
    </xf>
    <xf numFmtId="10" fontId="4" fillId="0" borderId="17" xfId="4" applyNumberFormat="1" applyFont="1" applyBorder="1" applyAlignment="1">
      <alignment horizontal="center" vertical="center" wrapText="1"/>
    </xf>
    <xf numFmtId="170" fontId="4" fillId="2" borderId="15" xfId="0" applyNumberFormat="1" applyFont="1" applyFill="1" applyBorder="1" applyAlignment="1">
      <alignment horizontal="center" vertical="center"/>
    </xf>
    <xf numFmtId="170" fontId="4" fillId="2" borderId="17" xfId="0" applyNumberFormat="1" applyFont="1" applyFill="1" applyBorder="1" applyAlignment="1">
      <alignment horizontal="center" vertical="center"/>
    </xf>
    <xf numFmtId="170" fontId="4" fillId="2" borderId="18" xfId="0" applyNumberFormat="1" applyFont="1" applyFill="1" applyBorder="1" applyAlignment="1">
      <alignment horizontal="center" vertical="center"/>
    </xf>
    <xf numFmtId="169" fontId="4" fillId="0" borderId="15"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47" xfId="0" applyFont="1" applyBorder="1" applyAlignment="1">
      <alignment horizontal="center" vertical="center"/>
    </xf>
    <xf numFmtId="169" fontId="4" fillId="0" borderId="15" xfId="0" applyNumberFormat="1" applyFont="1" applyBorder="1" applyAlignment="1">
      <alignment horizontal="center" vertical="center"/>
    </xf>
    <xf numFmtId="169" fontId="4" fillId="0" borderId="17" xfId="0" applyNumberFormat="1" applyFont="1" applyBorder="1" applyAlignment="1">
      <alignment horizontal="center" vertical="center"/>
    </xf>
    <xf numFmtId="169" fontId="4" fillId="0" borderId="18" xfId="0" applyNumberFormat="1" applyFont="1" applyBorder="1" applyAlignment="1">
      <alignment horizontal="center" vertical="center"/>
    </xf>
    <xf numFmtId="10" fontId="4" fillId="0" borderId="18" xfId="4" applyNumberFormat="1"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8" xfId="0" applyFont="1" applyBorder="1" applyAlignment="1">
      <alignment horizontal="center" vertical="center" wrapText="1"/>
    </xf>
    <xf numFmtId="10" fontId="10" fillId="0" borderId="26" xfId="0" applyNumberFormat="1" applyFont="1" applyBorder="1" applyAlignment="1">
      <alignment horizontal="center" vertical="center" wrapText="1"/>
    </xf>
    <xf numFmtId="10" fontId="10" fillId="0" borderId="17" xfId="0" applyNumberFormat="1" applyFont="1" applyBorder="1" applyAlignment="1">
      <alignment horizontal="center" vertical="center" wrapText="1"/>
    </xf>
    <xf numFmtId="10" fontId="10" fillId="0" borderId="18" xfId="0" applyNumberFormat="1" applyFont="1" applyBorder="1" applyAlignment="1">
      <alignment horizontal="center" vertical="center" wrapText="1"/>
    </xf>
    <xf numFmtId="0" fontId="10" fillId="0" borderId="26"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3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1"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56" xfId="0" applyFont="1" applyBorder="1" applyAlignment="1">
      <alignment horizontal="justify" vertical="center" wrapText="1"/>
    </xf>
    <xf numFmtId="10" fontId="10" fillId="0" borderId="48"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48" xfId="0" applyNumberFormat="1" applyFont="1" applyBorder="1" applyAlignment="1">
      <alignment horizontal="center" vertical="center" wrapText="1"/>
    </xf>
    <xf numFmtId="14" fontId="10" fillId="0" borderId="2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14" fontId="10" fillId="0" borderId="48" xfId="0" applyNumberFormat="1" applyFont="1" applyBorder="1" applyAlignment="1">
      <alignment horizontal="center" vertical="center" wrapText="1"/>
    </xf>
    <xf numFmtId="185" fontId="10" fillId="0" borderId="26" xfId="0" applyNumberFormat="1" applyFont="1" applyBorder="1" applyAlignment="1">
      <alignment horizontal="center" vertical="center" wrapText="1"/>
    </xf>
    <xf numFmtId="185" fontId="10" fillId="0" borderId="17" xfId="0" applyNumberFormat="1" applyFont="1" applyBorder="1" applyAlignment="1">
      <alignment horizontal="center" vertical="center" wrapText="1"/>
    </xf>
    <xf numFmtId="185" fontId="10" fillId="0" borderId="48" xfId="0" applyNumberFormat="1" applyFont="1" applyBorder="1" applyAlignment="1">
      <alignment horizontal="center" vertical="center" wrapText="1"/>
    </xf>
    <xf numFmtId="9" fontId="10" fillId="0" borderId="26" xfId="4" applyFont="1" applyBorder="1" applyAlignment="1">
      <alignment horizontal="center" vertical="center" wrapText="1"/>
    </xf>
    <xf numFmtId="9" fontId="10" fillId="0" borderId="17" xfId="4" applyFont="1" applyBorder="1" applyAlignment="1">
      <alignment horizontal="center" vertical="center" wrapText="1"/>
    </xf>
    <xf numFmtId="9" fontId="10" fillId="0" borderId="48" xfId="4" applyFont="1" applyBorder="1" applyAlignment="1">
      <alignment horizontal="center" vertical="center" wrapText="1"/>
    </xf>
    <xf numFmtId="0" fontId="3" fillId="9" borderId="40" xfId="0" applyFont="1" applyFill="1" applyBorder="1" applyAlignment="1">
      <alignment horizontal="left" vertical="center"/>
    </xf>
    <xf numFmtId="0" fontId="3" fillId="9" borderId="24" xfId="0" applyFont="1" applyFill="1" applyBorder="1" applyAlignment="1">
      <alignment horizontal="left" vertical="center"/>
    </xf>
    <xf numFmtId="167" fontId="10" fillId="0" borderId="26" xfId="19" applyFont="1" applyBorder="1" applyAlignment="1">
      <alignment horizontal="center" vertical="center" wrapText="1"/>
    </xf>
    <xf numFmtId="167" fontId="10" fillId="0" borderId="17" xfId="19" applyFont="1" applyBorder="1" applyAlignment="1">
      <alignment horizontal="center" vertical="center" wrapText="1"/>
    </xf>
    <xf numFmtId="167" fontId="10" fillId="0" borderId="48" xfId="19" applyFont="1" applyBorder="1" applyAlignment="1">
      <alignment horizontal="center" vertical="center" wrapText="1"/>
    </xf>
    <xf numFmtId="0" fontId="10" fillId="0" borderId="2" xfId="0" applyFont="1" applyBorder="1" applyAlignment="1">
      <alignment horizontal="center" vertical="center" wrapText="1"/>
    </xf>
    <xf numFmtId="43" fontId="10" fillId="0" borderId="26" xfId="0" applyNumberFormat="1" applyFont="1" applyBorder="1" applyAlignment="1">
      <alignment horizontal="center" vertical="center" wrapText="1"/>
    </xf>
    <xf numFmtId="43" fontId="10" fillId="0" borderId="17" xfId="0" applyNumberFormat="1" applyFont="1" applyBorder="1" applyAlignment="1">
      <alignment horizontal="center" vertical="center" wrapText="1"/>
    </xf>
    <xf numFmtId="9" fontId="10" fillId="0" borderId="66" xfId="4" applyFont="1" applyBorder="1" applyAlignment="1">
      <alignment horizontal="center" vertical="center" wrapText="1"/>
    </xf>
    <xf numFmtId="9" fontId="10" fillId="0" borderId="6" xfId="4" applyFont="1" applyBorder="1" applyAlignment="1">
      <alignment horizontal="center" vertical="center" wrapText="1"/>
    </xf>
    <xf numFmtId="9" fontId="10" fillId="0" borderId="57" xfId="4"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0" fontId="9" fillId="0" borderId="26" xfId="0" applyFont="1" applyFill="1" applyBorder="1" applyAlignment="1">
      <alignment horizontal="center" vertical="center" wrapText="1"/>
    </xf>
    <xf numFmtId="9" fontId="10" fillId="0" borderId="26" xfId="0" applyNumberFormat="1" applyFont="1" applyBorder="1" applyAlignment="1">
      <alignment horizontal="center" vertical="center" wrapText="1"/>
    </xf>
    <xf numFmtId="9" fontId="10" fillId="0" borderId="17" xfId="0" applyNumberFormat="1" applyFont="1" applyBorder="1" applyAlignment="1">
      <alignment horizontal="center" vertical="center" wrapText="1"/>
    </xf>
    <xf numFmtId="9" fontId="10" fillId="0" borderId="48" xfId="0" applyNumberFormat="1" applyFont="1" applyBorder="1" applyAlignment="1">
      <alignment horizontal="center" vertical="center" wrapText="1"/>
    </xf>
    <xf numFmtId="0" fontId="3" fillId="6" borderId="24" xfId="0" applyFont="1" applyFill="1" applyBorder="1" applyAlignment="1">
      <alignment horizontal="left" vertical="center"/>
    </xf>
    <xf numFmtId="0" fontId="10" fillId="0" borderId="6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26" xfId="0" applyFont="1" applyFill="1" applyBorder="1" applyAlignment="1">
      <alignment horizontal="justify" vertical="center" wrapText="1"/>
    </xf>
    <xf numFmtId="0" fontId="10" fillId="2" borderId="26" xfId="0" applyFont="1" applyFill="1" applyBorder="1" applyAlignment="1">
      <alignment horizontal="center" vertical="center" wrapText="1"/>
    </xf>
    <xf numFmtId="0" fontId="3" fillId="9" borderId="23" xfId="0" applyFont="1" applyFill="1" applyBorder="1" applyAlignment="1">
      <alignment horizontal="left" vertical="center"/>
    </xf>
    <xf numFmtId="0" fontId="9" fillId="0" borderId="26" xfId="13" applyNumberFormat="1" applyFont="1" applyFill="1" applyBorder="1" applyAlignment="1">
      <alignment horizontal="justify" vertical="center" wrapText="1"/>
    </xf>
    <xf numFmtId="0" fontId="9" fillId="0" borderId="48" xfId="13" applyNumberFormat="1" applyFont="1" applyFill="1" applyBorder="1" applyAlignment="1">
      <alignment horizontal="justify" vertical="center" wrapText="1"/>
    </xf>
    <xf numFmtId="0" fontId="20" fillId="6" borderId="7" xfId="0" applyFont="1" applyFill="1" applyBorder="1" applyAlignment="1">
      <alignment horizontal="left" vertical="center"/>
    </xf>
    <xf numFmtId="0" fontId="20" fillId="6" borderId="8" xfId="0" applyFont="1" applyFill="1" applyBorder="1" applyAlignment="1">
      <alignment horizontal="left" vertical="center"/>
    </xf>
    <xf numFmtId="3" fontId="2" fillId="5" borderId="7" xfId="0" applyNumberFormat="1" applyFont="1" applyFill="1" applyBorder="1" applyAlignment="1">
      <alignment horizontal="center" vertical="center" textRotation="90" wrapText="1"/>
    </xf>
    <xf numFmtId="3" fontId="2" fillId="5" borderId="9" xfId="0" applyNumberFormat="1" applyFont="1" applyFill="1" applyBorder="1" applyAlignment="1">
      <alignment horizontal="center" vertical="center" textRotation="90" wrapText="1"/>
    </xf>
    <xf numFmtId="3" fontId="2" fillId="5" borderId="16" xfId="0" applyNumberFormat="1" applyFont="1" applyFill="1" applyBorder="1" applyAlignment="1">
      <alignment horizontal="center" vertical="center" textRotation="90" wrapText="1"/>
    </xf>
    <xf numFmtId="3" fontId="2" fillId="5" borderId="4" xfId="0" applyNumberFormat="1" applyFont="1" applyFill="1" applyBorder="1" applyAlignment="1">
      <alignment horizontal="center" vertical="center" textRotation="90" wrapText="1"/>
    </xf>
    <xf numFmtId="170" fontId="2" fillId="5" borderId="7" xfId="0" applyNumberFormat="1" applyFont="1" applyFill="1" applyBorder="1" applyAlignment="1">
      <alignment horizontal="center" vertical="center" wrapText="1"/>
    </xf>
    <xf numFmtId="170" fontId="2" fillId="5" borderId="8" xfId="0" applyNumberFormat="1" applyFont="1" applyFill="1" applyBorder="1" applyAlignment="1">
      <alignment horizontal="center" vertical="center" wrapText="1"/>
    </xf>
    <xf numFmtId="170" fontId="2" fillId="5" borderId="9" xfId="0" applyNumberFormat="1"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6" xfId="0" applyFont="1" applyFill="1" applyBorder="1" applyAlignment="1">
      <alignment horizontal="center" vertical="center" wrapText="1"/>
    </xf>
    <xf numFmtId="3" fontId="3" fillId="3" borderId="7"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3" fontId="3" fillId="3" borderId="13" xfId="0" applyNumberFormat="1" applyFont="1" applyFill="1" applyBorder="1" applyAlignment="1">
      <alignment horizontal="center" vertical="center" textRotation="90" wrapText="1"/>
    </xf>
    <xf numFmtId="3" fontId="3" fillId="3" borderId="14" xfId="0" applyNumberFormat="1" applyFont="1" applyFill="1" applyBorder="1" applyAlignment="1">
      <alignment horizontal="center" vertical="center" textRotation="90" wrapText="1"/>
    </xf>
    <xf numFmtId="3" fontId="3" fillId="3" borderId="16" xfId="0" applyNumberFormat="1" applyFont="1" applyFill="1" applyBorder="1" applyAlignment="1">
      <alignment horizontal="center" vertical="center" textRotation="90" wrapText="1"/>
    </xf>
    <xf numFmtId="3" fontId="3" fillId="3" borderId="4" xfId="0" applyNumberFormat="1" applyFont="1" applyFill="1" applyBorder="1" applyAlignment="1">
      <alignment horizontal="center" vertical="center" textRotation="90" wrapText="1"/>
    </xf>
    <xf numFmtId="14" fontId="10" fillId="11" borderId="17" xfId="0" applyNumberFormat="1" applyFont="1" applyFill="1" applyBorder="1" applyAlignment="1">
      <alignment horizontal="center" vertical="center" wrapText="1"/>
    </xf>
    <xf numFmtId="0" fontId="10" fillId="11" borderId="48" xfId="0" applyFont="1" applyFill="1" applyBorder="1" applyAlignment="1">
      <alignment horizontal="center" vertical="center" wrapText="1"/>
    </xf>
    <xf numFmtId="9" fontId="10" fillId="11" borderId="26" xfId="4" applyFont="1" applyFill="1" applyBorder="1" applyAlignment="1">
      <alignment horizontal="center" vertical="center" wrapText="1"/>
    </xf>
    <xf numFmtId="9" fontId="10" fillId="11" borderId="18" xfId="4" applyFont="1" applyFill="1" applyBorder="1" applyAlignment="1">
      <alignment horizontal="center" vertical="center" wrapText="1"/>
    </xf>
    <xf numFmtId="0" fontId="10" fillId="11" borderId="18" xfId="0" applyFont="1" applyFill="1" applyBorder="1" applyAlignment="1">
      <alignment horizontal="center" vertical="center" wrapText="1"/>
    </xf>
    <xf numFmtId="1" fontId="10" fillId="11" borderId="17" xfId="0" applyNumberFormat="1" applyFont="1" applyFill="1" applyBorder="1" applyAlignment="1">
      <alignment horizontal="center" vertical="center" wrapText="1"/>
    </xf>
    <xf numFmtId="1" fontId="10" fillId="11" borderId="18" xfId="0" applyNumberFormat="1" applyFont="1" applyFill="1" applyBorder="1" applyAlignment="1">
      <alignment horizontal="center" vertical="center" wrapText="1"/>
    </xf>
    <xf numFmtId="4" fontId="10" fillId="11" borderId="26" xfId="0" applyNumberFormat="1" applyFont="1" applyFill="1" applyBorder="1" applyAlignment="1">
      <alignment horizontal="center" vertical="center" wrapText="1"/>
    </xf>
    <xf numFmtId="0" fontId="19" fillId="6" borderId="30" xfId="0" applyFont="1" applyFill="1" applyBorder="1" applyAlignment="1">
      <alignment horizontal="center" vertical="center"/>
    </xf>
    <xf numFmtId="0" fontId="19" fillId="6" borderId="20" xfId="0" applyFont="1" applyFill="1" applyBorder="1" applyAlignment="1">
      <alignment horizontal="center" vertical="center"/>
    </xf>
    <xf numFmtId="0" fontId="19" fillId="11" borderId="6"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7"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4" fontId="9" fillId="0" borderId="41" xfId="0" applyNumberFormat="1" applyFont="1" applyBorder="1" applyAlignment="1">
      <alignment horizontal="center" vertical="center" wrapText="1"/>
    </xf>
    <xf numFmtId="4" fontId="9" fillId="0" borderId="27" xfId="0" applyNumberFormat="1" applyFont="1" applyBorder="1" applyAlignment="1">
      <alignment horizontal="center" vertical="center" wrapText="1"/>
    </xf>
    <xf numFmtId="4" fontId="9" fillId="0" borderId="44" xfId="0" applyNumberFormat="1" applyFont="1" applyBorder="1" applyAlignment="1">
      <alignment horizontal="center" vertical="center" wrapText="1"/>
    </xf>
    <xf numFmtId="0" fontId="10" fillId="11" borderId="43" xfId="0" applyFont="1" applyFill="1" applyBorder="1" applyAlignment="1">
      <alignment horizontal="justify" vertical="center" wrapText="1"/>
    </xf>
    <xf numFmtId="0" fontId="10" fillId="11" borderId="56" xfId="0" applyFont="1" applyFill="1" applyBorder="1" applyAlignment="1">
      <alignment horizontal="justify" vertical="center" wrapText="1"/>
    </xf>
    <xf numFmtId="0" fontId="3" fillId="3" borderId="13" xfId="0" applyNumberFormat="1" applyFont="1" applyFill="1" applyBorder="1" applyAlignment="1">
      <alignment horizontal="center" vertical="center" textRotation="90" wrapText="1"/>
    </xf>
    <xf numFmtId="0" fontId="3" fillId="3" borderId="14" xfId="0" applyNumberFormat="1" applyFont="1" applyFill="1" applyBorder="1" applyAlignment="1">
      <alignment horizontal="center" vertical="center" textRotation="90" wrapText="1"/>
    </xf>
    <xf numFmtId="0" fontId="3" fillId="3" borderId="16" xfId="0" applyNumberFormat="1" applyFont="1" applyFill="1" applyBorder="1" applyAlignment="1">
      <alignment horizontal="center" vertical="center" textRotation="90" wrapText="1"/>
    </xf>
    <xf numFmtId="0" fontId="3" fillId="3" borderId="4" xfId="0" applyNumberFormat="1" applyFont="1" applyFill="1" applyBorder="1" applyAlignment="1">
      <alignment horizontal="center" vertical="center" textRotation="90" wrapText="1"/>
    </xf>
    <xf numFmtId="0" fontId="2" fillId="15" borderId="7"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33" fillId="0" borderId="81" xfId="0" applyFont="1" applyFill="1" applyBorder="1" applyAlignment="1">
      <alignment horizontal="center" vertical="center"/>
    </xf>
    <xf numFmtId="0" fontId="11" fillId="0" borderId="39" xfId="0" applyFont="1" applyFill="1" applyBorder="1" applyAlignment="1">
      <alignment vertical="center"/>
    </xf>
    <xf numFmtId="14" fontId="11" fillId="0" borderId="39" xfId="0" applyNumberFormat="1" applyFont="1" applyFill="1" applyBorder="1" applyAlignment="1">
      <alignment horizontal="left" vertical="center" wrapText="1"/>
    </xf>
    <xf numFmtId="3" fontId="34" fillId="0" borderId="39" xfId="0" applyNumberFormat="1" applyFont="1" applyFill="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5" borderId="0"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171" fontId="2" fillId="5" borderId="0" xfId="0" applyNumberFormat="1" applyFont="1" applyFill="1" applyBorder="1" applyAlignment="1">
      <alignment horizontal="center" vertical="center" wrapText="1"/>
    </xf>
    <xf numFmtId="170" fontId="2" fillId="5" borderId="0" xfId="0" applyNumberFormat="1" applyFont="1" applyFill="1" applyBorder="1" applyAlignment="1">
      <alignment horizontal="center" vertical="center" wrapText="1"/>
    </xf>
    <xf numFmtId="0" fontId="2" fillId="5" borderId="0" xfId="0" applyFont="1" applyFill="1" applyBorder="1" applyAlignment="1">
      <alignment horizontal="center" vertical="center" textRotation="90" wrapText="1"/>
    </xf>
    <xf numFmtId="49" fontId="2" fillId="5" borderId="0" xfId="0" applyNumberFormat="1" applyFont="1" applyFill="1" applyBorder="1" applyAlignment="1">
      <alignment horizontal="center" vertical="center" textRotation="90" wrapText="1"/>
    </xf>
    <xf numFmtId="3" fontId="2" fillId="5" borderId="0" xfId="0" applyNumberFormat="1"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3" fillId="6" borderId="5" xfId="0" applyFont="1" applyFill="1" applyBorder="1" applyAlignment="1">
      <alignment horizontal="left" vertical="center" wrapText="1"/>
    </xf>
    <xf numFmtId="0" fontId="20" fillId="6"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35"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3" fillId="9" borderId="30" xfId="0" applyFont="1" applyFill="1" applyBorder="1" applyAlignment="1">
      <alignment horizontal="left" vertical="center"/>
    </xf>
    <xf numFmtId="0" fontId="3" fillId="9" borderId="20" xfId="0" applyFont="1" applyFill="1" applyBorder="1" applyAlignment="1">
      <alignment horizontal="left" vertical="center"/>
    </xf>
    <xf numFmtId="0" fontId="20" fillId="9" borderId="0"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9" borderId="4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12" borderId="38" xfId="0" applyFont="1" applyFill="1" applyBorder="1" applyAlignment="1">
      <alignment horizontal="center" vertical="center" wrapText="1"/>
    </xf>
    <xf numFmtId="0" fontId="9" fillId="12" borderId="37" xfId="0" applyFont="1" applyFill="1" applyBorder="1" applyAlignment="1">
      <alignment horizontal="justify" vertical="center" wrapText="1"/>
    </xf>
    <xf numFmtId="0" fontId="10" fillId="12" borderId="38" xfId="0" applyFont="1" applyFill="1" applyBorder="1" applyAlignment="1">
      <alignment horizontal="center" vertical="center" wrapText="1"/>
    </xf>
    <xf numFmtId="1" fontId="10" fillId="12" borderId="38" xfId="0" applyNumberFormat="1" applyFont="1" applyFill="1" applyBorder="1" applyAlignment="1">
      <alignment horizontal="center" vertical="center" wrapText="1"/>
    </xf>
    <xf numFmtId="10" fontId="10" fillId="12" borderId="38" xfId="0" applyNumberFormat="1" applyFont="1" applyFill="1" applyBorder="1" applyAlignment="1">
      <alignment horizontal="center" vertical="center" wrapText="1"/>
    </xf>
    <xf numFmtId="167" fontId="10" fillId="12" borderId="38" xfId="19" applyFont="1" applyFill="1" applyBorder="1" applyAlignment="1">
      <alignment horizontal="center" vertical="center" wrapText="1"/>
    </xf>
    <xf numFmtId="0" fontId="10" fillId="12" borderId="38" xfId="0" applyFont="1" applyFill="1" applyBorder="1" applyAlignment="1">
      <alignment horizontal="justify" vertical="center" wrapText="1"/>
    </xf>
    <xf numFmtId="0" fontId="10" fillId="12" borderId="37" xfId="0" applyFont="1" applyFill="1" applyBorder="1" applyAlignment="1">
      <alignment horizontal="justify" vertical="center" wrapText="1"/>
    </xf>
    <xf numFmtId="43" fontId="10" fillId="2" borderId="38" xfId="16" applyFont="1" applyFill="1" applyBorder="1" applyAlignment="1">
      <alignment horizontal="right" vertical="center" wrapText="1"/>
    </xf>
    <xf numFmtId="167" fontId="10" fillId="2" borderId="40" xfId="19" applyFont="1" applyFill="1" applyBorder="1" applyAlignment="1">
      <alignment horizontal="right" vertical="center" wrapText="1"/>
    </xf>
    <xf numFmtId="0" fontId="10" fillId="1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7" fontId="10" fillId="12" borderId="1" xfId="0" applyNumberFormat="1" applyFont="1" applyFill="1" applyBorder="1" applyAlignment="1">
      <alignment horizontal="center" vertical="center" wrapText="1"/>
    </xf>
    <xf numFmtId="9" fontId="10" fillId="12" borderId="1" xfId="4" applyFont="1" applyFill="1" applyBorder="1" applyAlignment="1">
      <alignment horizontal="center" vertical="center" wrapText="1"/>
    </xf>
    <xf numFmtId="0" fontId="4" fillId="2" borderId="26" xfId="0" applyFont="1" applyFill="1" applyBorder="1" applyAlignment="1">
      <alignment horizontal="center" vertical="center" wrapText="1"/>
    </xf>
    <xf numFmtId="14" fontId="10" fillId="12" borderId="26" xfId="0" applyNumberFormat="1"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0" fillId="2" borderId="0" xfId="0" applyFill="1"/>
    <xf numFmtId="0" fontId="9" fillId="12" borderId="33" xfId="0" applyFont="1" applyFill="1" applyBorder="1" applyAlignment="1">
      <alignment horizontal="justify" vertical="center" wrapText="1"/>
    </xf>
    <xf numFmtId="0" fontId="10" fillId="12" borderId="36" xfId="0" applyFont="1" applyFill="1" applyBorder="1" applyAlignment="1">
      <alignment horizontal="justify" vertical="center" wrapText="1"/>
    </xf>
    <xf numFmtId="43" fontId="10" fillId="0" borderId="38" xfId="16" applyFont="1" applyFill="1" applyBorder="1" applyAlignment="1">
      <alignment horizontal="right" vertical="center" wrapText="1"/>
    </xf>
    <xf numFmtId="167" fontId="10" fillId="0" borderId="40" xfId="19" applyFont="1" applyFill="1" applyBorder="1" applyAlignment="1">
      <alignment horizontal="right" vertical="center" wrapText="1"/>
    </xf>
    <xf numFmtId="0" fontId="10" fillId="0" borderId="36" xfId="0" applyFont="1" applyFill="1" applyBorder="1" applyAlignment="1">
      <alignment horizontal="justify" vertical="center" wrapText="1"/>
    </xf>
    <xf numFmtId="43" fontId="10" fillId="0" borderId="40" xfId="16" applyFont="1" applyFill="1" applyBorder="1" applyAlignment="1">
      <alignment horizontal="right" vertical="center" wrapText="1"/>
    </xf>
    <xf numFmtId="180" fontId="4" fillId="0" borderId="2" xfId="7" applyNumberFormat="1" applyFont="1" applyFill="1" applyBorder="1" applyAlignment="1">
      <alignment horizontal="right"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9" fillId="12" borderId="36" xfId="0" applyFont="1" applyFill="1" applyBorder="1" applyAlignment="1">
      <alignment horizontal="justify" vertical="center" wrapText="1"/>
    </xf>
    <xf numFmtId="0" fontId="9" fillId="2" borderId="38" xfId="0" applyFont="1" applyFill="1" applyBorder="1" applyAlignment="1">
      <alignment horizontal="center" vertical="center" wrapText="1"/>
    </xf>
    <xf numFmtId="0" fontId="9" fillId="12" borderId="38" xfId="0" applyFont="1" applyFill="1" applyBorder="1" applyAlignment="1">
      <alignment horizontal="justify" vertical="center" wrapText="1"/>
    </xf>
    <xf numFmtId="0" fontId="4" fillId="2" borderId="17" xfId="7" applyFont="1" applyFill="1" applyBorder="1" applyAlignment="1">
      <alignment horizontal="center" vertical="center"/>
    </xf>
    <xf numFmtId="0" fontId="4" fillId="2" borderId="17" xfId="7" applyFont="1" applyFill="1" applyBorder="1" applyAlignment="1">
      <alignment horizontal="center" vertical="center" wrapText="1"/>
    </xf>
    <xf numFmtId="180" fontId="4" fillId="2" borderId="2" xfId="7" applyNumberFormat="1" applyFont="1" applyFill="1" applyBorder="1" applyAlignment="1">
      <alignment horizontal="right" vertical="center"/>
    </xf>
    <xf numFmtId="3" fontId="4" fillId="2" borderId="2" xfId="7" applyNumberFormat="1" applyFont="1" applyFill="1" applyBorder="1" applyAlignment="1">
      <alignment horizontal="right" vertical="center"/>
    </xf>
    <xf numFmtId="180" fontId="10" fillId="0" borderId="40" xfId="19" applyNumberFormat="1" applyFont="1" applyFill="1" applyBorder="1" applyAlignment="1">
      <alignment horizontal="right" vertical="center" wrapText="1"/>
    </xf>
    <xf numFmtId="180" fontId="4" fillId="0" borderId="2" xfId="0" applyNumberFormat="1" applyFont="1" applyFill="1" applyBorder="1" applyAlignment="1">
      <alignment horizontal="right" vertical="center" wrapText="1"/>
    </xf>
    <xf numFmtId="170" fontId="4" fillId="0" borderId="2" xfId="0" applyNumberFormat="1" applyFont="1" applyFill="1" applyBorder="1" applyAlignment="1">
      <alignment horizontal="right" vertical="center" wrapText="1"/>
    </xf>
    <xf numFmtId="170" fontId="4" fillId="2" borderId="2" xfId="0" applyNumberFormat="1" applyFont="1" applyFill="1" applyBorder="1" applyAlignment="1">
      <alignment horizontal="right" vertical="center" wrapText="1"/>
    </xf>
    <xf numFmtId="43" fontId="9" fillId="2" borderId="38" xfId="16" applyFont="1" applyFill="1" applyBorder="1" applyAlignment="1">
      <alignment horizontal="right" vertical="center" wrapText="1"/>
    </xf>
    <xf numFmtId="3" fontId="9" fillId="2" borderId="2" xfId="9" applyNumberFormat="1" applyFont="1" applyFill="1" applyBorder="1" applyAlignment="1">
      <alignment horizontal="right" vertical="center" wrapText="1"/>
    </xf>
    <xf numFmtId="167" fontId="9" fillId="2" borderId="40" xfId="19" applyFont="1" applyFill="1" applyBorder="1" applyAlignment="1">
      <alignment horizontal="right" vertical="center" wrapText="1"/>
    </xf>
    <xf numFmtId="180" fontId="9" fillId="2" borderId="2" xfId="9" applyNumberFormat="1" applyFont="1" applyFill="1" applyBorder="1" applyAlignment="1">
      <alignment horizontal="right" vertical="center" wrapText="1"/>
    </xf>
    <xf numFmtId="180" fontId="4" fillId="2" borderId="2" xfId="0" applyNumberFormat="1" applyFont="1" applyFill="1" applyBorder="1" applyAlignment="1">
      <alignment horizontal="right" vertical="center" wrapText="1"/>
    </xf>
    <xf numFmtId="0" fontId="9" fillId="2" borderId="38" xfId="0" applyFont="1" applyFill="1" applyBorder="1" applyAlignment="1">
      <alignment horizontal="center" vertical="center" wrapText="1"/>
    </xf>
    <xf numFmtId="3" fontId="9" fillId="2" borderId="17" xfId="9" applyNumberFormat="1" applyFont="1" applyFill="1" applyBorder="1" applyAlignment="1">
      <alignment horizontal="center" vertical="center" wrapText="1"/>
    </xf>
    <xf numFmtId="0" fontId="10" fillId="12" borderId="38" xfId="0" applyFont="1" applyFill="1" applyBorder="1" applyAlignment="1">
      <alignment horizontal="justify" vertical="center" wrapText="1"/>
    </xf>
    <xf numFmtId="0" fontId="4" fillId="2" borderId="48" xfId="0" applyFont="1" applyFill="1" applyBorder="1" applyAlignment="1">
      <alignment horizontal="center" vertical="center" wrapText="1"/>
    </xf>
    <xf numFmtId="14" fontId="10" fillId="12" borderId="48" xfId="0" applyNumberFormat="1"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3" fillId="10" borderId="40" xfId="0" applyFont="1" applyFill="1" applyBorder="1" applyAlignment="1">
      <alignment vertical="center"/>
    </xf>
    <xf numFmtId="0" fontId="3" fillId="10" borderId="24" xfId="0" applyFont="1" applyFill="1" applyBorder="1" applyAlignment="1">
      <alignment vertical="center"/>
    </xf>
    <xf numFmtId="0" fontId="20" fillId="10" borderId="0" xfId="0" applyFont="1" applyFill="1" applyBorder="1" applyAlignment="1">
      <alignment horizontal="center" vertical="center" wrapText="1"/>
    </xf>
    <xf numFmtId="167" fontId="20" fillId="10" borderId="0" xfId="19" applyFont="1" applyFill="1" applyBorder="1" applyAlignment="1">
      <alignment horizontal="center" vertical="center" wrapText="1"/>
    </xf>
    <xf numFmtId="0" fontId="20" fillId="10" borderId="0" xfId="0" applyFont="1" applyFill="1" applyBorder="1" applyAlignment="1">
      <alignment horizontal="justify" vertical="center" wrapText="1"/>
    </xf>
    <xf numFmtId="43" fontId="20" fillId="10" borderId="0" xfId="16" applyFont="1" applyFill="1" applyBorder="1" applyAlignment="1">
      <alignment horizontal="right" vertical="center" wrapText="1"/>
    </xf>
    <xf numFmtId="0" fontId="20" fillId="10" borderId="24" xfId="0" applyFont="1" applyFill="1" applyBorder="1" applyAlignment="1">
      <alignment horizontal="center" vertical="center" wrapText="1"/>
    </xf>
    <xf numFmtId="0" fontId="20" fillId="10" borderId="35"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7" xfId="0" applyFont="1" applyFill="1" applyBorder="1" applyAlignment="1">
      <alignment horizontal="justify" vertical="center" wrapText="1"/>
    </xf>
    <xf numFmtId="1" fontId="10" fillId="11" borderId="37" xfId="0" applyNumberFormat="1" applyFont="1" applyFill="1" applyBorder="1" applyAlignment="1">
      <alignment horizontal="center" vertical="center" wrapText="1"/>
    </xf>
    <xf numFmtId="9" fontId="10" fillId="11" borderId="37" xfId="0" applyNumberFormat="1" applyFont="1" applyFill="1" applyBorder="1" applyAlignment="1">
      <alignment horizontal="center" vertical="center" wrapText="1"/>
    </xf>
    <xf numFmtId="167" fontId="10" fillId="0" borderId="37" xfId="19" applyFont="1" applyFill="1" applyBorder="1" applyAlignment="1">
      <alignment horizontal="center" vertical="center" wrapText="1"/>
    </xf>
    <xf numFmtId="0" fontId="10" fillId="11" borderId="38" xfId="0" applyFont="1" applyFill="1" applyBorder="1" applyAlignment="1">
      <alignment horizontal="justify" vertical="center" wrapText="1"/>
    </xf>
    <xf numFmtId="43" fontId="9" fillId="0" borderId="37" xfId="16" applyFont="1" applyFill="1" applyBorder="1" applyAlignment="1">
      <alignment horizontal="right" vertical="center" wrapText="1"/>
    </xf>
    <xf numFmtId="167" fontId="9" fillId="0" borderId="23" xfId="19" applyFont="1" applyFill="1" applyBorder="1" applyAlignment="1">
      <alignment horizontal="right" vertical="center" wrapText="1"/>
    </xf>
    <xf numFmtId="167" fontId="9" fillId="0" borderId="15" xfId="19" applyFont="1" applyFill="1" applyBorder="1" applyAlignment="1">
      <alignment horizontal="right" vertical="center" wrapText="1"/>
    </xf>
    <xf numFmtId="0" fontId="10"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9" fontId="10" fillId="0" borderId="1" xfId="4" applyFont="1" applyFill="1" applyBorder="1" applyAlignment="1">
      <alignment horizontal="center" vertical="center" wrapText="1"/>
    </xf>
    <xf numFmtId="0" fontId="4" fillId="2" borderId="26" xfId="7" applyFont="1" applyFill="1" applyBorder="1" applyAlignment="1">
      <alignment horizontal="center" vertical="center"/>
    </xf>
    <xf numFmtId="14" fontId="9" fillId="11" borderId="17" xfId="0" applyNumberFormat="1"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0" fillId="11" borderId="33" xfId="0" applyFont="1" applyFill="1" applyBorder="1" applyAlignment="1">
      <alignment horizontal="justify" vertical="center" wrapText="1"/>
    </xf>
    <xf numFmtId="1" fontId="10" fillId="11" borderId="33" xfId="0" applyNumberFormat="1" applyFont="1" applyFill="1" applyBorder="1" applyAlignment="1">
      <alignment horizontal="center" vertical="center" wrapText="1"/>
    </xf>
    <xf numFmtId="9" fontId="10" fillId="11" borderId="33" xfId="0" applyNumberFormat="1" applyFont="1" applyFill="1" applyBorder="1" applyAlignment="1">
      <alignment horizontal="center" vertical="center" wrapText="1"/>
    </xf>
    <xf numFmtId="167" fontId="10" fillId="0" borderId="33" xfId="19" applyFont="1" applyFill="1" applyBorder="1" applyAlignment="1">
      <alignment horizontal="center" vertical="center" wrapText="1"/>
    </xf>
    <xf numFmtId="0" fontId="10" fillId="11" borderId="40" xfId="0" applyFont="1" applyFill="1" applyBorder="1" applyAlignment="1">
      <alignment horizontal="justify" vertical="center" wrapText="1"/>
    </xf>
    <xf numFmtId="43" fontId="9" fillId="0" borderId="2" xfId="16" applyFont="1" applyFill="1" applyBorder="1" applyAlignment="1">
      <alignment horizontal="right" vertical="center" wrapText="1"/>
    </xf>
    <xf numFmtId="167" fontId="9" fillId="0" borderId="2" xfId="19" applyFont="1" applyFill="1" applyBorder="1" applyAlignment="1">
      <alignment horizontal="right" vertical="center" wrapText="1"/>
    </xf>
    <xf numFmtId="43" fontId="9" fillId="0" borderId="36" xfId="16" applyFont="1" applyFill="1" applyBorder="1" applyAlignment="1">
      <alignment horizontal="right" vertical="center" wrapText="1"/>
    </xf>
    <xf numFmtId="167" fontId="9" fillId="0" borderId="30" xfId="19" applyFont="1" applyFill="1" applyBorder="1" applyAlignment="1">
      <alignment horizontal="right" vertical="center" wrapText="1"/>
    </xf>
    <xf numFmtId="43" fontId="9" fillId="0" borderId="38" xfId="16" applyFont="1" applyFill="1" applyBorder="1" applyAlignment="1">
      <alignment horizontal="right" vertical="center" wrapText="1"/>
    </xf>
    <xf numFmtId="167" fontId="9" fillId="0" borderId="40" xfId="19" applyFont="1" applyFill="1" applyBorder="1" applyAlignment="1">
      <alignment horizontal="right" vertical="center" wrapText="1"/>
    </xf>
    <xf numFmtId="0" fontId="10" fillId="11" borderId="19" xfId="0" applyFont="1" applyFill="1" applyBorder="1" applyAlignment="1">
      <alignment horizontal="justify" vertical="center" wrapText="1"/>
    </xf>
    <xf numFmtId="180" fontId="4" fillId="0" borderId="18" xfId="7" applyNumberFormat="1" applyFont="1" applyFill="1" applyBorder="1" applyAlignment="1">
      <alignment horizontal="right" vertical="center"/>
    </xf>
    <xf numFmtId="0" fontId="10" fillId="11" borderId="36" xfId="0" applyFont="1" applyFill="1" applyBorder="1" applyAlignment="1">
      <alignment horizontal="justify" vertical="center" wrapText="1"/>
    </xf>
    <xf numFmtId="180" fontId="9" fillId="0" borderId="15" xfId="9" applyNumberFormat="1" applyFont="1" applyFill="1" applyBorder="1" applyAlignment="1">
      <alignment horizontal="right" vertical="center" wrapText="1"/>
    </xf>
    <xf numFmtId="180" fontId="9" fillId="0" borderId="2" xfId="9" applyNumberFormat="1" applyFont="1" applyFill="1" applyBorder="1" applyAlignment="1">
      <alignment horizontal="right" vertical="center" wrapText="1"/>
    </xf>
    <xf numFmtId="180" fontId="9" fillId="0" borderId="17" xfId="9" applyNumberFormat="1" applyFont="1" applyFill="1" applyBorder="1" applyAlignment="1">
      <alignment horizontal="right" vertical="center" wrapText="1"/>
    </xf>
    <xf numFmtId="167" fontId="9" fillId="0" borderId="37" xfId="19" applyFont="1" applyFill="1" applyBorder="1" applyAlignment="1">
      <alignment horizontal="center" vertical="center" wrapText="1"/>
    </xf>
    <xf numFmtId="0" fontId="4" fillId="2" borderId="48" xfId="7" applyFont="1" applyFill="1" applyBorder="1" applyAlignment="1">
      <alignment horizontal="center" vertical="center"/>
    </xf>
    <xf numFmtId="0" fontId="9" fillId="2" borderId="37" xfId="0" applyNumberFormat="1" applyFont="1" applyFill="1" applyBorder="1" applyAlignment="1">
      <alignment horizontal="justify" vertical="center" wrapText="1"/>
    </xf>
    <xf numFmtId="0" fontId="9" fillId="2" borderId="37" xfId="16" applyNumberFormat="1" applyFont="1" applyFill="1" applyBorder="1" applyAlignment="1">
      <alignment horizontal="center" vertical="center" wrapText="1"/>
    </xf>
    <xf numFmtId="0" fontId="9" fillId="0" borderId="37" xfId="7" applyFont="1" applyFill="1" applyBorder="1" applyAlignment="1">
      <alignment horizontal="center" vertical="center" wrapText="1"/>
    </xf>
    <xf numFmtId="0" fontId="9" fillId="2" borderId="37" xfId="0" applyNumberFormat="1" applyFont="1" applyFill="1" applyBorder="1" applyAlignment="1">
      <alignment horizontal="center" vertical="center"/>
    </xf>
    <xf numFmtId="167" fontId="10" fillId="11" borderId="37" xfId="19" applyFont="1" applyFill="1" applyBorder="1" applyAlignment="1">
      <alignment horizontal="center" vertical="center" wrapText="1"/>
    </xf>
    <xf numFmtId="0" fontId="10" fillId="12" borderId="18" xfId="0" applyFont="1" applyFill="1" applyBorder="1" applyAlignment="1">
      <alignment horizontal="justify" vertical="center" wrapText="1"/>
    </xf>
    <xf numFmtId="167" fontId="9" fillId="0" borderId="18" xfId="19" applyFont="1" applyFill="1" applyBorder="1" applyAlignment="1">
      <alignment horizontal="right" vertical="center" wrapText="1"/>
    </xf>
    <xf numFmtId="180" fontId="9" fillId="0" borderId="18" xfId="9" applyNumberFormat="1" applyFont="1" applyFill="1" applyBorder="1" applyAlignment="1">
      <alignment horizontal="right" vertical="center" wrapText="1"/>
    </xf>
    <xf numFmtId="0" fontId="10" fillId="0" borderId="30" xfId="0" applyFont="1" applyFill="1" applyBorder="1" applyAlignment="1">
      <alignment horizontal="center" vertical="center" wrapText="1"/>
    </xf>
    <xf numFmtId="0" fontId="4" fillId="2" borderId="2" xfId="7" applyFont="1" applyFill="1" applyBorder="1" applyAlignment="1">
      <alignment horizontal="center" vertical="center"/>
    </xf>
    <xf numFmtId="0" fontId="4" fillId="2" borderId="26" xfId="7" applyFont="1" applyFill="1" applyBorder="1" applyAlignment="1">
      <alignment horizontal="center" vertical="center"/>
    </xf>
    <xf numFmtId="0" fontId="9" fillId="2" borderId="33" xfId="0" applyNumberFormat="1" applyFont="1" applyFill="1" applyBorder="1" applyAlignment="1">
      <alignment horizontal="justify" vertical="center" wrapText="1"/>
    </xf>
    <xf numFmtId="0" fontId="9" fillId="2" borderId="33" xfId="16" applyNumberFormat="1" applyFont="1" applyFill="1" applyBorder="1" applyAlignment="1">
      <alignment horizontal="center" vertical="center" wrapText="1"/>
    </xf>
    <xf numFmtId="0" fontId="9" fillId="0" borderId="33" xfId="7" applyFont="1" applyFill="1" applyBorder="1" applyAlignment="1">
      <alignment horizontal="center" vertical="center" wrapText="1"/>
    </xf>
    <xf numFmtId="0" fontId="9" fillId="2" borderId="33" xfId="0" applyNumberFormat="1" applyFont="1" applyFill="1" applyBorder="1" applyAlignment="1">
      <alignment horizontal="center" vertical="center"/>
    </xf>
    <xf numFmtId="167" fontId="10" fillId="11" borderId="33" xfId="19" applyFont="1" applyFill="1" applyBorder="1" applyAlignment="1">
      <alignment horizontal="center" vertical="center" wrapText="1"/>
    </xf>
    <xf numFmtId="0" fontId="10" fillId="0" borderId="7" xfId="0" applyFont="1" applyFill="1" applyBorder="1" applyAlignment="1">
      <alignment horizontal="center" vertical="center" wrapText="1"/>
    </xf>
    <xf numFmtId="0" fontId="4" fillId="2" borderId="17" xfId="7" applyFont="1" applyFill="1" applyBorder="1" applyAlignment="1">
      <alignment horizontal="center" vertical="center"/>
    </xf>
    <xf numFmtId="0" fontId="9" fillId="0" borderId="34" xfId="16" applyNumberFormat="1" applyFont="1" applyFill="1" applyBorder="1" applyAlignment="1">
      <alignment horizontal="center" vertical="center" wrapText="1"/>
    </xf>
    <xf numFmtId="0" fontId="9" fillId="2" borderId="34" xfId="0" applyNumberFormat="1" applyFont="1" applyFill="1" applyBorder="1" applyAlignment="1">
      <alignment horizontal="justify" vertical="center" wrapText="1"/>
    </xf>
    <xf numFmtId="0" fontId="9" fillId="2" borderId="34" xfId="16" applyNumberFormat="1" applyFont="1" applyFill="1" applyBorder="1" applyAlignment="1">
      <alignment horizontal="center" vertical="center" wrapText="1"/>
    </xf>
    <xf numFmtId="0" fontId="9" fillId="0" borderId="34" xfId="7" applyFont="1" applyFill="1" applyBorder="1" applyAlignment="1">
      <alignment horizontal="center" vertical="center" wrapText="1"/>
    </xf>
    <xf numFmtId="0" fontId="9" fillId="0" borderId="34" xfId="7" applyFont="1" applyBorder="1" applyAlignment="1">
      <alignment horizontal="center" vertical="center" wrapText="1"/>
    </xf>
    <xf numFmtId="0" fontId="9" fillId="2" borderId="34" xfId="0" applyNumberFormat="1" applyFont="1" applyFill="1" applyBorder="1" applyAlignment="1">
      <alignment horizontal="center" vertical="center"/>
    </xf>
    <xf numFmtId="0" fontId="9" fillId="0" borderId="34" xfId="7" applyFont="1" applyBorder="1" applyAlignment="1">
      <alignment horizontal="justify" vertical="center" wrapText="1"/>
    </xf>
    <xf numFmtId="0" fontId="10" fillId="11" borderId="34" xfId="0" applyFont="1" applyFill="1" applyBorder="1" applyAlignment="1">
      <alignment horizontal="center" vertical="center" wrapText="1"/>
    </xf>
    <xf numFmtId="1" fontId="10" fillId="11" borderId="34" xfId="0" applyNumberFormat="1" applyFont="1" applyFill="1" applyBorder="1" applyAlignment="1">
      <alignment horizontal="center" vertical="center" wrapText="1"/>
    </xf>
    <xf numFmtId="0" fontId="10" fillId="11" borderId="34" xfId="0" applyFont="1" applyFill="1" applyBorder="1" applyAlignment="1">
      <alignment horizontal="justify" vertical="center" wrapText="1"/>
    </xf>
    <xf numFmtId="9" fontId="10" fillId="11" borderId="34" xfId="0" applyNumberFormat="1" applyFont="1" applyFill="1" applyBorder="1" applyAlignment="1">
      <alignment horizontal="center" vertical="center" wrapText="1"/>
    </xf>
    <xf numFmtId="167" fontId="10" fillId="11" borderId="34" xfId="19" applyFont="1" applyFill="1" applyBorder="1" applyAlignment="1">
      <alignment horizontal="center" vertical="center" wrapText="1"/>
    </xf>
    <xf numFmtId="0" fontId="10" fillId="12" borderId="34" xfId="0" applyFont="1" applyFill="1" applyBorder="1" applyAlignment="1">
      <alignment vertical="center" wrapText="1"/>
    </xf>
    <xf numFmtId="167" fontId="9" fillId="0" borderId="79" xfId="19" applyFont="1" applyFill="1" applyBorder="1" applyAlignment="1">
      <alignment horizontal="right" vertical="center" wrapText="1"/>
    </xf>
    <xf numFmtId="9" fontId="10" fillId="0" borderId="18" xfId="4" applyFont="1" applyFill="1" applyBorder="1" applyAlignment="1">
      <alignment horizontal="center" vertical="center" wrapText="1"/>
    </xf>
    <xf numFmtId="0" fontId="4" fillId="2" borderId="18" xfId="7" applyFont="1" applyFill="1" applyBorder="1" applyAlignment="1">
      <alignment horizontal="center" vertical="center"/>
    </xf>
    <xf numFmtId="0" fontId="20" fillId="21" borderId="7" xfId="0" applyFont="1" applyFill="1" applyBorder="1" applyAlignment="1">
      <alignment horizontal="center" vertical="center" wrapText="1"/>
    </xf>
    <xf numFmtId="0" fontId="20" fillId="21" borderId="8" xfId="0" applyFont="1" applyFill="1" applyBorder="1" applyAlignment="1">
      <alignment horizontal="center" vertical="center" wrapText="1"/>
    </xf>
    <xf numFmtId="167" fontId="20" fillId="21" borderId="8" xfId="19" applyFont="1" applyFill="1" applyBorder="1" applyAlignment="1">
      <alignment horizontal="center" vertical="center" wrapText="1"/>
    </xf>
    <xf numFmtId="167" fontId="20" fillId="21" borderId="2" xfId="19" applyFont="1" applyFill="1" applyBorder="1" applyAlignment="1">
      <alignment horizontal="center" vertical="center" wrapText="1"/>
    </xf>
    <xf numFmtId="0" fontId="20" fillId="21" borderId="9" xfId="0" applyFont="1" applyFill="1" applyBorder="1" applyAlignment="1">
      <alignment horizontal="center" vertical="center" wrapText="1"/>
    </xf>
    <xf numFmtId="180" fontId="4" fillId="0" borderId="0" xfId="0" applyNumberFormat="1" applyFont="1" applyAlignment="1">
      <alignment horizontal="center" vertical="center"/>
    </xf>
    <xf numFmtId="9" fontId="4" fillId="0" borderId="0" xfId="0" applyNumberFormat="1" applyFont="1" applyAlignment="1">
      <alignment horizontal="center" vertical="center"/>
    </xf>
  </cellXfs>
  <cellStyles count="29">
    <cellStyle name="Excel Built-in Normal" xfId="9"/>
    <cellStyle name="Incorrecto" xfId="22" builtinId="27"/>
    <cellStyle name="KPT04" xfId="13"/>
    <cellStyle name="KPT04 2" xfId="15"/>
    <cellStyle name="Millares" xfId="1" builtinId="3"/>
    <cellStyle name="Millares [0]" xfId="20" builtinId="6"/>
    <cellStyle name="Millares [0] 2" xfId="10"/>
    <cellStyle name="Millares [0] 3" xfId="24"/>
    <cellStyle name="Millares 2" xfId="11"/>
    <cellStyle name="Millares 2 2" xfId="12"/>
    <cellStyle name="Millares 2 2 2" xfId="14"/>
    <cellStyle name="Millares 2 2 2 2" xfId="16"/>
    <cellStyle name="Millares 3" xfId="19"/>
    <cellStyle name="Moneda" xfId="2" builtinId="4"/>
    <cellStyle name="Moneda [0]" xfId="3" builtinId="7"/>
    <cellStyle name="Moneda [0] 2" xfId="23"/>
    <cellStyle name="Moneda 2" xfId="8"/>
    <cellStyle name="Moneda 2 2" xfId="28"/>
    <cellStyle name="Normal" xfId="0" builtinId="0"/>
    <cellStyle name="Normal 2" xfId="7"/>
    <cellStyle name="Normal 2 2" xfId="25"/>
    <cellStyle name="Normal 2 2 2" xfId="27"/>
    <cellStyle name="Normal 2 3" xfId="5"/>
    <cellStyle name="Normal 3" xfId="26"/>
    <cellStyle name="Normal 7" xfId="21"/>
    <cellStyle name="Normal 85" xfId="17"/>
    <cellStyle name="Porcentaje" xfId="4" builtinId="5"/>
    <cellStyle name="Porcentaje 2 2" xfId="6"/>
    <cellStyle name="Porcentaje 2 2 2" xfId="18"/>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74839</xdr:colOff>
      <xdr:row>0</xdr:row>
      <xdr:rowOff>1</xdr:rowOff>
    </xdr:from>
    <xdr:to>
      <xdr:col>1</xdr:col>
      <xdr:colOff>146730</xdr:colOff>
      <xdr:row>5</xdr:row>
      <xdr:rowOff>99447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39" y="1"/>
          <a:ext cx="929141" cy="109957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383721</xdr:colOff>
      <xdr:row>0</xdr:row>
      <xdr:rowOff>0</xdr:rowOff>
    </xdr:from>
    <xdr:to>
      <xdr:col>1</xdr:col>
      <xdr:colOff>503463</xdr:colOff>
      <xdr:row>3</xdr:row>
      <xdr:rowOff>136072</xdr:rowOff>
    </xdr:to>
    <xdr:pic>
      <xdr:nvPicPr>
        <xdr:cNvPr id="2" name="Imagen 1" descr="C:\Users\AUXPLANEACION03\Desktop\Gobernacion_del_quindio.jpg">
          <a:extLst>
            <a:ext uri="{FF2B5EF4-FFF2-40B4-BE49-F238E27FC236}">
              <a16:creationId xmlns:a16="http://schemas.microsoft.com/office/drawing/2014/main" id="{2BCFBE2F-FF14-4C81-AC6F-36364CF960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721" y="0"/>
          <a:ext cx="891267" cy="105047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350384</xdr:colOff>
      <xdr:row>0</xdr:row>
      <xdr:rowOff>66335</xdr:rowOff>
    </xdr:from>
    <xdr:to>
      <xdr:col>1</xdr:col>
      <xdr:colOff>476250</xdr:colOff>
      <xdr:row>3</xdr:row>
      <xdr:rowOff>163285</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84" y="66335"/>
          <a:ext cx="1030741" cy="10113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206375</xdr:colOff>
      <xdr:row>0</xdr:row>
      <xdr:rowOff>127000</xdr:rowOff>
    </xdr:from>
    <xdr:to>
      <xdr:col>1</xdr:col>
      <xdr:colOff>601230</xdr:colOff>
      <xdr:row>3</xdr:row>
      <xdr:rowOff>209550</xdr:rowOff>
    </xdr:to>
    <xdr:pic>
      <xdr:nvPicPr>
        <xdr:cNvPr id="2" name="Imagen 1" descr="C:\Users\AUXPLANEACION03\Desktop\Gobernacion_del_quindio.jpg">
          <a:extLst>
            <a:ext uri="{FF2B5EF4-FFF2-40B4-BE49-F238E27FC236}">
              <a16:creationId xmlns:a16="http://schemas.microsoft.com/office/drawing/2014/main" id="{5B35C5ED-22D4-4E11-ADF3-9FACCE2921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127000"/>
          <a:ext cx="1328305" cy="1196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285750</xdr:colOff>
      <xdr:row>0</xdr:row>
      <xdr:rowOff>193221</xdr:rowOff>
    </xdr:from>
    <xdr:to>
      <xdr:col>1</xdr:col>
      <xdr:colOff>299358</xdr:colOff>
      <xdr:row>3</xdr:row>
      <xdr:rowOff>163286</xdr:rowOff>
    </xdr:to>
    <xdr:pic>
      <xdr:nvPicPr>
        <xdr:cNvPr id="2" name="Imagen 1">
          <a:extLst>
            <a:ext uri="{FF2B5EF4-FFF2-40B4-BE49-F238E27FC236}">
              <a16:creationId xmlns:a16="http://schemas.microsoft.com/office/drawing/2014/main" id="{E0E5911D-6330-4852-AE84-B94ED8CE13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3221"/>
          <a:ext cx="994683" cy="102734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3</xdr:row>
      <xdr:rowOff>152400</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9125" cy="7524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47625</xdr:colOff>
      <xdr:row>0</xdr:row>
      <xdr:rowOff>130969</xdr:rowOff>
    </xdr:from>
    <xdr:ext cx="947737" cy="757237"/>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0969"/>
          <a:ext cx="947737" cy="757237"/>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a16="http://schemas.microsoft.com/office/drawing/2014/main" id="{9CE12528-3633-4D97-8C9B-0E1768D39A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547007</xdr:colOff>
      <xdr:row>5</xdr:row>
      <xdr:rowOff>97518</xdr:rowOff>
    </xdr:to>
    <xdr:pic>
      <xdr:nvPicPr>
        <xdr:cNvPr id="2" name="Imagen 1" descr="C:\Users\AUXPLANEACION03\Desktop\Gobernacion_del_quindio.jpg">
          <a:extLst>
            <a:ext uri="{FF2B5EF4-FFF2-40B4-BE49-F238E27FC236}">
              <a16:creationId xmlns:a16="http://schemas.microsoft.com/office/drawing/2014/main" id="{93F3D384-FDF4-4BDE-84D5-6450DCEB98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948418" cy="11738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89921</xdr:colOff>
      <xdr:row>5</xdr:row>
      <xdr:rowOff>20865</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8121" cy="1020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15308</xdr:colOff>
      <xdr:row>0</xdr:row>
      <xdr:rowOff>95250</xdr:rowOff>
    </xdr:from>
    <xdr:to>
      <xdr:col>1</xdr:col>
      <xdr:colOff>27214</xdr:colOff>
      <xdr:row>5</xdr:row>
      <xdr:rowOff>204107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8" y="95250"/>
          <a:ext cx="1059656" cy="13335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10885</xdr:colOff>
      <xdr:row>0</xdr:row>
      <xdr:rowOff>244932</xdr:rowOff>
    </xdr:from>
    <xdr:to>
      <xdr:col>2</xdr:col>
      <xdr:colOff>171450</xdr:colOff>
      <xdr:row>3</xdr:row>
      <xdr:rowOff>259898</xdr:rowOff>
    </xdr:to>
    <xdr:pic>
      <xdr:nvPicPr>
        <xdr:cNvPr id="2" name="Imagen 1">
          <a:extLst>
            <a:ext uri="{FF2B5EF4-FFF2-40B4-BE49-F238E27FC236}">
              <a16:creationId xmlns:a16="http://schemas.microsoft.com/office/drawing/2014/main" id="{A30A9C61-99C2-4B58-AF7E-707CCF4F0A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85" y="244932"/>
          <a:ext cx="855890" cy="107224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2</xdr:row>
      <xdr:rowOff>220890</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9352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10885</xdr:colOff>
      <xdr:row>0</xdr:row>
      <xdr:rowOff>244932</xdr:rowOff>
    </xdr:from>
    <xdr:to>
      <xdr:col>2</xdr:col>
      <xdr:colOff>95250</xdr:colOff>
      <xdr:row>3</xdr:row>
      <xdr:rowOff>231323</xdr:rowOff>
    </xdr:to>
    <xdr:pic>
      <xdr:nvPicPr>
        <xdr:cNvPr id="2" name="Imagen 1">
          <a:extLst>
            <a:ext uri="{FF2B5EF4-FFF2-40B4-BE49-F238E27FC236}">
              <a16:creationId xmlns:a16="http://schemas.microsoft.com/office/drawing/2014/main" id="{3435EABC-F15B-4F99-811D-31B84FED06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85" y="244932"/>
          <a:ext cx="855890" cy="104366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492125</xdr:colOff>
      <xdr:row>0</xdr:row>
      <xdr:rowOff>206376</xdr:rowOff>
    </xdr:from>
    <xdr:to>
      <xdr:col>1</xdr:col>
      <xdr:colOff>158750</xdr:colOff>
      <xdr:row>6</xdr:row>
      <xdr:rowOff>1</xdr:rowOff>
    </xdr:to>
    <xdr:pic>
      <xdr:nvPicPr>
        <xdr:cNvPr id="2" name="Imagen 1" descr="C:\Users\AUXPLANEACION03\Desktop\Gobernacion_del_quindio.jpg">
          <a:extLst>
            <a:ext uri="{FF2B5EF4-FFF2-40B4-BE49-F238E27FC236}">
              <a16:creationId xmlns:a16="http://schemas.microsoft.com/office/drawing/2014/main" id="{0D2E2FAE-1319-49E8-862B-76837EC482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125" y="206376"/>
          <a:ext cx="809625" cy="16700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5</xdr:row>
      <xdr:rowOff>139927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114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UXINFRA54.DQUINDIO/Documents/HOOVER/PROYECTOS%20PDD/PROYECTOS%20NUEVOS%20INFRA/PROYECTO%20SEGURIDAD%20DEL%20ESTADO/F-PLA-38PoblacionBeneficiadaInversion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243;n%202021/SGTO%20JUNIO%202021%20TRABAJO/UNIDADES/FAMILIA/FAMILIA%20SGTO%20II%20TRIMESTR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243;n%202021/SGTO%20JUNIO%202021%20TRABAJO/UNIDADES/IDTQ/IDTQ%20SGTO%20PDD%20JUNIO%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243;n%202021/SGTO%20PDD%202021/SGTO%20JUNIO%202021%20TRABAJO/UNIDADES/INDEPORTES/SGTO%20INDEPORTES%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efreshError="1">
        <row r="9">
          <cell r="C9">
            <v>295972</v>
          </cell>
          <cell r="D9">
            <v>285580</v>
          </cell>
          <cell r="E9">
            <v>135545</v>
          </cell>
          <cell r="F9">
            <v>44254</v>
          </cell>
          <cell r="G9">
            <v>309146</v>
          </cell>
          <cell r="H9">
            <v>92607</v>
          </cell>
          <cell r="I9">
            <v>2145</v>
          </cell>
          <cell r="J9">
            <v>12718</v>
          </cell>
          <cell r="K9">
            <v>26</v>
          </cell>
          <cell r="L9">
            <v>37</v>
          </cell>
          <cell r="M9">
            <v>0</v>
          </cell>
          <cell r="N9">
            <v>0</v>
          </cell>
          <cell r="O9">
            <v>44350</v>
          </cell>
          <cell r="P9">
            <v>21944</v>
          </cell>
          <cell r="Q9">
            <v>75687</v>
          </cell>
          <cell r="R9">
            <v>581552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EJE METAS PROYECTOS"/>
      <sheetName val="F-PLA-06 PLAN ACCION"/>
      <sheetName val="F-PLA-07 SGTO PLAN ACCION"/>
      <sheetName val="F-PLA-39 INVERSION TERRITORIAL"/>
      <sheetName val="F-PLA-40 GESTION RECURSOS"/>
    </sheetNames>
    <sheetDataSet>
      <sheetData sheetId="0">
        <row r="50">
          <cell r="T50">
            <v>9150000</v>
          </cell>
          <cell r="U50">
            <v>4579818</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LAN DE ACCION"/>
      <sheetName val="F-PLA-07 SGTO PLAN ACCION"/>
      <sheetName val="F-PLA-39 INVERSION TERRITORIAL"/>
      <sheetName val="GESTION RECURSOS AGRICULTURA"/>
    </sheetNames>
    <sheetDataSet>
      <sheetData sheetId="0">
        <row r="17">
          <cell r="U17">
            <v>10710000</v>
          </cell>
        </row>
        <row r="18">
          <cell r="U18">
            <v>0</v>
          </cell>
        </row>
        <row r="19">
          <cell r="U19">
            <v>14000000</v>
          </cell>
        </row>
        <row r="20">
          <cell r="U20">
            <v>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F-PLA-47 METAS INDEPORTES"/>
      <sheetName val="F-PLA-06 PLAN DE ACCION"/>
      <sheetName val="F-PLA-07 SGTO PLAN ACCION"/>
      <sheetName val="F-PLA-39 INVERSION TERRITORIAL"/>
      <sheetName val="GESTION RECURSO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N36"/>
  <sheetViews>
    <sheetView showGridLines="0" zoomScale="70" zoomScaleNormal="70" workbookViewId="0">
      <selection activeCell="A8" sqref="A8:A9"/>
    </sheetView>
  </sheetViews>
  <sheetFormatPr baseColWidth="10" defaultColWidth="11.42578125" defaultRowHeight="15" x14ac:dyDescent="0.25"/>
  <cols>
    <col min="1" max="1" width="12.85546875" style="117" customWidth="1"/>
    <col min="2" max="2" width="14.5703125" style="3" customWidth="1"/>
    <col min="3" max="3" width="14.28515625" style="3" customWidth="1"/>
    <col min="4" max="4" width="15.42578125" style="3" customWidth="1"/>
    <col min="5" max="5" width="15.7109375" style="3" customWidth="1"/>
    <col min="6" max="6" width="17.140625" style="3" customWidth="1"/>
    <col min="7" max="7" width="16.7109375" style="3" customWidth="1"/>
    <col min="8" max="8" width="22.28515625" style="118" customWidth="1"/>
    <col min="9" max="9" width="22.7109375" style="3" customWidth="1"/>
    <col min="10" max="10" width="27.28515625" style="118" customWidth="1"/>
    <col min="11" max="11" width="14.140625" style="3" customWidth="1"/>
    <col min="12" max="12" width="26.85546875" style="119" customWidth="1"/>
    <col min="13" max="13" width="18.140625" style="3" customWidth="1"/>
    <col min="14" max="14" width="24.28515625" style="119" customWidth="1"/>
    <col min="15" max="16" width="11.140625" style="2" customWidth="1"/>
    <col min="17" max="17" width="21.28515625" style="2" customWidth="1"/>
    <col min="18" max="18" width="27.140625" style="119" customWidth="1"/>
    <col min="19" max="19" width="19.5703125" style="120" customWidth="1"/>
    <col min="20" max="20" width="27.42578125" style="121" customWidth="1"/>
    <col min="21" max="21" width="43" style="122" customWidth="1"/>
    <col min="22" max="22" width="42.28515625" style="119" customWidth="1"/>
    <col min="23" max="23" width="56.7109375" style="119" customWidth="1"/>
    <col min="24" max="24" width="26.85546875" style="2" customWidth="1"/>
    <col min="25" max="25" width="32.5703125" style="2" customWidth="1"/>
    <col min="26" max="26" width="33.140625" style="2" customWidth="1"/>
    <col min="27" max="27" width="60" style="2" customWidth="1"/>
    <col min="28" max="28" width="14.5703125" style="130" customWidth="1"/>
    <col min="29" max="29" width="15" style="124" customWidth="1"/>
    <col min="30" max="30" width="13.7109375" style="2" customWidth="1"/>
    <col min="31" max="31" width="12.85546875" style="2" customWidth="1"/>
    <col min="32" max="33" width="9.85546875" style="3" customWidth="1"/>
    <col min="34" max="35" width="10.28515625" style="3" customWidth="1"/>
    <col min="36" max="36" width="9.85546875" style="3" customWidth="1"/>
    <col min="37" max="37" width="11" style="3" customWidth="1"/>
    <col min="38" max="39" width="10.28515625" style="3" customWidth="1"/>
    <col min="40" max="41" width="9.42578125" style="3" customWidth="1"/>
    <col min="42" max="43" width="9.140625" style="3" customWidth="1"/>
    <col min="44" max="45" width="8.85546875" style="3" customWidth="1"/>
    <col min="46" max="46" width="8.42578125" style="3" bestFit="1" customWidth="1"/>
    <col min="47" max="47" width="8.42578125" style="3" customWidth="1"/>
    <col min="48" max="48" width="8.42578125" style="3" bestFit="1" customWidth="1"/>
    <col min="49" max="49" width="8.42578125" style="3" customWidth="1"/>
    <col min="50" max="50" width="8.42578125" style="3" bestFit="1" customWidth="1"/>
    <col min="51" max="51" width="8.42578125" style="3" customWidth="1"/>
    <col min="52" max="52" width="9.140625" style="3" bestFit="1" customWidth="1"/>
    <col min="53" max="53" width="9.140625" style="3" customWidth="1"/>
    <col min="54" max="54" width="10.42578125" style="3" customWidth="1"/>
    <col min="55" max="55" width="9.7109375" style="3" customWidth="1"/>
    <col min="56" max="56" width="11.85546875" style="3" customWidth="1"/>
    <col min="57" max="57" width="8.28515625" style="3" customWidth="1"/>
    <col min="58" max="58" width="10.5703125" style="3" customWidth="1"/>
    <col min="59" max="59" width="10.140625" style="3" customWidth="1"/>
    <col min="60" max="60" width="12.5703125" style="3" customWidth="1"/>
    <col min="61" max="61" width="13.85546875" style="3" customWidth="1"/>
    <col min="62" max="62" width="16.85546875" style="3" customWidth="1"/>
    <col min="63" max="63" width="25.28515625" style="3" customWidth="1"/>
    <col min="64" max="64" width="28.28515625" style="3" customWidth="1"/>
    <col min="65" max="65" width="17.7109375" style="3" customWidth="1"/>
    <col min="66" max="67" width="19.140625" style="3" customWidth="1"/>
    <col min="68" max="68" width="25.42578125" style="3" customWidth="1"/>
    <col min="69" max="70" width="17.140625" style="3" customWidth="1"/>
    <col min="71" max="72" width="19.7109375" style="125" customWidth="1"/>
    <col min="73" max="73" width="25.140625" style="126" customWidth="1"/>
    <col min="74" max="16384" width="11.42578125" style="3"/>
  </cols>
  <sheetData>
    <row r="1" spans="1:92" ht="15.75" customHeight="1" x14ac:dyDescent="0.25">
      <c r="A1" s="2366" t="s">
        <v>1029</v>
      </c>
      <c r="B1" s="2367"/>
      <c r="C1" s="2367"/>
      <c r="D1" s="2367"/>
      <c r="E1" s="2367"/>
      <c r="F1" s="2367"/>
      <c r="G1" s="2367"/>
      <c r="H1" s="2367"/>
      <c r="I1" s="2367"/>
      <c r="J1" s="2367"/>
      <c r="K1" s="2367"/>
      <c r="L1" s="2367"/>
      <c r="M1" s="2367"/>
      <c r="N1" s="2367"/>
      <c r="O1" s="2367"/>
      <c r="P1" s="2367"/>
      <c r="Q1" s="2367"/>
      <c r="R1" s="2367"/>
      <c r="S1" s="2367"/>
      <c r="T1" s="2367"/>
      <c r="U1" s="2367"/>
      <c r="V1" s="2367"/>
      <c r="W1" s="2367"/>
      <c r="X1" s="2367"/>
      <c r="Y1" s="2367"/>
      <c r="Z1" s="2367"/>
      <c r="AA1" s="2367"/>
      <c r="AB1" s="2367"/>
      <c r="AC1" s="2367"/>
      <c r="AD1" s="2367"/>
      <c r="AE1" s="2367"/>
      <c r="AF1" s="2367"/>
      <c r="AG1" s="2367"/>
      <c r="AH1" s="2367"/>
      <c r="AI1" s="2367"/>
      <c r="AJ1" s="2367"/>
      <c r="AK1" s="2367"/>
      <c r="AL1" s="2367"/>
      <c r="AM1" s="2367"/>
      <c r="AN1" s="2367"/>
      <c r="AO1" s="2367"/>
      <c r="AP1" s="2367"/>
      <c r="AQ1" s="2367"/>
      <c r="AR1" s="2367"/>
      <c r="AS1" s="2367"/>
      <c r="AT1" s="2367"/>
      <c r="AU1" s="2367"/>
      <c r="AV1" s="2367"/>
      <c r="AW1" s="2367"/>
      <c r="AX1" s="2367"/>
      <c r="AY1" s="2367"/>
      <c r="AZ1" s="2367"/>
      <c r="BA1" s="2367"/>
      <c r="BB1" s="2367"/>
      <c r="BC1" s="2367"/>
      <c r="BD1" s="2367"/>
      <c r="BE1" s="2367"/>
      <c r="BF1" s="2367"/>
      <c r="BG1" s="2367"/>
      <c r="BH1" s="2367"/>
      <c r="BI1" s="2367"/>
      <c r="BJ1" s="2367"/>
      <c r="BK1" s="2367"/>
      <c r="BL1" s="2367"/>
      <c r="BM1" s="2367"/>
      <c r="BN1" s="2367"/>
      <c r="BO1" s="2367"/>
      <c r="BP1" s="2367"/>
      <c r="BQ1" s="2367"/>
      <c r="BR1" s="2367"/>
      <c r="BS1" s="2368"/>
      <c r="BT1" s="1" t="s">
        <v>0</v>
      </c>
      <c r="BU1" s="1" t="s">
        <v>1</v>
      </c>
      <c r="BV1" s="2"/>
      <c r="BW1" s="2"/>
      <c r="BX1" s="2"/>
      <c r="BY1" s="2"/>
      <c r="BZ1" s="2"/>
      <c r="CA1" s="2"/>
      <c r="CB1" s="2"/>
      <c r="CC1" s="2"/>
      <c r="CD1" s="2"/>
      <c r="CE1" s="2"/>
      <c r="CF1" s="2"/>
      <c r="CG1" s="2"/>
      <c r="CH1" s="2"/>
      <c r="CI1" s="2"/>
      <c r="CJ1" s="2"/>
      <c r="CK1" s="2"/>
      <c r="CL1" s="2"/>
      <c r="CM1" s="2"/>
      <c r="CN1" s="2"/>
    </row>
    <row r="2" spans="1:92" ht="15.75" x14ac:dyDescent="0.25">
      <c r="A2" s="2367"/>
      <c r="B2" s="2367"/>
      <c r="C2" s="2367"/>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c r="AE2" s="2367"/>
      <c r="AF2" s="2367"/>
      <c r="AG2" s="2367"/>
      <c r="AH2" s="2367"/>
      <c r="AI2" s="2367"/>
      <c r="AJ2" s="2367"/>
      <c r="AK2" s="2367"/>
      <c r="AL2" s="2367"/>
      <c r="AM2" s="2367"/>
      <c r="AN2" s="2367"/>
      <c r="AO2" s="2367"/>
      <c r="AP2" s="2367"/>
      <c r="AQ2" s="2367"/>
      <c r="AR2" s="2367"/>
      <c r="AS2" s="2367"/>
      <c r="AT2" s="2367"/>
      <c r="AU2" s="2367"/>
      <c r="AV2" s="2367"/>
      <c r="AW2" s="2367"/>
      <c r="AX2" s="2367"/>
      <c r="AY2" s="2367"/>
      <c r="AZ2" s="2367"/>
      <c r="BA2" s="2367"/>
      <c r="BB2" s="2367"/>
      <c r="BC2" s="2367"/>
      <c r="BD2" s="2367"/>
      <c r="BE2" s="2367"/>
      <c r="BF2" s="2367"/>
      <c r="BG2" s="2367"/>
      <c r="BH2" s="2367"/>
      <c r="BI2" s="2367"/>
      <c r="BJ2" s="2367"/>
      <c r="BK2" s="2367"/>
      <c r="BL2" s="2367"/>
      <c r="BM2" s="2367"/>
      <c r="BN2" s="2367"/>
      <c r="BO2" s="2367"/>
      <c r="BP2" s="2367"/>
      <c r="BQ2" s="2367"/>
      <c r="BR2" s="2367"/>
      <c r="BS2" s="2368"/>
      <c r="BT2" s="1" t="s">
        <v>2</v>
      </c>
      <c r="BU2" s="2233" t="s">
        <v>3</v>
      </c>
      <c r="BV2" s="2"/>
      <c r="BW2" s="2"/>
      <c r="BX2" s="2"/>
      <c r="BY2" s="2"/>
      <c r="BZ2" s="2"/>
      <c r="CA2" s="2"/>
      <c r="CB2" s="2"/>
      <c r="CC2" s="2"/>
      <c r="CD2" s="2"/>
      <c r="CE2" s="2"/>
      <c r="CF2" s="2"/>
      <c r="CG2" s="2"/>
      <c r="CH2" s="2"/>
      <c r="CI2" s="2"/>
      <c r="CJ2" s="2"/>
      <c r="CK2" s="2"/>
      <c r="CL2" s="2"/>
      <c r="CM2" s="2"/>
      <c r="CN2" s="2"/>
    </row>
    <row r="3" spans="1:92" ht="15.75" x14ac:dyDescent="0.25">
      <c r="A3" s="2367"/>
      <c r="B3" s="2367"/>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7"/>
      <c r="AH3" s="2367"/>
      <c r="AI3" s="2367"/>
      <c r="AJ3" s="2367"/>
      <c r="AK3" s="2367"/>
      <c r="AL3" s="2367"/>
      <c r="AM3" s="2367"/>
      <c r="AN3" s="2367"/>
      <c r="AO3" s="2367"/>
      <c r="AP3" s="2367"/>
      <c r="AQ3" s="2367"/>
      <c r="AR3" s="2367"/>
      <c r="AS3" s="2367"/>
      <c r="AT3" s="2367"/>
      <c r="AU3" s="2367"/>
      <c r="AV3" s="2367"/>
      <c r="AW3" s="2367"/>
      <c r="AX3" s="2367"/>
      <c r="AY3" s="2367"/>
      <c r="AZ3" s="2367"/>
      <c r="BA3" s="2367"/>
      <c r="BB3" s="2367"/>
      <c r="BC3" s="2367"/>
      <c r="BD3" s="2367"/>
      <c r="BE3" s="2367"/>
      <c r="BF3" s="2367"/>
      <c r="BG3" s="2367"/>
      <c r="BH3" s="2367"/>
      <c r="BI3" s="2367"/>
      <c r="BJ3" s="2367"/>
      <c r="BK3" s="2367"/>
      <c r="BL3" s="2367"/>
      <c r="BM3" s="2367"/>
      <c r="BN3" s="2367"/>
      <c r="BO3" s="2367"/>
      <c r="BP3" s="2367"/>
      <c r="BQ3" s="2367"/>
      <c r="BR3" s="2367"/>
      <c r="BS3" s="2368"/>
      <c r="BT3" s="1" t="s">
        <v>4</v>
      </c>
      <c r="BU3" s="2234">
        <v>44266</v>
      </c>
      <c r="BV3" s="2"/>
      <c r="BW3" s="2"/>
      <c r="BX3" s="2"/>
      <c r="BY3" s="2"/>
      <c r="BZ3" s="2"/>
      <c r="CA3" s="2"/>
      <c r="CB3" s="2"/>
      <c r="CC3" s="2"/>
      <c r="CD3" s="2"/>
      <c r="CE3" s="2"/>
      <c r="CF3" s="2"/>
      <c r="CG3" s="2"/>
      <c r="CH3" s="2"/>
      <c r="CI3" s="2"/>
      <c r="CJ3" s="2"/>
      <c r="CK3" s="2"/>
      <c r="CL3" s="2"/>
      <c r="CM3" s="2"/>
      <c r="CN3" s="2"/>
    </row>
    <row r="4" spans="1:92" ht="15.75" x14ac:dyDescent="0.25">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9"/>
      <c r="BT4" s="1" t="s">
        <v>5</v>
      </c>
      <c r="BU4" s="5" t="s">
        <v>6</v>
      </c>
      <c r="BV4" s="2"/>
      <c r="BW4" s="2"/>
      <c r="BX4" s="2"/>
      <c r="BY4" s="2"/>
      <c r="BZ4" s="2"/>
      <c r="CA4" s="2"/>
      <c r="CB4" s="2"/>
      <c r="CC4" s="2"/>
      <c r="CD4" s="2"/>
      <c r="CE4" s="2"/>
      <c r="CF4" s="2"/>
      <c r="CG4" s="2"/>
      <c r="CH4" s="2"/>
      <c r="CI4" s="2"/>
      <c r="CJ4" s="2"/>
      <c r="CK4" s="2"/>
      <c r="CL4" s="2"/>
      <c r="CM4" s="2"/>
      <c r="CN4" s="2"/>
    </row>
    <row r="5" spans="1:92" ht="15.75" x14ac:dyDescent="0.25">
      <c r="A5" s="2362" t="s">
        <v>7</v>
      </c>
      <c r="B5" s="2363"/>
      <c r="C5" s="2363"/>
      <c r="D5" s="2363"/>
      <c r="E5" s="2363"/>
      <c r="F5" s="2363"/>
      <c r="G5" s="2363"/>
      <c r="H5" s="2363"/>
      <c r="I5" s="2363"/>
      <c r="J5" s="2363"/>
      <c r="K5" s="2363"/>
      <c r="L5" s="2363"/>
      <c r="M5" s="2363"/>
      <c r="N5" s="2363"/>
      <c r="O5" s="2363"/>
      <c r="P5" s="2363"/>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row>
    <row r="6" spans="1:92" ht="16.5" thickBot="1" x14ac:dyDescent="0.3">
      <c r="A6" s="2364"/>
      <c r="B6" s="2365"/>
      <c r="C6" s="2365"/>
      <c r="D6" s="2365"/>
      <c r="E6" s="2365"/>
      <c r="F6" s="2365"/>
      <c r="G6" s="2365"/>
      <c r="H6" s="2365"/>
      <c r="I6" s="2365"/>
      <c r="J6" s="2365"/>
      <c r="K6" s="2365"/>
      <c r="L6" s="2365"/>
      <c r="M6" s="2365"/>
      <c r="N6" s="2365"/>
      <c r="O6" s="2365"/>
      <c r="P6" s="2365"/>
      <c r="Q6" s="7"/>
      <c r="R6" s="8"/>
      <c r="S6" s="7"/>
      <c r="T6" s="7"/>
      <c r="U6" s="8"/>
      <c r="V6" s="8"/>
      <c r="W6" s="8"/>
      <c r="X6" s="7"/>
      <c r="Y6" s="7"/>
      <c r="Z6" s="7"/>
      <c r="AA6" s="7"/>
      <c r="AB6" s="7"/>
      <c r="AC6" s="7"/>
      <c r="AD6" s="2371" t="s">
        <v>8</v>
      </c>
      <c r="AE6" s="2367"/>
      <c r="AF6" s="2367"/>
      <c r="AG6" s="2367"/>
      <c r="AH6" s="2367"/>
      <c r="AI6" s="2367"/>
      <c r="AJ6" s="2367"/>
      <c r="AK6" s="2367"/>
      <c r="AL6" s="2367"/>
      <c r="AM6" s="2367"/>
      <c r="AN6" s="2367"/>
      <c r="AO6" s="2367"/>
      <c r="AP6" s="2367"/>
      <c r="AQ6" s="2367"/>
      <c r="AR6" s="2367"/>
      <c r="AS6" s="2367"/>
      <c r="AT6" s="2367"/>
      <c r="AU6" s="2367"/>
      <c r="AV6" s="2367"/>
      <c r="AW6" s="2367"/>
      <c r="AX6" s="2367"/>
      <c r="AY6" s="2367"/>
      <c r="AZ6" s="2367"/>
      <c r="BA6" s="2367"/>
      <c r="BB6" s="2367"/>
      <c r="BC6" s="2367"/>
      <c r="BD6" s="2367"/>
      <c r="BE6" s="2367"/>
      <c r="BF6" s="2368"/>
      <c r="BG6" s="7"/>
      <c r="BH6" s="7"/>
      <c r="BI6" s="7"/>
      <c r="BJ6" s="7"/>
      <c r="BK6" s="7"/>
      <c r="BL6" s="7"/>
      <c r="BM6" s="7"/>
      <c r="BN6" s="7"/>
      <c r="BO6" s="7"/>
      <c r="BP6" s="7"/>
      <c r="BQ6" s="7"/>
      <c r="BR6" s="7"/>
      <c r="BS6" s="7"/>
      <c r="BT6" s="7"/>
      <c r="BU6" s="9"/>
      <c r="BV6" s="2"/>
      <c r="BW6" s="2"/>
      <c r="BX6" s="2"/>
      <c r="BY6" s="2"/>
      <c r="BZ6" s="2"/>
      <c r="CA6" s="2"/>
      <c r="CB6" s="2"/>
      <c r="CC6" s="2"/>
      <c r="CD6" s="2"/>
      <c r="CE6" s="2"/>
      <c r="CF6" s="2"/>
      <c r="CG6" s="2"/>
      <c r="CH6" s="2"/>
      <c r="CI6" s="2"/>
      <c r="CJ6" s="2"/>
      <c r="CK6" s="2"/>
      <c r="CL6" s="2"/>
      <c r="CM6" s="2"/>
      <c r="CN6" s="2"/>
    </row>
    <row r="7" spans="1:92" ht="15.75" x14ac:dyDescent="0.25">
      <c r="A7" s="2372" t="s">
        <v>9</v>
      </c>
      <c r="B7" s="2372"/>
      <c r="C7" s="2372" t="s">
        <v>10</v>
      </c>
      <c r="D7" s="2372"/>
      <c r="E7" s="2372" t="s">
        <v>11</v>
      </c>
      <c r="F7" s="2372"/>
      <c r="G7" s="2372" t="s">
        <v>12</v>
      </c>
      <c r="H7" s="2372"/>
      <c r="I7" s="2372"/>
      <c r="J7" s="2372"/>
      <c r="K7" s="2372" t="s">
        <v>13</v>
      </c>
      <c r="L7" s="2372"/>
      <c r="M7" s="2372"/>
      <c r="N7" s="2372"/>
      <c r="O7" s="2372" t="s">
        <v>14</v>
      </c>
      <c r="P7" s="2372"/>
      <c r="Q7" s="2372"/>
      <c r="R7" s="2372"/>
      <c r="S7" s="2372"/>
      <c r="T7" s="2372"/>
      <c r="U7" s="2372"/>
      <c r="V7" s="2372"/>
      <c r="W7" s="2372"/>
      <c r="X7" s="2372"/>
      <c r="Y7" s="10"/>
      <c r="Z7" s="10"/>
      <c r="AA7" s="2372" t="s">
        <v>15</v>
      </c>
      <c r="AB7" s="2372"/>
      <c r="AC7" s="2372"/>
      <c r="AD7" s="2349" t="s">
        <v>16</v>
      </c>
      <c r="AE7" s="2350"/>
      <c r="AF7" s="2350"/>
      <c r="AG7" s="2351"/>
      <c r="AH7" s="2352" t="s">
        <v>17</v>
      </c>
      <c r="AI7" s="2353"/>
      <c r="AJ7" s="2353"/>
      <c r="AK7" s="2353"/>
      <c r="AL7" s="2353"/>
      <c r="AM7" s="2353"/>
      <c r="AN7" s="2353"/>
      <c r="AO7" s="2354"/>
      <c r="AP7" s="2355" t="s">
        <v>18</v>
      </c>
      <c r="AQ7" s="2355"/>
      <c r="AR7" s="2355"/>
      <c r="AS7" s="2355"/>
      <c r="AT7" s="2355"/>
      <c r="AU7" s="2355"/>
      <c r="AV7" s="2355"/>
      <c r="AW7" s="2355"/>
      <c r="AX7" s="2355"/>
      <c r="AY7" s="2355"/>
      <c r="AZ7" s="2355"/>
      <c r="BA7" s="2355"/>
      <c r="BB7" s="2356" t="s">
        <v>19</v>
      </c>
      <c r="BC7" s="2356"/>
      <c r="BD7" s="2356"/>
      <c r="BE7" s="2356"/>
      <c r="BF7" s="2356"/>
      <c r="BG7" s="2356"/>
      <c r="BH7" s="2357" t="s">
        <v>20</v>
      </c>
      <c r="BI7" s="2357"/>
      <c r="BJ7" s="2373" t="s">
        <v>21</v>
      </c>
      <c r="BK7" s="2374"/>
      <c r="BL7" s="2374"/>
      <c r="BM7" s="2374"/>
      <c r="BN7" s="2374"/>
      <c r="BO7" s="2374"/>
      <c r="BP7" s="2375"/>
      <c r="BQ7" s="2376" t="s">
        <v>22</v>
      </c>
      <c r="BR7" s="2377"/>
      <c r="BS7" s="2376" t="s">
        <v>23</v>
      </c>
      <c r="BT7" s="2377"/>
      <c r="BU7" s="2380" t="s">
        <v>24</v>
      </c>
      <c r="BV7" s="2"/>
      <c r="BW7" s="2"/>
      <c r="BX7" s="2"/>
      <c r="BY7" s="2"/>
      <c r="BZ7" s="2"/>
      <c r="CA7" s="2"/>
      <c r="CB7" s="2"/>
      <c r="CC7" s="2"/>
      <c r="CD7" s="2"/>
      <c r="CE7" s="2"/>
      <c r="CF7" s="2"/>
      <c r="CG7" s="2"/>
      <c r="CH7" s="2"/>
      <c r="CI7" s="2"/>
      <c r="CJ7" s="2"/>
      <c r="CK7" s="2"/>
      <c r="CL7" s="2"/>
      <c r="CM7" s="2"/>
      <c r="CN7" s="2"/>
    </row>
    <row r="8" spans="1:92" ht="151.5" customHeight="1" x14ac:dyDescent="0.25">
      <c r="A8" s="2343" t="s">
        <v>25</v>
      </c>
      <c r="B8" s="2343" t="s">
        <v>26</v>
      </c>
      <c r="C8" s="2343" t="s">
        <v>25</v>
      </c>
      <c r="D8" s="2343" t="s">
        <v>26</v>
      </c>
      <c r="E8" s="2343" t="s">
        <v>25</v>
      </c>
      <c r="F8" s="2343" t="s">
        <v>26</v>
      </c>
      <c r="G8" s="2343" t="s">
        <v>27</v>
      </c>
      <c r="H8" s="2343" t="s">
        <v>28</v>
      </c>
      <c r="I8" s="2343" t="s">
        <v>29</v>
      </c>
      <c r="J8" s="2343" t="s">
        <v>30</v>
      </c>
      <c r="K8" s="2343" t="s">
        <v>27</v>
      </c>
      <c r="L8" s="2343" t="s">
        <v>31</v>
      </c>
      <c r="M8" s="2343" t="s">
        <v>32</v>
      </c>
      <c r="N8" s="2343" t="s">
        <v>33</v>
      </c>
      <c r="O8" s="2347" t="s">
        <v>34</v>
      </c>
      <c r="P8" s="2348"/>
      <c r="Q8" s="2343" t="s">
        <v>35</v>
      </c>
      <c r="R8" s="2343" t="s">
        <v>36</v>
      </c>
      <c r="S8" s="2343" t="s">
        <v>37</v>
      </c>
      <c r="T8" s="2343" t="s">
        <v>38</v>
      </c>
      <c r="U8" s="2343" t="s">
        <v>39</v>
      </c>
      <c r="V8" s="2343" t="s">
        <v>40</v>
      </c>
      <c r="W8" s="2343" t="s">
        <v>41</v>
      </c>
      <c r="X8" s="2344" t="s">
        <v>42</v>
      </c>
      <c r="Y8" s="2344"/>
      <c r="Z8" s="2344"/>
      <c r="AA8" s="2345" t="s">
        <v>43</v>
      </c>
      <c r="AB8" s="11" t="s">
        <v>44</v>
      </c>
      <c r="AC8" s="12" t="s">
        <v>26</v>
      </c>
      <c r="AD8" s="2358" t="s">
        <v>45</v>
      </c>
      <c r="AE8" s="2359"/>
      <c r="AF8" s="2341" t="s">
        <v>46</v>
      </c>
      <c r="AG8" s="2342"/>
      <c r="AH8" s="2341" t="s">
        <v>47</v>
      </c>
      <c r="AI8" s="2342"/>
      <c r="AJ8" s="2341" t="s">
        <v>48</v>
      </c>
      <c r="AK8" s="2342"/>
      <c r="AL8" s="2341" t="s">
        <v>49</v>
      </c>
      <c r="AM8" s="2342"/>
      <c r="AN8" s="2341" t="s">
        <v>50</v>
      </c>
      <c r="AO8" s="2342"/>
      <c r="AP8" s="2340" t="s">
        <v>51</v>
      </c>
      <c r="AQ8" s="2340"/>
      <c r="AR8" s="2340" t="s">
        <v>52</v>
      </c>
      <c r="AS8" s="2340"/>
      <c r="AT8" s="2340" t="s">
        <v>53</v>
      </c>
      <c r="AU8" s="2340"/>
      <c r="AV8" s="2340" t="s">
        <v>54</v>
      </c>
      <c r="AW8" s="2340"/>
      <c r="AX8" s="2340" t="s">
        <v>55</v>
      </c>
      <c r="AY8" s="2340"/>
      <c r="AZ8" s="2340" t="s">
        <v>56</v>
      </c>
      <c r="BA8" s="2340"/>
      <c r="BB8" s="2340" t="s">
        <v>57</v>
      </c>
      <c r="BC8" s="2340"/>
      <c r="BD8" s="2340" t="s">
        <v>58</v>
      </c>
      <c r="BE8" s="2340"/>
      <c r="BF8" s="2340" t="s">
        <v>59</v>
      </c>
      <c r="BG8" s="2340"/>
      <c r="BH8" s="2357"/>
      <c r="BI8" s="2357"/>
      <c r="BJ8" s="2332" t="s">
        <v>60</v>
      </c>
      <c r="BK8" s="2331" t="s">
        <v>61</v>
      </c>
      <c r="BL8" s="2332" t="s">
        <v>62</v>
      </c>
      <c r="BM8" s="2333" t="s">
        <v>63</v>
      </c>
      <c r="BN8" s="2334" t="s">
        <v>64</v>
      </c>
      <c r="BO8" s="2335"/>
      <c r="BP8" s="2336" t="s">
        <v>65</v>
      </c>
      <c r="BQ8" s="2378"/>
      <c r="BR8" s="2379"/>
      <c r="BS8" s="2378"/>
      <c r="BT8" s="2379"/>
      <c r="BU8" s="2381"/>
      <c r="BV8" s="2"/>
      <c r="BW8" s="2"/>
      <c r="BX8" s="2"/>
      <c r="BY8" s="2"/>
      <c r="BZ8" s="2"/>
      <c r="CA8" s="2"/>
      <c r="CB8" s="2"/>
      <c r="CC8" s="2"/>
      <c r="CD8" s="2"/>
      <c r="CE8" s="2"/>
      <c r="CF8" s="2"/>
      <c r="CG8" s="2"/>
      <c r="CH8" s="2"/>
      <c r="CI8" s="2"/>
      <c r="CJ8" s="2"/>
      <c r="CK8" s="2"/>
      <c r="CL8" s="2"/>
      <c r="CM8" s="2"/>
      <c r="CN8" s="2"/>
    </row>
    <row r="9" spans="1:92" ht="15.75" x14ac:dyDescent="0.25">
      <c r="A9" s="2343"/>
      <c r="B9" s="2343"/>
      <c r="C9" s="2343"/>
      <c r="D9" s="2343"/>
      <c r="E9" s="2343"/>
      <c r="F9" s="2343"/>
      <c r="G9" s="2343"/>
      <c r="H9" s="2343"/>
      <c r="I9" s="2343"/>
      <c r="J9" s="2343"/>
      <c r="K9" s="2343"/>
      <c r="L9" s="2343"/>
      <c r="M9" s="2343"/>
      <c r="N9" s="2343"/>
      <c r="O9" s="13" t="s">
        <v>66</v>
      </c>
      <c r="P9" s="13" t="s">
        <v>67</v>
      </c>
      <c r="Q9" s="2343"/>
      <c r="R9" s="2343"/>
      <c r="S9" s="2343"/>
      <c r="T9" s="2343"/>
      <c r="U9" s="2343"/>
      <c r="V9" s="2343"/>
      <c r="W9" s="2343"/>
      <c r="X9" s="14" t="s">
        <v>68</v>
      </c>
      <c r="Y9" s="14" t="s">
        <v>69</v>
      </c>
      <c r="Z9" s="14" t="s">
        <v>70</v>
      </c>
      <c r="AA9" s="2346"/>
      <c r="AB9" s="11"/>
      <c r="AC9" s="12"/>
      <c r="AD9" s="13" t="s">
        <v>66</v>
      </c>
      <c r="AE9" s="13" t="s">
        <v>67</v>
      </c>
      <c r="AF9" s="13" t="s">
        <v>66</v>
      </c>
      <c r="AG9" s="13" t="s">
        <v>67</v>
      </c>
      <c r="AH9" s="13" t="s">
        <v>66</v>
      </c>
      <c r="AI9" s="13" t="s">
        <v>67</v>
      </c>
      <c r="AJ9" s="13" t="s">
        <v>66</v>
      </c>
      <c r="AK9" s="13" t="s">
        <v>67</v>
      </c>
      <c r="AL9" s="13" t="s">
        <v>66</v>
      </c>
      <c r="AM9" s="13" t="s">
        <v>67</v>
      </c>
      <c r="AN9" s="13" t="s">
        <v>66</v>
      </c>
      <c r="AO9" s="13" t="s">
        <v>67</v>
      </c>
      <c r="AP9" s="13" t="s">
        <v>66</v>
      </c>
      <c r="AQ9" s="13" t="s">
        <v>67</v>
      </c>
      <c r="AR9" s="13" t="s">
        <v>66</v>
      </c>
      <c r="AS9" s="13" t="s">
        <v>67</v>
      </c>
      <c r="AT9" s="13" t="s">
        <v>66</v>
      </c>
      <c r="AU9" s="13" t="s">
        <v>67</v>
      </c>
      <c r="AV9" s="13" t="s">
        <v>66</v>
      </c>
      <c r="AW9" s="13" t="s">
        <v>67</v>
      </c>
      <c r="AX9" s="13" t="s">
        <v>66</v>
      </c>
      <c r="AY9" s="13" t="s">
        <v>67</v>
      </c>
      <c r="AZ9" s="13" t="s">
        <v>66</v>
      </c>
      <c r="BA9" s="13" t="s">
        <v>67</v>
      </c>
      <c r="BB9" s="13" t="s">
        <v>66</v>
      </c>
      <c r="BC9" s="13" t="s">
        <v>67</v>
      </c>
      <c r="BD9" s="13" t="s">
        <v>66</v>
      </c>
      <c r="BE9" s="13" t="s">
        <v>67</v>
      </c>
      <c r="BF9" s="13" t="s">
        <v>66</v>
      </c>
      <c r="BG9" s="13" t="s">
        <v>67</v>
      </c>
      <c r="BH9" s="13" t="s">
        <v>66</v>
      </c>
      <c r="BI9" s="13" t="s">
        <v>67</v>
      </c>
      <c r="BJ9" s="2332"/>
      <c r="BK9" s="2331"/>
      <c r="BL9" s="2332"/>
      <c r="BM9" s="2333"/>
      <c r="BN9" s="15" t="s">
        <v>25</v>
      </c>
      <c r="BO9" s="16" t="s">
        <v>26</v>
      </c>
      <c r="BP9" s="2337"/>
      <c r="BQ9" s="17" t="s">
        <v>66</v>
      </c>
      <c r="BR9" s="17" t="s">
        <v>67</v>
      </c>
      <c r="BS9" s="17" t="s">
        <v>66</v>
      </c>
      <c r="BT9" s="17" t="s">
        <v>67</v>
      </c>
      <c r="BU9" s="2382"/>
      <c r="BV9" s="2"/>
      <c r="BW9" s="2"/>
      <c r="BX9" s="2"/>
      <c r="BY9" s="2"/>
      <c r="BZ9" s="2"/>
      <c r="CA9" s="2"/>
      <c r="CB9" s="2"/>
      <c r="CC9" s="2"/>
      <c r="CD9" s="2"/>
      <c r="CE9" s="2"/>
      <c r="CF9" s="2"/>
      <c r="CG9" s="2"/>
      <c r="CH9" s="2"/>
      <c r="CI9" s="2"/>
      <c r="CJ9" s="2"/>
      <c r="CK9" s="2"/>
      <c r="CL9" s="2"/>
      <c r="CM9" s="2"/>
      <c r="CN9" s="2"/>
    </row>
    <row r="10" spans="1:92" s="28" customFormat="1" ht="15.75" x14ac:dyDescent="0.25">
      <c r="A10" s="18">
        <v>4</v>
      </c>
      <c r="B10" s="2338" t="s">
        <v>71</v>
      </c>
      <c r="C10" s="2339"/>
      <c r="D10" s="2339"/>
      <c r="E10" s="2339"/>
      <c r="F10" s="2339"/>
      <c r="G10" s="2339"/>
      <c r="H10" s="2339"/>
      <c r="I10" s="19"/>
      <c r="J10" s="20"/>
      <c r="K10" s="19"/>
      <c r="L10" s="20"/>
      <c r="M10" s="19"/>
      <c r="N10" s="20"/>
      <c r="O10" s="20"/>
      <c r="P10" s="20"/>
      <c r="Q10" s="19"/>
      <c r="R10" s="20"/>
      <c r="S10" s="21"/>
      <c r="T10" s="22"/>
      <c r="U10" s="23"/>
      <c r="V10" s="20"/>
      <c r="W10" s="20"/>
      <c r="X10" s="20"/>
      <c r="Y10" s="20"/>
      <c r="Z10" s="20"/>
      <c r="AA10" s="19"/>
      <c r="AB10" s="24"/>
      <c r="AC10" s="25"/>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26"/>
      <c r="BT10" s="26"/>
      <c r="BU10" s="27"/>
      <c r="BV10" s="2"/>
      <c r="BW10" s="2"/>
      <c r="BX10" s="2"/>
      <c r="BY10" s="2"/>
      <c r="BZ10" s="2"/>
      <c r="CA10" s="2"/>
      <c r="CB10" s="2"/>
      <c r="CC10" s="2"/>
      <c r="CD10" s="2"/>
      <c r="CE10" s="2"/>
      <c r="CF10" s="2"/>
      <c r="CG10" s="2"/>
      <c r="CH10" s="2"/>
      <c r="CI10" s="2"/>
      <c r="CJ10" s="2"/>
      <c r="CK10" s="2"/>
      <c r="CL10" s="2"/>
    </row>
    <row r="11" spans="1:92" s="42" customFormat="1" ht="15.75" x14ac:dyDescent="0.25">
      <c r="A11" s="29"/>
      <c r="B11" s="30"/>
      <c r="C11" s="31">
        <v>45</v>
      </c>
      <c r="D11" s="2323" t="s">
        <v>72</v>
      </c>
      <c r="E11" s="2324"/>
      <c r="F11" s="2324"/>
      <c r="G11" s="2324"/>
      <c r="H11" s="2324"/>
      <c r="I11" s="2324"/>
      <c r="J11" s="32"/>
      <c r="K11" s="33"/>
      <c r="L11" s="32"/>
      <c r="M11" s="33"/>
      <c r="N11" s="32"/>
      <c r="O11" s="33"/>
      <c r="P11" s="33"/>
      <c r="Q11" s="33"/>
      <c r="R11" s="32"/>
      <c r="S11" s="34"/>
      <c r="T11" s="35"/>
      <c r="U11" s="36"/>
      <c r="V11" s="32"/>
      <c r="W11" s="32"/>
      <c r="X11" s="33"/>
      <c r="Y11" s="33"/>
      <c r="Z11" s="33"/>
      <c r="AA11" s="33"/>
      <c r="AB11" s="37"/>
      <c r="AC11" s="38"/>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9"/>
      <c r="BT11" s="39"/>
      <c r="BU11" s="40"/>
      <c r="BV11" s="41"/>
      <c r="BW11" s="41"/>
      <c r="BX11" s="41"/>
      <c r="BY11" s="41"/>
      <c r="BZ11" s="41"/>
      <c r="CA11" s="41"/>
      <c r="CB11" s="41"/>
      <c r="CC11" s="41"/>
      <c r="CD11" s="41"/>
      <c r="CE11" s="41"/>
      <c r="CF11" s="41"/>
      <c r="CG11" s="41"/>
      <c r="CH11" s="41"/>
      <c r="CI11" s="41"/>
      <c r="CJ11" s="41"/>
      <c r="CK11" s="41"/>
      <c r="CL11" s="41"/>
    </row>
    <row r="12" spans="1:92" ht="15.75" x14ac:dyDescent="0.25">
      <c r="A12" s="43"/>
      <c r="B12" s="44"/>
      <c r="C12" s="45"/>
      <c r="D12" s="46"/>
      <c r="E12" s="47">
        <v>4599</v>
      </c>
      <c r="F12" s="48" t="s">
        <v>73</v>
      </c>
      <c r="G12" s="49"/>
      <c r="H12" s="50"/>
      <c r="I12" s="49"/>
      <c r="J12" s="50"/>
      <c r="K12" s="49"/>
      <c r="L12" s="50"/>
      <c r="M12" s="51"/>
      <c r="N12" s="52"/>
      <c r="O12" s="53"/>
      <c r="P12" s="53"/>
      <c r="Q12" s="53"/>
      <c r="R12" s="54"/>
      <c r="S12" s="55"/>
      <c r="T12" s="56"/>
      <c r="U12" s="52"/>
      <c r="V12" s="52"/>
      <c r="W12" s="52"/>
      <c r="X12" s="56"/>
      <c r="Y12" s="56"/>
      <c r="Z12" s="56"/>
      <c r="AA12" s="57"/>
      <c r="AB12" s="58"/>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9"/>
      <c r="BR12" s="59"/>
      <c r="BS12" s="59"/>
      <c r="BT12" s="59"/>
      <c r="BU12" s="60"/>
      <c r="BV12" s="28"/>
      <c r="BW12" s="61"/>
      <c r="BX12" s="2"/>
      <c r="BY12" s="2"/>
      <c r="BZ12" s="2"/>
      <c r="CA12" s="2"/>
      <c r="CB12" s="2"/>
      <c r="CC12" s="2"/>
      <c r="CD12" s="2"/>
      <c r="CE12" s="2"/>
      <c r="CF12" s="2"/>
      <c r="CG12" s="2"/>
      <c r="CH12" s="2"/>
      <c r="CI12" s="2"/>
      <c r="CJ12" s="2"/>
      <c r="CK12" s="2"/>
      <c r="CL12" s="2"/>
    </row>
    <row r="13" spans="1:92" s="70" customFormat="1" ht="60" x14ac:dyDescent="0.25">
      <c r="A13" s="43"/>
      <c r="B13" s="44"/>
      <c r="C13" s="43"/>
      <c r="D13" s="44"/>
      <c r="E13" s="62"/>
      <c r="F13" s="63"/>
      <c r="G13" s="2325" t="s">
        <v>74</v>
      </c>
      <c r="H13" s="2328" t="s">
        <v>75</v>
      </c>
      <c r="I13" s="2300">
        <v>4599023</v>
      </c>
      <c r="J13" s="2298" t="s">
        <v>76</v>
      </c>
      <c r="K13" s="2316" t="s">
        <v>74</v>
      </c>
      <c r="L13" s="2257" t="s">
        <v>77</v>
      </c>
      <c r="M13" s="2316">
        <v>459902300</v>
      </c>
      <c r="N13" s="2298" t="s">
        <v>78</v>
      </c>
      <c r="O13" s="2317">
        <v>5</v>
      </c>
      <c r="P13" s="2320">
        <v>5</v>
      </c>
      <c r="Q13" s="2321" t="s">
        <v>79</v>
      </c>
      <c r="R13" s="2312" t="s">
        <v>80</v>
      </c>
      <c r="S13" s="2292">
        <f>SUM(X13:X15)/T13</f>
        <v>1</v>
      </c>
      <c r="T13" s="2315">
        <f>SUM(X13:X15)</f>
        <v>36000000</v>
      </c>
      <c r="U13" s="2257" t="s">
        <v>81</v>
      </c>
      <c r="V13" s="2257" t="s">
        <v>82</v>
      </c>
      <c r="W13" s="64" t="s">
        <v>83</v>
      </c>
      <c r="X13" s="65">
        <v>24945000</v>
      </c>
      <c r="Y13" s="65">
        <v>18585000</v>
      </c>
      <c r="Z13" s="65">
        <v>18585000</v>
      </c>
      <c r="AA13" s="66" t="s">
        <v>84</v>
      </c>
      <c r="AB13" s="67">
        <v>20</v>
      </c>
      <c r="AC13" s="68" t="s">
        <v>85</v>
      </c>
      <c r="AD13" s="2306">
        <v>295972</v>
      </c>
      <c r="AE13" s="2306">
        <v>295972</v>
      </c>
      <c r="AF13" s="2306">
        <v>285580</v>
      </c>
      <c r="AG13" s="2306">
        <v>285580</v>
      </c>
      <c r="AH13" s="2306">
        <v>135545</v>
      </c>
      <c r="AI13" s="2306">
        <v>135545</v>
      </c>
      <c r="AJ13" s="2306">
        <v>44254</v>
      </c>
      <c r="AK13" s="2306">
        <v>44254</v>
      </c>
      <c r="AL13" s="2306">
        <v>309146</v>
      </c>
      <c r="AM13" s="2306">
        <v>309146</v>
      </c>
      <c r="AN13" s="2309">
        <v>92607</v>
      </c>
      <c r="AO13" s="2309">
        <v>92607</v>
      </c>
      <c r="AP13" s="2306">
        <v>2145</v>
      </c>
      <c r="AQ13" s="2306">
        <v>2145</v>
      </c>
      <c r="AR13" s="2306">
        <v>12718</v>
      </c>
      <c r="AS13" s="2306">
        <v>12718</v>
      </c>
      <c r="AT13" s="2306">
        <v>26</v>
      </c>
      <c r="AU13" s="2306">
        <v>26</v>
      </c>
      <c r="AV13" s="2306">
        <v>37</v>
      </c>
      <c r="AW13" s="2306">
        <v>37</v>
      </c>
      <c r="AX13" s="2306">
        <v>0</v>
      </c>
      <c r="AY13" s="2306">
        <v>0</v>
      </c>
      <c r="AZ13" s="2306">
        <v>0</v>
      </c>
      <c r="BA13" s="2306">
        <v>0</v>
      </c>
      <c r="BB13" s="2306">
        <v>0</v>
      </c>
      <c r="BC13" s="2306">
        <v>0</v>
      </c>
      <c r="BD13" s="2306">
        <v>21944</v>
      </c>
      <c r="BE13" s="2306">
        <v>21944</v>
      </c>
      <c r="BF13" s="2306">
        <v>75687</v>
      </c>
      <c r="BG13" s="2306">
        <v>75687</v>
      </c>
      <c r="BH13" s="2306">
        <v>581552</v>
      </c>
      <c r="BI13" s="2306">
        <v>581552</v>
      </c>
      <c r="BJ13" s="2284">
        <v>4</v>
      </c>
      <c r="BK13" s="2308">
        <f>+Y13+Y14+Y15</f>
        <v>29640000</v>
      </c>
      <c r="BL13" s="2308">
        <f>+Z13+Z14+Z15</f>
        <v>29640000</v>
      </c>
      <c r="BM13" s="2246">
        <f>+BL13/BK13</f>
        <v>1</v>
      </c>
      <c r="BN13" s="2284">
        <v>20</v>
      </c>
      <c r="BO13" s="2284" t="s">
        <v>86</v>
      </c>
      <c r="BP13" s="2305" t="s">
        <v>87</v>
      </c>
      <c r="BQ13" s="2249">
        <v>44211</v>
      </c>
      <c r="BR13" s="2241">
        <v>44340</v>
      </c>
      <c r="BS13" s="2240" t="s">
        <v>88</v>
      </c>
      <c r="BT13" s="2241">
        <v>44499</v>
      </c>
      <c r="BU13" s="2270" t="s">
        <v>89</v>
      </c>
      <c r="BV13" s="69"/>
      <c r="BW13" s="69"/>
    </row>
    <row r="14" spans="1:92" s="70" customFormat="1" ht="30" x14ac:dyDescent="0.25">
      <c r="A14" s="43"/>
      <c r="B14" s="44"/>
      <c r="C14" s="43"/>
      <c r="D14" s="44"/>
      <c r="E14" s="62"/>
      <c r="F14" s="62"/>
      <c r="G14" s="2326"/>
      <c r="H14" s="2329"/>
      <c r="I14" s="2300"/>
      <c r="J14" s="2298"/>
      <c r="K14" s="2316"/>
      <c r="L14" s="2257"/>
      <c r="M14" s="2316"/>
      <c r="N14" s="2298"/>
      <c r="O14" s="2318"/>
      <c r="P14" s="2318"/>
      <c r="Q14" s="2321"/>
      <c r="R14" s="2313"/>
      <c r="S14" s="2292"/>
      <c r="T14" s="2315"/>
      <c r="U14" s="2257"/>
      <c r="V14" s="2257"/>
      <c r="W14" s="64" t="s">
        <v>90</v>
      </c>
      <c r="X14" s="65">
        <v>5400000</v>
      </c>
      <c r="Y14" s="65">
        <v>5400000</v>
      </c>
      <c r="Z14" s="65">
        <v>5400000</v>
      </c>
      <c r="AA14" s="66" t="s">
        <v>84</v>
      </c>
      <c r="AB14" s="67">
        <v>20</v>
      </c>
      <c r="AC14" s="68" t="s">
        <v>86</v>
      </c>
      <c r="AD14" s="2307"/>
      <c r="AE14" s="2307"/>
      <c r="AF14" s="2307"/>
      <c r="AG14" s="2307"/>
      <c r="AH14" s="2307"/>
      <c r="AI14" s="2307"/>
      <c r="AJ14" s="2307"/>
      <c r="AK14" s="2307"/>
      <c r="AL14" s="2307"/>
      <c r="AM14" s="2307"/>
      <c r="AN14" s="2310"/>
      <c r="AO14" s="2310"/>
      <c r="AP14" s="2307"/>
      <c r="AQ14" s="2307"/>
      <c r="AR14" s="2307"/>
      <c r="AS14" s="2307"/>
      <c r="AT14" s="2307"/>
      <c r="AU14" s="2307"/>
      <c r="AV14" s="2307"/>
      <c r="AW14" s="2307"/>
      <c r="AX14" s="2307"/>
      <c r="AY14" s="2307"/>
      <c r="AZ14" s="2307"/>
      <c r="BA14" s="2307"/>
      <c r="BB14" s="2307"/>
      <c r="BC14" s="2307"/>
      <c r="BD14" s="2307"/>
      <c r="BE14" s="2307"/>
      <c r="BF14" s="2307"/>
      <c r="BG14" s="2307"/>
      <c r="BH14" s="2307"/>
      <c r="BI14" s="2307"/>
      <c r="BJ14" s="2240"/>
      <c r="BK14" s="2308"/>
      <c r="BL14" s="2308"/>
      <c r="BM14" s="2246"/>
      <c r="BN14" s="2240"/>
      <c r="BO14" s="2240"/>
      <c r="BP14" s="2244"/>
      <c r="BQ14" s="2240"/>
      <c r="BR14" s="2250"/>
      <c r="BS14" s="2240"/>
      <c r="BT14" s="2242"/>
      <c r="BU14" s="2270"/>
      <c r="BV14" s="69"/>
      <c r="BW14" s="69"/>
    </row>
    <row r="15" spans="1:92" s="70" customFormat="1" ht="52.5" customHeight="1" x14ac:dyDescent="0.25">
      <c r="A15" s="43"/>
      <c r="B15" s="44"/>
      <c r="C15" s="43"/>
      <c r="D15" s="44"/>
      <c r="E15" s="62"/>
      <c r="F15" s="62"/>
      <c r="G15" s="2327"/>
      <c r="H15" s="2330"/>
      <c r="I15" s="2300"/>
      <c r="J15" s="2298"/>
      <c r="K15" s="2316"/>
      <c r="L15" s="2257"/>
      <c r="M15" s="2316"/>
      <c r="N15" s="2298"/>
      <c r="O15" s="2319"/>
      <c r="P15" s="2319"/>
      <c r="Q15" s="2322"/>
      <c r="R15" s="2314"/>
      <c r="S15" s="2292"/>
      <c r="T15" s="2315"/>
      <c r="U15" s="2257"/>
      <c r="V15" s="2257"/>
      <c r="W15" s="64" t="s">
        <v>91</v>
      </c>
      <c r="X15" s="65">
        <v>5655000</v>
      </c>
      <c r="Y15" s="65">
        <v>5655000</v>
      </c>
      <c r="Z15" s="65">
        <v>5655000</v>
      </c>
      <c r="AA15" s="66" t="s">
        <v>84</v>
      </c>
      <c r="AB15" s="67">
        <v>20</v>
      </c>
      <c r="AC15" s="68" t="s">
        <v>86</v>
      </c>
      <c r="AD15" s="2307"/>
      <c r="AE15" s="2307"/>
      <c r="AF15" s="2307"/>
      <c r="AG15" s="2307"/>
      <c r="AH15" s="2307"/>
      <c r="AI15" s="2307"/>
      <c r="AJ15" s="2307"/>
      <c r="AK15" s="2307"/>
      <c r="AL15" s="2307"/>
      <c r="AM15" s="2307"/>
      <c r="AN15" s="2311"/>
      <c r="AO15" s="2311"/>
      <c r="AP15" s="2307"/>
      <c r="AQ15" s="2307"/>
      <c r="AR15" s="2307"/>
      <c r="AS15" s="2307"/>
      <c r="AT15" s="2307"/>
      <c r="AU15" s="2307"/>
      <c r="AV15" s="2307"/>
      <c r="AW15" s="2307"/>
      <c r="AX15" s="2307"/>
      <c r="AY15" s="2307"/>
      <c r="AZ15" s="2307"/>
      <c r="BA15" s="2307"/>
      <c r="BB15" s="2307"/>
      <c r="BC15" s="2307"/>
      <c r="BD15" s="2307"/>
      <c r="BE15" s="2307"/>
      <c r="BF15" s="2307"/>
      <c r="BG15" s="2307"/>
      <c r="BH15" s="2307"/>
      <c r="BI15" s="2307"/>
      <c r="BJ15" s="2240"/>
      <c r="BK15" s="2308"/>
      <c r="BL15" s="2308"/>
      <c r="BM15" s="2246"/>
      <c r="BN15" s="2240"/>
      <c r="BO15" s="2240"/>
      <c r="BP15" s="2244"/>
      <c r="BQ15" s="2240"/>
      <c r="BR15" s="2251"/>
      <c r="BS15" s="2240"/>
      <c r="BT15" s="2243"/>
      <c r="BU15" s="2270"/>
      <c r="BV15" s="69"/>
      <c r="BW15" s="69"/>
    </row>
    <row r="16" spans="1:92" s="70" customFormat="1" ht="45" x14ac:dyDescent="0.25">
      <c r="A16" s="43"/>
      <c r="B16" s="44"/>
      <c r="C16" s="43"/>
      <c r="D16" s="44"/>
      <c r="E16" s="62"/>
      <c r="F16" s="62"/>
      <c r="G16" s="2294" t="s">
        <v>74</v>
      </c>
      <c r="H16" s="2285" t="s">
        <v>92</v>
      </c>
      <c r="I16" s="2296">
        <v>4599002</v>
      </c>
      <c r="J16" s="2298" t="s">
        <v>93</v>
      </c>
      <c r="K16" s="2300">
        <v>459900200</v>
      </c>
      <c r="L16" s="2285" t="s">
        <v>94</v>
      </c>
      <c r="M16" s="2302">
        <v>459900200</v>
      </c>
      <c r="N16" s="2304" t="s">
        <v>95</v>
      </c>
      <c r="O16" s="2286">
        <v>4</v>
      </c>
      <c r="P16" s="2286">
        <v>4</v>
      </c>
      <c r="Q16" s="2288" t="s">
        <v>96</v>
      </c>
      <c r="R16" s="2290" t="s">
        <v>97</v>
      </c>
      <c r="S16" s="2292">
        <f>SUM(X16:X18)/T16</f>
        <v>1</v>
      </c>
      <c r="T16" s="2293">
        <f>SUM(X16:X18)</f>
        <v>50000000</v>
      </c>
      <c r="U16" s="2285" t="s">
        <v>81</v>
      </c>
      <c r="V16" s="2285" t="s">
        <v>98</v>
      </c>
      <c r="W16" s="71" t="s">
        <v>99</v>
      </c>
      <c r="X16" s="72">
        <v>6000000</v>
      </c>
      <c r="Y16" s="72">
        <v>2885000</v>
      </c>
      <c r="Z16" s="72">
        <v>2885000</v>
      </c>
      <c r="AA16" s="66" t="s">
        <v>100</v>
      </c>
      <c r="AB16" s="67">
        <v>20</v>
      </c>
      <c r="AC16" s="68" t="s">
        <v>86</v>
      </c>
      <c r="AD16" s="2252">
        <v>2476</v>
      </c>
      <c r="AE16" s="2252">
        <v>2476</v>
      </c>
      <c r="AF16" s="2252">
        <v>3918</v>
      </c>
      <c r="AG16" s="2252">
        <v>3918</v>
      </c>
      <c r="AH16" s="2252">
        <v>0</v>
      </c>
      <c r="AI16" s="2252">
        <v>0</v>
      </c>
      <c r="AJ16" s="2252">
        <v>0</v>
      </c>
      <c r="AK16" s="2252">
        <v>0</v>
      </c>
      <c r="AL16" s="2252">
        <v>0</v>
      </c>
      <c r="AM16" s="2252">
        <v>0</v>
      </c>
      <c r="AN16" s="2252">
        <v>0</v>
      </c>
      <c r="AO16" s="2252">
        <v>0</v>
      </c>
      <c r="AP16" s="2252">
        <v>0</v>
      </c>
      <c r="AQ16" s="2252">
        <v>0</v>
      </c>
      <c r="AR16" s="2252">
        <v>0</v>
      </c>
      <c r="AS16" s="2252">
        <v>0</v>
      </c>
      <c r="AT16" s="2252">
        <v>0</v>
      </c>
      <c r="AU16" s="2252">
        <v>0</v>
      </c>
      <c r="AV16" s="2252">
        <v>0</v>
      </c>
      <c r="AW16" s="2252">
        <v>0</v>
      </c>
      <c r="AX16" s="2252">
        <v>0</v>
      </c>
      <c r="AY16" s="2252">
        <v>0</v>
      </c>
      <c r="AZ16" s="2252">
        <v>0</v>
      </c>
      <c r="BA16" s="2252">
        <v>0</v>
      </c>
      <c r="BB16" s="2252">
        <v>0</v>
      </c>
      <c r="BC16" s="2252">
        <v>0</v>
      </c>
      <c r="BD16" s="2252">
        <v>0</v>
      </c>
      <c r="BE16" s="2252">
        <v>0</v>
      </c>
      <c r="BF16" s="2252">
        <v>0</v>
      </c>
      <c r="BG16" s="2252">
        <v>0</v>
      </c>
      <c r="BH16" s="2252">
        <v>6394</v>
      </c>
      <c r="BI16" s="2252">
        <v>6394</v>
      </c>
      <c r="BJ16" s="2247">
        <v>1</v>
      </c>
      <c r="BK16" s="2253">
        <f>+Y16+Y17+Y18</f>
        <v>11540000</v>
      </c>
      <c r="BL16" s="2253">
        <f>+Z16+Z17+Z18</f>
        <v>8655000</v>
      </c>
      <c r="BM16" s="2246">
        <f>+BL16/BK16</f>
        <v>0.75</v>
      </c>
      <c r="BN16" s="2247">
        <v>20</v>
      </c>
      <c r="BO16" s="2284" t="s">
        <v>86</v>
      </c>
      <c r="BP16" s="2248" t="s">
        <v>101</v>
      </c>
      <c r="BQ16" s="2241">
        <v>44211</v>
      </c>
      <c r="BR16" s="2241">
        <v>44362</v>
      </c>
      <c r="BS16" s="2240" t="s">
        <v>88</v>
      </c>
      <c r="BT16" s="2241">
        <v>44500</v>
      </c>
      <c r="BU16" s="2270" t="s">
        <v>102</v>
      </c>
      <c r="BV16" s="69"/>
      <c r="BW16" s="69"/>
    </row>
    <row r="17" spans="1:75" s="70" customFormat="1" ht="30" x14ac:dyDescent="0.25">
      <c r="A17" s="43"/>
      <c r="B17" s="44"/>
      <c r="C17" s="43"/>
      <c r="D17" s="44"/>
      <c r="E17" s="62"/>
      <c r="F17" s="62"/>
      <c r="G17" s="2294"/>
      <c r="H17" s="2285"/>
      <c r="I17" s="2296"/>
      <c r="J17" s="2298"/>
      <c r="K17" s="2300"/>
      <c r="L17" s="2285"/>
      <c r="M17" s="2303"/>
      <c r="N17" s="2283"/>
      <c r="O17" s="2280"/>
      <c r="P17" s="2280"/>
      <c r="Q17" s="2289"/>
      <c r="R17" s="2291"/>
      <c r="S17" s="2292"/>
      <c r="T17" s="2293"/>
      <c r="U17" s="2285"/>
      <c r="V17" s="2285"/>
      <c r="W17" s="71" t="s">
        <v>103</v>
      </c>
      <c r="X17" s="72">
        <v>32000000</v>
      </c>
      <c r="Y17" s="72">
        <v>5770000</v>
      </c>
      <c r="Z17" s="72">
        <v>2885000</v>
      </c>
      <c r="AA17" s="66" t="s">
        <v>100</v>
      </c>
      <c r="AB17" s="67">
        <v>20</v>
      </c>
      <c r="AC17" s="68" t="s">
        <v>86</v>
      </c>
      <c r="AD17" s="2252"/>
      <c r="AE17" s="2252"/>
      <c r="AF17" s="2252"/>
      <c r="AG17" s="2252"/>
      <c r="AH17" s="2252"/>
      <c r="AI17" s="2252"/>
      <c r="AJ17" s="2252"/>
      <c r="AK17" s="2252"/>
      <c r="AL17" s="2252"/>
      <c r="AM17" s="2252"/>
      <c r="AN17" s="2252"/>
      <c r="AO17" s="2252"/>
      <c r="AP17" s="2252"/>
      <c r="AQ17" s="2252"/>
      <c r="AR17" s="2252"/>
      <c r="AS17" s="2252"/>
      <c r="AT17" s="2252"/>
      <c r="AU17" s="2252"/>
      <c r="AV17" s="2252"/>
      <c r="AW17" s="2252"/>
      <c r="AX17" s="2252"/>
      <c r="AY17" s="2252"/>
      <c r="AZ17" s="2252"/>
      <c r="BA17" s="2252"/>
      <c r="BB17" s="2252"/>
      <c r="BC17" s="2252"/>
      <c r="BD17" s="2252"/>
      <c r="BE17" s="2252"/>
      <c r="BF17" s="2252"/>
      <c r="BG17" s="2252"/>
      <c r="BH17" s="2252"/>
      <c r="BI17" s="2252"/>
      <c r="BJ17" s="2247"/>
      <c r="BK17" s="2253"/>
      <c r="BL17" s="2253"/>
      <c r="BM17" s="2246"/>
      <c r="BN17" s="2247"/>
      <c r="BO17" s="2240"/>
      <c r="BP17" s="2248"/>
      <c r="BQ17" s="2250"/>
      <c r="BR17" s="2250"/>
      <c r="BS17" s="2240"/>
      <c r="BT17" s="2242"/>
      <c r="BU17" s="2270"/>
      <c r="BV17" s="69"/>
      <c r="BW17" s="69"/>
    </row>
    <row r="18" spans="1:75" s="70" customFormat="1" ht="30" x14ac:dyDescent="0.25">
      <c r="A18" s="43"/>
      <c r="B18" s="44"/>
      <c r="C18" s="43"/>
      <c r="D18" s="44"/>
      <c r="E18" s="62"/>
      <c r="F18" s="62"/>
      <c r="G18" s="2294"/>
      <c r="H18" s="2295"/>
      <c r="I18" s="2297"/>
      <c r="J18" s="2299"/>
      <c r="K18" s="2301"/>
      <c r="L18" s="2295"/>
      <c r="M18" s="2303"/>
      <c r="N18" s="2283"/>
      <c r="O18" s="2280"/>
      <c r="P18" s="2287"/>
      <c r="Q18" s="2289"/>
      <c r="R18" s="2291"/>
      <c r="S18" s="2292"/>
      <c r="T18" s="2293"/>
      <c r="U18" s="2285"/>
      <c r="V18" s="2285"/>
      <c r="W18" s="71" t="s">
        <v>104</v>
      </c>
      <c r="X18" s="72">
        <v>12000000</v>
      </c>
      <c r="Y18" s="72">
        <v>2885000</v>
      </c>
      <c r="Z18" s="72">
        <v>2885000</v>
      </c>
      <c r="AA18" s="66" t="s">
        <v>100</v>
      </c>
      <c r="AB18" s="67">
        <v>20</v>
      </c>
      <c r="AC18" s="68" t="s">
        <v>86</v>
      </c>
      <c r="AD18" s="2252"/>
      <c r="AE18" s="2252"/>
      <c r="AF18" s="2252"/>
      <c r="AG18" s="2252"/>
      <c r="AH18" s="2252"/>
      <c r="AI18" s="2252"/>
      <c r="AJ18" s="2252"/>
      <c r="AK18" s="2252"/>
      <c r="AL18" s="2252"/>
      <c r="AM18" s="2252"/>
      <c r="AN18" s="2252"/>
      <c r="AO18" s="2252"/>
      <c r="AP18" s="2252"/>
      <c r="AQ18" s="2252"/>
      <c r="AR18" s="2252"/>
      <c r="AS18" s="2252"/>
      <c r="AT18" s="2252"/>
      <c r="AU18" s="2252"/>
      <c r="AV18" s="2252"/>
      <c r="AW18" s="2252"/>
      <c r="AX18" s="2252"/>
      <c r="AY18" s="2252"/>
      <c r="AZ18" s="2252"/>
      <c r="BA18" s="2252"/>
      <c r="BB18" s="2252"/>
      <c r="BC18" s="2252"/>
      <c r="BD18" s="2252"/>
      <c r="BE18" s="2252"/>
      <c r="BF18" s="2252"/>
      <c r="BG18" s="2252"/>
      <c r="BH18" s="2252"/>
      <c r="BI18" s="2252"/>
      <c r="BJ18" s="2247"/>
      <c r="BK18" s="2253"/>
      <c r="BL18" s="2253"/>
      <c r="BM18" s="2246"/>
      <c r="BN18" s="2247"/>
      <c r="BO18" s="2240"/>
      <c r="BP18" s="2248"/>
      <c r="BQ18" s="2251"/>
      <c r="BR18" s="2251"/>
      <c r="BS18" s="2240"/>
      <c r="BT18" s="2243"/>
      <c r="BU18" s="2270"/>
      <c r="BV18" s="69"/>
      <c r="BW18" s="69"/>
    </row>
    <row r="19" spans="1:75" s="70" customFormat="1" ht="180" x14ac:dyDescent="0.25">
      <c r="A19" s="43"/>
      <c r="B19" s="44"/>
      <c r="C19" s="43"/>
      <c r="D19" s="44"/>
      <c r="E19" s="62"/>
      <c r="F19" s="62"/>
      <c r="G19" s="73" t="s">
        <v>74</v>
      </c>
      <c r="H19" s="74" t="s">
        <v>105</v>
      </c>
      <c r="I19" s="75">
        <v>4599023</v>
      </c>
      <c r="J19" s="74" t="s">
        <v>76</v>
      </c>
      <c r="K19" s="76">
        <v>459902301</v>
      </c>
      <c r="L19" s="74" t="s">
        <v>106</v>
      </c>
      <c r="M19" s="76">
        <v>459902301</v>
      </c>
      <c r="N19" s="74" t="s">
        <v>107</v>
      </c>
      <c r="O19" s="77">
        <v>1</v>
      </c>
      <c r="P19" s="77">
        <v>0</v>
      </c>
      <c r="Q19" s="78" t="s">
        <v>108</v>
      </c>
      <c r="R19" s="79" t="s">
        <v>109</v>
      </c>
      <c r="S19" s="80">
        <f>X19/T19</f>
        <v>1</v>
      </c>
      <c r="T19" s="81">
        <f>SUM(X19)</f>
        <v>50000000</v>
      </c>
      <c r="U19" s="74" t="s">
        <v>110</v>
      </c>
      <c r="V19" s="64" t="s">
        <v>111</v>
      </c>
      <c r="W19" s="74" t="s">
        <v>112</v>
      </c>
      <c r="X19" s="82">
        <v>50000000</v>
      </c>
      <c r="Y19" s="82">
        <v>0</v>
      </c>
      <c r="Z19" s="82">
        <v>0</v>
      </c>
      <c r="AA19" s="66" t="s">
        <v>113</v>
      </c>
      <c r="AB19" s="67">
        <v>20</v>
      </c>
      <c r="AC19" s="68" t="s">
        <v>86</v>
      </c>
      <c r="AD19" s="75">
        <v>295972</v>
      </c>
      <c r="AE19" s="75"/>
      <c r="AF19" s="75">
        <v>285580</v>
      </c>
      <c r="AG19" s="75"/>
      <c r="AH19" s="75">
        <v>135545</v>
      </c>
      <c r="AI19" s="75"/>
      <c r="AJ19" s="75">
        <v>44254</v>
      </c>
      <c r="AK19" s="75"/>
      <c r="AL19" s="75">
        <v>309146</v>
      </c>
      <c r="AM19" s="75"/>
      <c r="AN19" s="75">
        <v>92607</v>
      </c>
      <c r="AO19" s="75"/>
      <c r="AP19" s="75">
        <v>2145</v>
      </c>
      <c r="AQ19" s="75"/>
      <c r="AR19" s="75">
        <v>12718</v>
      </c>
      <c r="AS19" s="75"/>
      <c r="AT19" s="75">
        <v>26</v>
      </c>
      <c r="AU19" s="75"/>
      <c r="AV19" s="75">
        <v>37</v>
      </c>
      <c r="AW19" s="75"/>
      <c r="AX19" s="75">
        <v>0</v>
      </c>
      <c r="AY19" s="75"/>
      <c r="AZ19" s="75">
        <v>0</v>
      </c>
      <c r="BA19" s="75"/>
      <c r="BB19" s="75">
        <v>0</v>
      </c>
      <c r="BC19" s="75"/>
      <c r="BD19" s="75">
        <v>21944</v>
      </c>
      <c r="BE19" s="75"/>
      <c r="BF19" s="75">
        <v>75687</v>
      </c>
      <c r="BG19" s="75"/>
      <c r="BH19" s="75">
        <v>581552</v>
      </c>
      <c r="BI19" s="75"/>
      <c r="BJ19" s="83">
        <v>0</v>
      </c>
      <c r="BK19" s="84">
        <f>+Y19</f>
        <v>0</v>
      </c>
      <c r="BL19" s="84">
        <f>+Z19</f>
        <v>0</v>
      </c>
      <c r="BM19" s="85" t="e">
        <f>BL19/BK19</f>
        <v>#DIV/0!</v>
      </c>
      <c r="BN19" s="83">
        <v>20</v>
      </c>
      <c r="BO19" s="83" t="s">
        <v>86</v>
      </c>
      <c r="BP19" s="86" t="s">
        <v>114</v>
      </c>
      <c r="BQ19" s="87">
        <v>44211</v>
      </c>
      <c r="BR19" s="87"/>
      <c r="BS19" s="83" t="s">
        <v>88</v>
      </c>
      <c r="BT19" s="87"/>
      <c r="BU19" s="74" t="s">
        <v>89</v>
      </c>
      <c r="BV19" s="69"/>
      <c r="BW19" s="69"/>
    </row>
    <row r="20" spans="1:75" s="70" customFormat="1" ht="15.75" x14ac:dyDescent="0.25">
      <c r="A20" s="43"/>
      <c r="B20" s="44"/>
      <c r="C20" s="43"/>
      <c r="D20" s="44"/>
      <c r="E20" s="88">
        <v>4502</v>
      </c>
      <c r="F20" s="2271" t="s">
        <v>115</v>
      </c>
      <c r="G20" s="2272"/>
      <c r="H20" s="2272"/>
      <c r="I20" s="2272"/>
      <c r="J20" s="2272"/>
      <c r="K20" s="2272"/>
      <c r="L20" s="2272"/>
      <c r="M20" s="2272"/>
      <c r="N20" s="2272"/>
      <c r="O20" s="89"/>
      <c r="P20" s="89"/>
      <c r="Q20" s="90"/>
      <c r="R20" s="91"/>
      <c r="S20" s="92"/>
      <c r="T20" s="93"/>
      <c r="U20" s="94"/>
      <c r="V20" s="94"/>
      <c r="W20" s="94"/>
      <c r="X20" s="95"/>
      <c r="Y20" s="95"/>
      <c r="Z20" s="95"/>
      <c r="AA20" s="96"/>
      <c r="AB20" s="97"/>
      <c r="AC20" s="96"/>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9"/>
      <c r="BL20" s="99"/>
      <c r="BM20" s="100"/>
      <c r="BN20" s="98"/>
      <c r="BO20" s="98"/>
      <c r="BP20" s="98"/>
      <c r="BQ20" s="98"/>
      <c r="BR20" s="98"/>
      <c r="BS20" s="98"/>
      <c r="BT20" s="98"/>
      <c r="BU20" s="98"/>
      <c r="BV20" s="69"/>
      <c r="BW20" s="69"/>
    </row>
    <row r="21" spans="1:75" s="70" customFormat="1" ht="69.75" customHeight="1" x14ac:dyDescent="0.25">
      <c r="A21" s="43"/>
      <c r="B21" s="44"/>
      <c r="C21" s="43"/>
      <c r="D21" s="44"/>
      <c r="E21" s="62"/>
      <c r="F21" s="62"/>
      <c r="G21" s="2273" t="s">
        <v>74</v>
      </c>
      <c r="H21" s="2276" t="s">
        <v>116</v>
      </c>
      <c r="I21" s="2279">
        <v>4502033</v>
      </c>
      <c r="J21" s="2281" t="s">
        <v>116</v>
      </c>
      <c r="K21" s="2259">
        <v>450203300</v>
      </c>
      <c r="L21" s="2278" t="s">
        <v>117</v>
      </c>
      <c r="M21" s="2259">
        <v>450203300</v>
      </c>
      <c r="N21" s="2261" t="s">
        <v>118</v>
      </c>
      <c r="O21" s="2263">
        <v>1</v>
      </c>
      <c r="P21" s="2264">
        <v>1</v>
      </c>
      <c r="Q21" s="2267" t="s">
        <v>119</v>
      </c>
      <c r="R21" s="2268" t="s">
        <v>120</v>
      </c>
      <c r="S21" s="2255">
        <f>SUM(X21:X23)/T21</f>
        <v>1</v>
      </c>
      <c r="T21" s="2256">
        <f>SUM(X21:X23)</f>
        <v>40000000</v>
      </c>
      <c r="U21" s="2257" t="s">
        <v>121</v>
      </c>
      <c r="V21" s="2257" t="s">
        <v>122</v>
      </c>
      <c r="W21" s="2257" t="s">
        <v>123</v>
      </c>
      <c r="X21" s="65">
        <v>25000000</v>
      </c>
      <c r="Y21" s="65">
        <v>20675834</v>
      </c>
      <c r="Z21" s="65">
        <v>20675833.329999998</v>
      </c>
      <c r="AA21" s="66" t="s">
        <v>124</v>
      </c>
      <c r="AB21" s="2258">
        <v>20</v>
      </c>
      <c r="AC21" s="2254" t="s">
        <v>86</v>
      </c>
      <c r="AD21" s="2252">
        <v>295972</v>
      </c>
      <c r="AE21" s="2252">
        <v>295972</v>
      </c>
      <c r="AF21" s="2252">
        <v>285580</v>
      </c>
      <c r="AG21" s="2252">
        <v>285580</v>
      </c>
      <c r="AH21" s="2252">
        <v>135545</v>
      </c>
      <c r="AI21" s="2252">
        <v>135545</v>
      </c>
      <c r="AJ21" s="2252">
        <v>44254</v>
      </c>
      <c r="AK21" s="2252">
        <v>44254</v>
      </c>
      <c r="AL21" s="2252">
        <v>309146</v>
      </c>
      <c r="AM21" s="2252">
        <v>309146</v>
      </c>
      <c r="AN21" s="2252">
        <v>92607</v>
      </c>
      <c r="AO21" s="2252">
        <v>92607</v>
      </c>
      <c r="AP21" s="2252">
        <v>2145</v>
      </c>
      <c r="AQ21" s="2252">
        <v>2145</v>
      </c>
      <c r="AR21" s="2252">
        <v>12718</v>
      </c>
      <c r="AS21" s="2252">
        <v>12718</v>
      </c>
      <c r="AT21" s="2252">
        <v>26</v>
      </c>
      <c r="AU21" s="2252">
        <v>26</v>
      </c>
      <c r="AV21" s="2252">
        <v>37</v>
      </c>
      <c r="AW21" s="2252">
        <v>37</v>
      </c>
      <c r="AX21" s="2252">
        <v>0</v>
      </c>
      <c r="AY21" s="2252">
        <v>0</v>
      </c>
      <c r="AZ21" s="2252">
        <v>0</v>
      </c>
      <c r="BA21" s="2252">
        <v>0</v>
      </c>
      <c r="BB21" s="2252">
        <v>44350</v>
      </c>
      <c r="BC21" s="2252">
        <v>44350</v>
      </c>
      <c r="BD21" s="2252">
        <v>21944</v>
      </c>
      <c r="BE21" s="2252">
        <v>21944</v>
      </c>
      <c r="BF21" s="2252">
        <v>75687</v>
      </c>
      <c r="BG21" s="2252">
        <v>75687</v>
      </c>
      <c r="BH21" s="2252">
        <v>581552</v>
      </c>
      <c r="BI21" s="2252"/>
      <c r="BJ21" s="2247">
        <v>2</v>
      </c>
      <c r="BK21" s="2253">
        <f>+Y21+Y22+Y23</f>
        <v>20675834</v>
      </c>
      <c r="BL21" s="2253">
        <f>+Z21+Z22+Z23</f>
        <v>20675833.329999998</v>
      </c>
      <c r="BM21" s="2246">
        <f>+BL21/BK21</f>
        <v>0.9999999675950193</v>
      </c>
      <c r="BN21" s="2247">
        <v>20</v>
      </c>
      <c r="BO21" s="2247" t="s">
        <v>86</v>
      </c>
      <c r="BP21" s="2248" t="s">
        <v>114</v>
      </c>
      <c r="BQ21" s="2249">
        <v>44211</v>
      </c>
      <c r="BR21" s="2241">
        <v>44362</v>
      </c>
      <c r="BS21" s="2240" t="s">
        <v>88</v>
      </c>
      <c r="BT21" s="2241">
        <v>44500</v>
      </c>
      <c r="BU21" s="2244" t="s">
        <v>89</v>
      </c>
      <c r="BV21" s="69"/>
      <c r="BW21" s="69"/>
    </row>
    <row r="22" spans="1:75" s="70" customFormat="1" ht="59.25" customHeight="1" x14ac:dyDescent="0.25">
      <c r="A22" s="43"/>
      <c r="B22" s="44"/>
      <c r="C22" s="43"/>
      <c r="D22" s="44"/>
      <c r="E22" s="62"/>
      <c r="F22" s="62"/>
      <c r="G22" s="2274"/>
      <c r="H22" s="2277"/>
      <c r="I22" s="2280"/>
      <c r="J22" s="2282"/>
      <c r="K22" s="2260"/>
      <c r="L22" s="2283"/>
      <c r="M22" s="2260"/>
      <c r="N22" s="2262"/>
      <c r="O22" s="2263"/>
      <c r="P22" s="2265"/>
      <c r="Q22" s="2267"/>
      <c r="R22" s="2269"/>
      <c r="S22" s="2255"/>
      <c r="T22" s="2256"/>
      <c r="U22" s="2257"/>
      <c r="V22" s="2257"/>
      <c r="W22" s="2257"/>
      <c r="X22" s="65">
        <v>10000000</v>
      </c>
      <c r="Y22" s="65"/>
      <c r="Z22" s="65">
        <v>0</v>
      </c>
      <c r="AA22" s="66" t="s">
        <v>125</v>
      </c>
      <c r="AB22" s="2258"/>
      <c r="AC22" s="2254"/>
      <c r="AD22" s="2252"/>
      <c r="AE22" s="2252"/>
      <c r="AF22" s="2252"/>
      <c r="AG22" s="2252"/>
      <c r="AH22" s="2252"/>
      <c r="AI22" s="2252"/>
      <c r="AJ22" s="2252"/>
      <c r="AK22" s="2252"/>
      <c r="AL22" s="2252"/>
      <c r="AM22" s="2252"/>
      <c r="AN22" s="2252"/>
      <c r="AO22" s="2252"/>
      <c r="AP22" s="2252"/>
      <c r="AQ22" s="2252"/>
      <c r="AR22" s="2252"/>
      <c r="AS22" s="2252"/>
      <c r="AT22" s="2252"/>
      <c r="AU22" s="2252"/>
      <c r="AV22" s="2252"/>
      <c r="AW22" s="2252"/>
      <c r="AX22" s="2252"/>
      <c r="AY22" s="2252"/>
      <c r="AZ22" s="2252"/>
      <c r="BA22" s="2252"/>
      <c r="BB22" s="2252"/>
      <c r="BC22" s="2252"/>
      <c r="BD22" s="2252"/>
      <c r="BE22" s="2252"/>
      <c r="BF22" s="2252"/>
      <c r="BG22" s="2252"/>
      <c r="BH22" s="2252"/>
      <c r="BI22" s="2252"/>
      <c r="BJ22" s="2247"/>
      <c r="BK22" s="2253"/>
      <c r="BL22" s="2253"/>
      <c r="BM22" s="2246"/>
      <c r="BN22" s="2247"/>
      <c r="BO22" s="2247"/>
      <c r="BP22" s="2248"/>
      <c r="BQ22" s="2240"/>
      <c r="BR22" s="2250"/>
      <c r="BS22" s="2240"/>
      <c r="BT22" s="2242"/>
      <c r="BU22" s="2244"/>
      <c r="BV22" s="69"/>
      <c r="BW22" s="69"/>
    </row>
    <row r="23" spans="1:75" s="70" customFormat="1" ht="71.25" customHeight="1" x14ac:dyDescent="0.25">
      <c r="A23" s="104"/>
      <c r="B23" s="105"/>
      <c r="C23" s="104"/>
      <c r="D23" s="105"/>
      <c r="E23" s="62"/>
      <c r="F23" s="62"/>
      <c r="G23" s="2275"/>
      <c r="H23" s="2278"/>
      <c r="I23" s="2280"/>
      <c r="J23" s="2282"/>
      <c r="K23" s="2260"/>
      <c r="L23" s="2283"/>
      <c r="M23" s="2260"/>
      <c r="N23" s="2262"/>
      <c r="O23" s="2263"/>
      <c r="P23" s="2266"/>
      <c r="Q23" s="2267"/>
      <c r="R23" s="2269"/>
      <c r="S23" s="2255"/>
      <c r="T23" s="2256"/>
      <c r="U23" s="2257"/>
      <c r="V23" s="2257"/>
      <c r="W23" s="2257"/>
      <c r="X23" s="65">
        <v>5000000</v>
      </c>
      <c r="Y23" s="65"/>
      <c r="Z23" s="65">
        <v>0</v>
      </c>
      <c r="AA23" s="66" t="s">
        <v>126</v>
      </c>
      <c r="AB23" s="2258"/>
      <c r="AC23" s="2254"/>
      <c r="AD23" s="2252"/>
      <c r="AE23" s="2252"/>
      <c r="AF23" s="2252"/>
      <c r="AG23" s="2252"/>
      <c r="AH23" s="2252"/>
      <c r="AI23" s="2252"/>
      <c r="AJ23" s="2252"/>
      <c r="AK23" s="2252"/>
      <c r="AL23" s="2252"/>
      <c r="AM23" s="2252"/>
      <c r="AN23" s="2252"/>
      <c r="AO23" s="2252"/>
      <c r="AP23" s="2252"/>
      <c r="AQ23" s="2252"/>
      <c r="AR23" s="2252"/>
      <c r="AS23" s="2252"/>
      <c r="AT23" s="2252"/>
      <c r="AU23" s="2252"/>
      <c r="AV23" s="2252"/>
      <c r="AW23" s="2252"/>
      <c r="AX23" s="2252"/>
      <c r="AY23" s="2252"/>
      <c r="AZ23" s="2252"/>
      <c r="BA23" s="2252"/>
      <c r="BB23" s="2252"/>
      <c r="BC23" s="2252"/>
      <c r="BD23" s="2252"/>
      <c r="BE23" s="2252"/>
      <c r="BF23" s="2252"/>
      <c r="BG23" s="2252"/>
      <c r="BH23" s="2252"/>
      <c r="BI23" s="2252"/>
      <c r="BJ23" s="2247"/>
      <c r="BK23" s="2253"/>
      <c r="BL23" s="2253"/>
      <c r="BM23" s="2246"/>
      <c r="BN23" s="2247"/>
      <c r="BO23" s="2247"/>
      <c r="BP23" s="2248"/>
      <c r="BQ23" s="2240"/>
      <c r="BR23" s="2251"/>
      <c r="BS23" s="2240"/>
      <c r="BT23" s="2243"/>
      <c r="BU23" s="2244"/>
      <c r="BV23" s="69"/>
      <c r="BW23" s="69"/>
    </row>
    <row r="24" spans="1:75" s="70" customFormat="1" ht="15.75" x14ac:dyDescent="0.25">
      <c r="A24" s="2352"/>
      <c r="B24" s="2354"/>
      <c r="C24" s="2352"/>
      <c r="D24" s="2354"/>
      <c r="E24" s="2360"/>
      <c r="F24" s="2361"/>
      <c r="G24" s="106"/>
      <c r="H24" s="107"/>
      <c r="I24" s="106"/>
      <c r="J24" s="107"/>
      <c r="K24" s="106"/>
      <c r="L24" s="107"/>
      <c r="M24" s="106"/>
      <c r="N24" s="107"/>
      <c r="O24" s="108"/>
      <c r="P24" s="108"/>
      <c r="Q24" s="108"/>
      <c r="R24" s="109"/>
      <c r="S24" s="110"/>
      <c r="T24" s="111">
        <f>SUM(T13:T23)</f>
        <v>176000000</v>
      </c>
      <c r="U24" s="112"/>
      <c r="V24" s="112"/>
      <c r="W24" s="107" t="s">
        <v>127</v>
      </c>
      <c r="X24" s="113">
        <f>SUM(X10:X23)</f>
        <v>176000000</v>
      </c>
      <c r="Y24" s="113">
        <f t="shared" ref="Y24:Z24" si="0">SUM(Y10:Y23)</f>
        <v>61855834</v>
      </c>
      <c r="Z24" s="113">
        <f t="shared" si="0"/>
        <v>58970833.329999998</v>
      </c>
      <c r="AA24" s="108"/>
      <c r="AB24" s="114"/>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15">
        <f>SUM(BK13:BK23)</f>
        <v>61855834</v>
      </c>
      <c r="BL24" s="115">
        <f>SUM(BL13:BL23)</f>
        <v>58970833.329999998</v>
      </c>
      <c r="BM24" s="108"/>
      <c r="BN24" s="108"/>
      <c r="BO24" s="108"/>
      <c r="BP24" s="108"/>
      <c r="BQ24" s="116"/>
      <c r="BR24" s="116"/>
      <c r="BS24" s="116"/>
      <c r="BT24" s="116"/>
      <c r="BU24" s="108"/>
      <c r="BV24" s="69"/>
      <c r="BW24" s="69"/>
    </row>
    <row r="25" spans="1:75" x14ac:dyDescent="0.25">
      <c r="X25" s="123"/>
      <c r="Y25" s="123"/>
      <c r="Z25" s="123"/>
      <c r="AA25" s="3"/>
      <c r="AB25" s="3"/>
      <c r="BK25" s="123"/>
      <c r="BL25" s="123"/>
    </row>
    <row r="26" spans="1:75" x14ac:dyDescent="0.25">
      <c r="E26" s="28"/>
      <c r="F26" s="28"/>
      <c r="G26" s="28"/>
      <c r="H26" s="127"/>
      <c r="I26" s="28"/>
      <c r="J26" s="127"/>
      <c r="K26" s="28"/>
      <c r="L26" s="128"/>
      <c r="M26" s="28"/>
      <c r="N26" s="128"/>
      <c r="X26" s="129"/>
      <c r="Y26" s="129"/>
      <c r="Z26" s="129"/>
      <c r="BK26" s="123"/>
      <c r="BL26" s="123"/>
    </row>
    <row r="27" spans="1:75" ht="15.75" x14ac:dyDescent="0.25">
      <c r="E27" s="28"/>
      <c r="F27" s="28"/>
      <c r="G27" s="28"/>
      <c r="H27" s="127"/>
      <c r="I27" s="28"/>
      <c r="J27" s="127"/>
      <c r="K27" s="28"/>
      <c r="L27" s="127"/>
      <c r="M27" s="28"/>
      <c r="N27" s="128"/>
      <c r="Q27" s="2245"/>
      <c r="R27" s="2245"/>
      <c r="S27" s="2245"/>
      <c r="T27" s="2245"/>
      <c r="U27" s="2245"/>
      <c r="X27" s="129"/>
      <c r="Y27" s="129"/>
      <c r="Z27" s="129"/>
      <c r="BK27" s="123"/>
      <c r="BL27" s="123"/>
    </row>
    <row r="28" spans="1:75" ht="15.75" x14ac:dyDescent="0.25">
      <c r="E28" s="2238"/>
      <c r="F28" s="2238"/>
      <c r="G28" s="2238"/>
      <c r="H28" s="2238"/>
      <c r="I28" s="2238"/>
      <c r="J28" s="2238"/>
      <c r="K28" s="2238"/>
      <c r="L28" s="2239"/>
      <c r="M28" s="2238"/>
      <c r="N28" s="2239"/>
      <c r="Q28" s="2245"/>
      <c r="R28" s="2245"/>
      <c r="S28" s="2245"/>
      <c r="T28" s="2245"/>
      <c r="U28" s="2245"/>
      <c r="X28" s="129"/>
      <c r="Y28" s="129"/>
      <c r="Z28" s="129"/>
    </row>
    <row r="29" spans="1:75" ht="15.75" x14ac:dyDescent="0.25">
      <c r="E29" s="2238"/>
      <c r="F29" s="2238"/>
      <c r="G29" s="2238"/>
      <c r="H29" s="2238"/>
      <c r="I29" s="2238"/>
      <c r="J29" s="2238"/>
      <c r="K29" s="2238"/>
      <c r="L29" s="2239"/>
      <c r="M29" s="2238"/>
      <c r="N29" s="2239"/>
      <c r="X29" s="129"/>
      <c r="Y29" s="129"/>
      <c r="Z29" s="129"/>
    </row>
    <row r="30" spans="1:75" x14ac:dyDescent="0.25">
      <c r="E30" s="61"/>
      <c r="F30" s="61"/>
      <c r="G30" s="61"/>
      <c r="H30" s="131"/>
      <c r="I30" s="132"/>
      <c r="J30" s="131"/>
      <c r="K30" s="133"/>
      <c r="L30" s="128"/>
      <c r="M30" s="133"/>
      <c r="N30" s="128"/>
      <c r="X30" s="129"/>
      <c r="Y30" s="129"/>
      <c r="Z30" s="129"/>
    </row>
    <row r="31" spans="1:75" x14ac:dyDescent="0.25">
      <c r="E31" s="28"/>
      <c r="F31" s="28"/>
      <c r="G31" s="28"/>
      <c r="H31" s="127"/>
      <c r="I31" s="28"/>
      <c r="J31" s="127"/>
      <c r="K31" s="28"/>
      <c r="L31" s="128"/>
      <c r="M31" s="28"/>
      <c r="N31" s="128"/>
      <c r="X31" s="129"/>
      <c r="Y31" s="129"/>
      <c r="Z31" s="129"/>
    </row>
    <row r="32" spans="1:75" x14ac:dyDescent="0.25">
      <c r="E32" s="28"/>
      <c r="F32" s="28"/>
      <c r="G32" s="28"/>
      <c r="H32" s="127"/>
      <c r="I32" s="28"/>
      <c r="J32" s="127"/>
      <c r="K32" s="28"/>
      <c r="L32" s="128"/>
      <c r="M32" s="28"/>
      <c r="N32" s="128"/>
      <c r="X32" s="129"/>
      <c r="Y32" s="129"/>
      <c r="Z32" s="129"/>
    </row>
    <row r="33" spans="5:14" x14ac:dyDescent="0.25">
      <c r="E33" s="28"/>
      <c r="F33" s="28"/>
      <c r="G33" s="28"/>
      <c r="H33" s="127"/>
      <c r="I33" s="28"/>
      <c r="J33" s="127"/>
      <c r="K33" s="28"/>
      <c r="L33" s="128"/>
      <c r="M33" s="28"/>
      <c r="N33" s="128"/>
    </row>
    <row r="34" spans="5:14" x14ac:dyDescent="0.25">
      <c r="E34" s="28"/>
      <c r="F34" s="28"/>
      <c r="G34" s="28"/>
      <c r="H34" s="127"/>
      <c r="I34" s="28"/>
      <c r="J34" s="127"/>
      <c r="K34" s="28"/>
      <c r="L34" s="128"/>
      <c r="M34" s="28"/>
      <c r="N34" s="128"/>
    </row>
    <row r="35" spans="5:14" x14ac:dyDescent="0.25">
      <c r="E35" s="28"/>
      <c r="F35" s="28"/>
      <c r="G35" s="28"/>
      <c r="H35" s="127"/>
      <c r="I35" s="28"/>
      <c r="J35" s="127"/>
      <c r="K35" s="28"/>
      <c r="L35" s="128"/>
      <c r="M35" s="28"/>
      <c r="N35" s="128"/>
    </row>
    <row r="36" spans="5:14" x14ac:dyDescent="0.25">
      <c r="E36" s="28"/>
      <c r="F36" s="28"/>
      <c r="G36" s="28"/>
      <c r="H36" s="127"/>
      <c r="I36" s="28"/>
      <c r="J36" s="127"/>
      <c r="K36" s="28"/>
      <c r="L36" s="128"/>
      <c r="M36" s="28"/>
      <c r="N36" s="128"/>
    </row>
  </sheetData>
  <sheetProtection algorithmName="SHA-512" hashValue="rli8aYoFyo4atdwsxqSkUP3dAMEqqadTTDABMWg8e4oRYSsycRXE+VDSlW7mrR/QLAEzyLYwHIJbxR1jwIsd3g==" saltValue="8AneEhmP7SddqzLSPRNRGw==" spinCount="100000" sheet="1" objects="1" scenarios="1"/>
  <mergeCells count="258">
    <mergeCell ref="A24:B24"/>
    <mergeCell ref="C24:D24"/>
    <mergeCell ref="E24:F24"/>
    <mergeCell ref="A5:P6"/>
    <mergeCell ref="A1:BS4"/>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B7:BG7"/>
    <mergeCell ref="BH7:BI8"/>
    <mergeCell ref="AD8:AE8"/>
    <mergeCell ref="AF8:AG8"/>
    <mergeCell ref="AH8:AI8"/>
    <mergeCell ref="AJ8:AK8"/>
    <mergeCell ref="M8:M9"/>
    <mergeCell ref="N8:N9"/>
    <mergeCell ref="O8:P8"/>
    <mergeCell ref="Q8:Q9"/>
    <mergeCell ref="R8:R9"/>
    <mergeCell ref="S8:S9"/>
    <mergeCell ref="G8:G9"/>
    <mergeCell ref="H8:H9"/>
    <mergeCell ref="I8:I9"/>
    <mergeCell ref="J8:J9"/>
    <mergeCell ref="K8:K9"/>
    <mergeCell ref="L8:L9"/>
    <mergeCell ref="BK8:BK9"/>
    <mergeCell ref="BL8:BL9"/>
    <mergeCell ref="BM8:BM9"/>
    <mergeCell ref="BN8:BO8"/>
    <mergeCell ref="BP8:BP9"/>
    <mergeCell ref="B10:H10"/>
    <mergeCell ref="AX8:AY8"/>
    <mergeCell ref="AZ8:BA8"/>
    <mergeCell ref="BB8:BC8"/>
    <mergeCell ref="BD8:BE8"/>
    <mergeCell ref="BF8:BG8"/>
    <mergeCell ref="BJ8:BJ9"/>
    <mergeCell ref="AL8:AM8"/>
    <mergeCell ref="AN8:AO8"/>
    <mergeCell ref="AP8:AQ8"/>
    <mergeCell ref="AR8:AS8"/>
    <mergeCell ref="AT8:AU8"/>
    <mergeCell ref="AV8:AW8"/>
    <mergeCell ref="T8:T9"/>
    <mergeCell ref="U8:U9"/>
    <mergeCell ref="V8:V9"/>
    <mergeCell ref="W8:W9"/>
    <mergeCell ref="X8:Z8"/>
    <mergeCell ref="AA8:AA9"/>
    <mergeCell ref="L13:L15"/>
    <mergeCell ref="M13:M15"/>
    <mergeCell ref="N13:N15"/>
    <mergeCell ref="O13:O15"/>
    <mergeCell ref="P13:P15"/>
    <mergeCell ref="Q13:Q15"/>
    <mergeCell ref="D11:I11"/>
    <mergeCell ref="G13:G15"/>
    <mergeCell ref="H13:H15"/>
    <mergeCell ref="I13:I15"/>
    <mergeCell ref="J13:J15"/>
    <mergeCell ref="K13:K15"/>
    <mergeCell ref="AE13:AE15"/>
    <mergeCell ref="AF13:AF15"/>
    <mergeCell ref="AG13:AG15"/>
    <mergeCell ref="AH13:AH15"/>
    <mergeCell ref="AI13:AI15"/>
    <mergeCell ref="AJ13:AJ15"/>
    <mergeCell ref="R13:R15"/>
    <mergeCell ref="S13:S15"/>
    <mergeCell ref="T13:T15"/>
    <mergeCell ref="U13:U15"/>
    <mergeCell ref="V13:V15"/>
    <mergeCell ref="AD13:AD15"/>
    <mergeCell ref="AQ13:AQ15"/>
    <mergeCell ref="AR13:AR15"/>
    <mergeCell ref="AS13:AS15"/>
    <mergeCell ref="AT13:AT15"/>
    <mergeCell ref="AU13:AU15"/>
    <mergeCell ref="AV13:AV15"/>
    <mergeCell ref="AK13:AK15"/>
    <mergeCell ref="AL13:AL15"/>
    <mergeCell ref="AM13:AM15"/>
    <mergeCell ref="AN13:AN15"/>
    <mergeCell ref="AO13:AO15"/>
    <mergeCell ref="AP13:AP15"/>
    <mergeCell ref="BE13:BE15"/>
    <mergeCell ref="BF13:BF15"/>
    <mergeCell ref="BG13:BG15"/>
    <mergeCell ref="BH13:BH15"/>
    <mergeCell ref="AW13:AW15"/>
    <mergeCell ref="AX13:AX15"/>
    <mergeCell ref="AY13:AY15"/>
    <mergeCell ref="AZ13:AZ15"/>
    <mergeCell ref="BA13:BA15"/>
    <mergeCell ref="BB13:BB15"/>
    <mergeCell ref="BU13:BU15"/>
    <mergeCell ref="G16:G18"/>
    <mergeCell ref="H16:H18"/>
    <mergeCell ref="I16:I18"/>
    <mergeCell ref="J16:J18"/>
    <mergeCell ref="K16:K18"/>
    <mergeCell ref="L16:L18"/>
    <mergeCell ref="M16:M18"/>
    <mergeCell ref="N16:N18"/>
    <mergeCell ref="O16:O18"/>
    <mergeCell ref="BO13:BO15"/>
    <mergeCell ref="BP13:BP15"/>
    <mergeCell ref="BQ13:BQ15"/>
    <mergeCell ref="BR13:BR15"/>
    <mergeCell ref="BS13:BS15"/>
    <mergeCell ref="BT13:BT15"/>
    <mergeCell ref="BI13:BI15"/>
    <mergeCell ref="BJ13:BJ15"/>
    <mergeCell ref="BK13:BK15"/>
    <mergeCell ref="BL13:BL15"/>
    <mergeCell ref="BM13:BM15"/>
    <mergeCell ref="BN13:BN15"/>
    <mergeCell ref="BC13:BC15"/>
    <mergeCell ref="BD13:BD15"/>
    <mergeCell ref="V16:V18"/>
    <mergeCell ref="AD16:AD18"/>
    <mergeCell ref="AE16:AE18"/>
    <mergeCell ref="AF16:AF18"/>
    <mergeCell ref="AG16:AG18"/>
    <mergeCell ref="AH16:AH18"/>
    <mergeCell ref="P16:P18"/>
    <mergeCell ref="Q16:Q18"/>
    <mergeCell ref="R16:R18"/>
    <mergeCell ref="S16:S18"/>
    <mergeCell ref="T16:T18"/>
    <mergeCell ref="U16:U18"/>
    <mergeCell ref="AO16:AO18"/>
    <mergeCell ref="AP16:AP18"/>
    <mergeCell ref="AQ16:AQ18"/>
    <mergeCell ref="AR16:AR18"/>
    <mergeCell ref="AS16:AS18"/>
    <mergeCell ref="AT16:AT18"/>
    <mergeCell ref="AI16:AI18"/>
    <mergeCell ref="AJ16:AJ18"/>
    <mergeCell ref="AK16:AK18"/>
    <mergeCell ref="AL16:AL18"/>
    <mergeCell ref="AM16:AM18"/>
    <mergeCell ref="AN16:AN18"/>
    <mergeCell ref="BC16:BC18"/>
    <mergeCell ref="BD16:BD18"/>
    <mergeCell ref="BE16:BE18"/>
    <mergeCell ref="BF16:BF18"/>
    <mergeCell ref="AU16:AU18"/>
    <mergeCell ref="AV16:AV18"/>
    <mergeCell ref="AW16:AW18"/>
    <mergeCell ref="AX16:AX18"/>
    <mergeCell ref="AY16:AY18"/>
    <mergeCell ref="AZ16:AZ18"/>
    <mergeCell ref="BS16:BS18"/>
    <mergeCell ref="BT16:BT18"/>
    <mergeCell ref="BU16:BU18"/>
    <mergeCell ref="F20:N20"/>
    <mergeCell ref="G21:G23"/>
    <mergeCell ref="H21:H23"/>
    <mergeCell ref="I21:I23"/>
    <mergeCell ref="J21:J23"/>
    <mergeCell ref="K21:K23"/>
    <mergeCell ref="L21:L23"/>
    <mergeCell ref="BM16:BM18"/>
    <mergeCell ref="BN16:BN18"/>
    <mergeCell ref="BO16:BO18"/>
    <mergeCell ref="BP16:BP18"/>
    <mergeCell ref="BQ16:BQ18"/>
    <mergeCell ref="BR16:BR18"/>
    <mergeCell ref="BG16:BG18"/>
    <mergeCell ref="BH16:BH18"/>
    <mergeCell ref="BI16:BI18"/>
    <mergeCell ref="BJ16:BJ18"/>
    <mergeCell ref="BK16:BK18"/>
    <mergeCell ref="BL16:BL18"/>
    <mergeCell ref="BA16:BA18"/>
    <mergeCell ref="BB16:BB18"/>
    <mergeCell ref="S21:S23"/>
    <mergeCell ref="T21:T23"/>
    <mergeCell ref="U21:U23"/>
    <mergeCell ref="V21:V23"/>
    <mergeCell ref="W21:W23"/>
    <mergeCell ref="AB21:AB23"/>
    <mergeCell ref="M21:M23"/>
    <mergeCell ref="N21:N23"/>
    <mergeCell ref="O21:O23"/>
    <mergeCell ref="P21:P23"/>
    <mergeCell ref="Q21:Q23"/>
    <mergeCell ref="R21:R23"/>
    <mergeCell ref="AI21:AI23"/>
    <mergeCell ref="AJ21:AJ23"/>
    <mergeCell ref="AK21:AK23"/>
    <mergeCell ref="AL21:AL23"/>
    <mergeCell ref="AM21:AM23"/>
    <mergeCell ref="AN21:AN23"/>
    <mergeCell ref="AC21:AC23"/>
    <mergeCell ref="AD21:AD23"/>
    <mergeCell ref="AE21:AE23"/>
    <mergeCell ref="AF21:AF23"/>
    <mergeCell ref="AG21:AG23"/>
    <mergeCell ref="AH21:AH23"/>
    <mergeCell ref="BF21:BF23"/>
    <mergeCell ref="AU21:AU23"/>
    <mergeCell ref="AV21:AV23"/>
    <mergeCell ref="AW21:AW23"/>
    <mergeCell ref="AX21:AX23"/>
    <mergeCell ref="AY21:AY23"/>
    <mergeCell ref="AZ21:AZ23"/>
    <mergeCell ref="AO21:AO23"/>
    <mergeCell ref="AP21:AP23"/>
    <mergeCell ref="AQ21:AQ23"/>
    <mergeCell ref="AR21:AR23"/>
    <mergeCell ref="AS21:AS23"/>
    <mergeCell ref="AT21:AT23"/>
    <mergeCell ref="E29:N29"/>
    <mergeCell ref="BS21:BS23"/>
    <mergeCell ref="BT21:BT23"/>
    <mergeCell ref="BU21:BU23"/>
    <mergeCell ref="Q27:U27"/>
    <mergeCell ref="E28:N28"/>
    <mergeCell ref="Q28:U28"/>
    <mergeCell ref="BM21:BM23"/>
    <mergeCell ref="BN21:BN23"/>
    <mergeCell ref="BO21:BO23"/>
    <mergeCell ref="BP21:BP23"/>
    <mergeCell ref="BQ21:BQ23"/>
    <mergeCell ref="BR21:BR23"/>
    <mergeCell ref="BG21:BG23"/>
    <mergeCell ref="BH21:BH23"/>
    <mergeCell ref="BI21:BI23"/>
    <mergeCell ref="BJ21:BJ23"/>
    <mergeCell ref="BK21:BK23"/>
    <mergeCell ref="BL21:BL23"/>
    <mergeCell ref="BA21:BA23"/>
    <mergeCell ref="BB21:BB23"/>
    <mergeCell ref="BC21:BC23"/>
    <mergeCell ref="BD21:BD23"/>
    <mergeCell ref="BE21:BE23"/>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239"/>
  <sheetViews>
    <sheetView showGridLines="0" zoomScale="70" zoomScaleNormal="70" workbookViewId="0">
      <selection sqref="A1:BI4"/>
    </sheetView>
  </sheetViews>
  <sheetFormatPr baseColWidth="10" defaultColWidth="138.85546875" defaultRowHeight="15" x14ac:dyDescent="0.25"/>
  <cols>
    <col min="1" max="1" width="11.5703125" style="1834" customWidth="1"/>
    <col min="2" max="2" width="12.28515625" style="1717" customWidth="1"/>
    <col min="3" max="3" width="10.42578125" style="1717" customWidth="1"/>
    <col min="4" max="4" width="12.28515625" style="1717" customWidth="1"/>
    <col min="5" max="5" width="9.85546875" style="1717" bestFit="1" customWidth="1"/>
    <col min="6" max="6" width="10.28515625" style="1717" customWidth="1"/>
    <col min="7" max="7" width="14.42578125" style="1717" customWidth="1"/>
    <col min="8" max="8" width="36.42578125" style="1835" customWidth="1"/>
    <col min="9" max="9" width="23.42578125" style="1717" customWidth="1"/>
    <col min="10" max="10" width="30" style="1835" customWidth="1"/>
    <col min="11" max="11" width="20.7109375" style="1716" customWidth="1"/>
    <col min="12" max="12" width="33" style="1835" customWidth="1"/>
    <col min="13" max="13" width="21.140625" style="1716" customWidth="1"/>
    <col min="14" max="14" width="31.140625" style="1835" customWidth="1"/>
    <col min="15" max="16" width="21.5703125" style="1716" customWidth="1"/>
    <col min="17" max="17" width="21.28515625" style="1716" customWidth="1"/>
    <col min="18" max="18" width="30.140625" style="1835" customWidth="1"/>
    <col min="19" max="19" width="18.7109375" style="1836" customWidth="1"/>
    <col min="20" max="20" width="33.5703125" style="1837" customWidth="1"/>
    <col min="21" max="21" width="37.5703125" style="1835" customWidth="1"/>
    <col min="22" max="22" width="42.42578125" style="1835" customWidth="1"/>
    <col min="23" max="23" width="55.42578125" style="1835" customWidth="1"/>
    <col min="24" max="24" width="36.7109375" style="1844" customWidth="1"/>
    <col min="25" max="26" width="33.85546875" style="1844" customWidth="1"/>
    <col min="27" max="27" width="52.7109375" style="1843" customWidth="1"/>
    <col min="28" max="28" width="17.140625" style="1840" customWidth="1"/>
    <col min="29" max="29" width="27.85546875" style="1835" customWidth="1"/>
    <col min="30" max="53" width="9.7109375" style="1717" customWidth="1"/>
    <col min="54" max="61" width="10.7109375" style="1717" customWidth="1"/>
    <col min="62" max="62" width="17.140625" style="1717" customWidth="1"/>
    <col min="63" max="63" width="25.28515625" style="1717" customWidth="1"/>
    <col min="64" max="64" width="26.28515625" style="1717" customWidth="1"/>
    <col min="65" max="65" width="17.7109375" style="1717" customWidth="1"/>
    <col min="66" max="66" width="20" style="1717" customWidth="1"/>
    <col min="67" max="67" width="21.42578125" style="1717" customWidth="1"/>
    <col min="68" max="68" width="23.140625" style="1717" customWidth="1"/>
    <col min="69" max="71" width="16.7109375" style="1841" customWidth="1"/>
    <col min="72" max="72" width="17.7109375" style="1841" customWidth="1"/>
    <col min="73" max="73" width="34.28515625" style="1717" customWidth="1"/>
    <col min="74" max="16384" width="138.85546875" style="1717"/>
  </cols>
  <sheetData>
    <row r="1" spans="1:93" ht="30.75" customHeight="1" x14ac:dyDescent="0.25">
      <c r="A1" s="3986" t="s">
        <v>2567</v>
      </c>
      <c r="B1" s="2862"/>
      <c r="C1" s="2862"/>
      <c r="D1" s="2862"/>
      <c r="E1" s="2862"/>
      <c r="F1" s="2862"/>
      <c r="G1" s="2862"/>
      <c r="H1" s="2862"/>
      <c r="I1" s="2862"/>
      <c r="J1" s="2862"/>
      <c r="K1" s="2862"/>
      <c r="L1" s="2862"/>
      <c r="M1" s="2862"/>
      <c r="N1" s="2862"/>
      <c r="O1" s="2862"/>
      <c r="P1" s="2862"/>
      <c r="Q1" s="2862"/>
      <c r="R1" s="2862"/>
      <c r="S1" s="2862"/>
      <c r="T1" s="2862"/>
      <c r="U1" s="2862"/>
      <c r="V1" s="2862"/>
      <c r="W1" s="2862"/>
      <c r="X1" s="2862"/>
      <c r="Y1" s="2862"/>
      <c r="Z1" s="2862"/>
      <c r="AA1" s="2862"/>
      <c r="AB1" s="2862"/>
      <c r="AC1" s="2862"/>
      <c r="AD1" s="2862"/>
      <c r="AE1" s="2862"/>
      <c r="AF1" s="2862"/>
      <c r="AG1" s="2862"/>
      <c r="AH1" s="2862"/>
      <c r="AI1" s="2862"/>
      <c r="AJ1" s="2862"/>
      <c r="AK1" s="2862"/>
      <c r="AL1" s="2862"/>
      <c r="AM1" s="2862"/>
      <c r="AN1" s="2862"/>
      <c r="AO1" s="2862"/>
      <c r="AP1" s="2862"/>
      <c r="AQ1" s="2862"/>
      <c r="AR1" s="2862"/>
      <c r="AS1" s="2862"/>
      <c r="AT1" s="2862"/>
      <c r="AU1" s="2862"/>
      <c r="AV1" s="2862"/>
      <c r="AW1" s="2862"/>
      <c r="AX1" s="2862"/>
      <c r="AY1" s="2862"/>
      <c r="AZ1" s="2862"/>
      <c r="BA1" s="2862"/>
      <c r="BB1" s="2862"/>
      <c r="BC1" s="2862"/>
      <c r="BD1" s="2862"/>
      <c r="BE1" s="2862"/>
      <c r="BF1" s="2862"/>
      <c r="BG1" s="2862"/>
      <c r="BH1" s="2862"/>
      <c r="BI1" s="2862"/>
      <c r="BJ1" s="335"/>
      <c r="BK1" s="335"/>
      <c r="BL1" s="335"/>
      <c r="BM1" s="335"/>
      <c r="BN1" s="335"/>
      <c r="BO1" s="335"/>
      <c r="BP1" s="335"/>
      <c r="BQ1" s="335"/>
      <c r="BR1" s="335"/>
      <c r="BS1" s="335"/>
      <c r="BT1" s="366" t="s">
        <v>2568</v>
      </c>
      <c r="BU1" s="366" t="s">
        <v>1507</v>
      </c>
      <c r="BV1" s="1716"/>
      <c r="BW1" s="1716"/>
      <c r="BX1" s="1716"/>
      <c r="BY1" s="1716"/>
      <c r="BZ1" s="1716"/>
      <c r="CA1" s="1716"/>
      <c r="CB1" s="1716"/>
      <c r="CC1" s="1716"/>
      <c r="CD1" s="1716"/>
      <c r="CE1" s="1716"/>
      <c r="CF1" s="1716"/>
      <c r="CG1" s="1716"/>
      <c r="CH1" s="1716"/>
      <c r="CI1" s="1716"/>
      <c r="CJ1" s="1716"/>
      <c r="CK1" s="1716"/>
      <c r="CL1" s="1716"/>
      <c r="CM1" s="1716"/>
      <c r="CN1" s="1716"/>
      <c r="CO1" s="1716"/>
    </row>
    <row r="2" spans="1:93" ht="18" customHeight="1" x14ac:dyDescent="0.25">
      <c r="A2" s="3987"/>
      <c r="B2" s="3988"/>
      <c r="C2" s="3988"/>
      <c r="D2" s="3988"/>
      <c r="E2" s="3988"/>
      <c r="F2" s="3988"/>
      <c r="G2" s="3988"/>
      <c r="H2" s="3988"/>
      <c r="I2" s="3988"/>
      <c r="J2" s="3988"/>
      <c r="K2" s="3988"/>
      <c r="L2" s="3988"/>
      <c r="M2" s="3988"/>
      <c r="N2" s="3988"/>
      <c r="O2" s="3988"/>
      <c r="P2" s="3988"/>
      <c r="Q2" s="3988"/>
      <c r="R2" s="3988"/>
      <c r="S2" s="3988"/>
      <c r="T2" s="3988"/>
      <c r="U2" s="3988"/>
      <c r="V2" s="3988"/>
      <c r="W2" s="3988"/>
      <c r="X2" s="3988"/>
      <c r="Y2" s="3988"/>
      <c r="Z2" s="3988"/>
      <c r="AA2" s="3988"/>
      <c r="AB2" s="3988"/>
      <c r="AC2" s="3988"/>
      <c r="AD2" s="3988"/>
      <c r="AE2" s="3988"/>
      <c r="AF2" s="3988"/>
      <c r="AG2" s="3988"/>
      <c r="AH2" s="3988"/>
      <c r="AI2" s="3988"/>
      <c r="AJ2" s="3988"/>
      <c r="AK2" s="3988"/>
      <c r="AL2" s="3988"/>
      <c r="AM2" s="3988"/>
      <c r="AN2" s="3988"/>
      <c r="AO2" s="3988"/>
      <c r="AP2" s="3988"/>
      <c r="AQ2" s="3988"/>
      <c r="AR2" s="3988"/>
      <c r="AS2" s="3988"/>
      <c r="AT2" s="3988"/>
      <c r="AU2" s="3988"/>
      <c r="AV2" s="3988"/>
      <c r="AW2" s="3988"/>
      <c r="AX2" s="3988"/>
      <c r="AY2" s="3988"/>
      <c r="AZ2" s="3988"/>
      <c r="BA2" s="3988"/>
      <c r="BB2" s="3988"/>
      <c r="BC2" s="3988"/>
      <c r="BD2" s="3988"/>
      <c r="BE2" s="3988"/>
      <c r="BF2" s="3988"/>
      <c r="BG2" s="3988"/>
      <c r="BH2" s="3988"/>
      <c r="BI2" s="3988"/>
      <c r="BJ2" s="62"/>
      <c r="BK2" s="62"/>
      <c r="BL2" s="62"/>
      <c r="BM2" s="62"/>
      <c r="BN2" s="62"/>
      <c r="BO2" s="62"/>
      <c r="BP2" s="62"/>
      <c r="BQ2" s="62"/>
      <c r="BR2" s="62"/>
      <c r="BS2" s="62"/>
      <c r="BT2" s="366" t="s">
        <v>2569</v>
      </c>
      <c r="BU2" s="1958" t="s">
        <v>1073</v>
      </c>
      <c r="BV2" s="1716"/>
      <c r="BW2" s="1716"/>
      <c r="BX2" s="1716"/>
      <c r="BY2" s="1716"/>
      <c r="BZ2" s="1716"/>
      <c r="CA2" s="1716"/>
      <c r="CB2" s="1716"/>
      <c r="CC2" s="1716"/>
      <c r="CD2" s="1716"/>
      <c r="CE2" s="1716"/>
      <c r="CF2" s="1716"/>
      <c r="CG2" s="1716"/>
      <c r="CH2" s="1716"/>
      <c r="CI2" s="1716"/>
      <c r="CJ2" s="1716"/>
      <c r="CK2" s="1716"/>
      <c r="CL2" s="1716"/>
      <c r="CM2" s="1716"/>
      <c r="CN2" s="1716"/>
      <c r="CO2" s="1716"/>
    </row>
    <row r="3" spans="1:93" ht="23.25" customHeight="1" x14ac:dyDescent="0.25">
      <c r="A3" s="3987"/>
      <c r="B3" s="3988"/>
      <c r="C3" s="3988"/>
      <c r="D3" s="3988"/>
      <c r="E3" s="3988"/>
      <c r="F3" s="3988"/>
      <c r="G3" s="3988"/>
      <c r="H3" s="3988"/>
      <c r="I3" s="3988"/>
      <c r="J3" s="3988"/>
      <c r="K3" s="3988"/>
      <c r="L3" s="3988"/>
      <c r="M3" s="3988"/>
      <c r="N3" s="3988"/>
      <c r="O3" s="3988"/>
      <c r="P3" s="3988"/>
      <c r="Q3" s="3988"/>
      <c r="R3" s="3988"/>
      <c r="S3" s="3988"/>
      <c r="T3" s="3988"/>
      <c r="U3" s="3988"/>
      <c r="V3" s="3988"/>
      <c r="W3" s="3988"/>
      <c r="X3" s="3988"/>
      <c r="Y3" s="3988"/>
      <c r="Z3" s="3988"/>
      <c r="AA3" s="3988"/>
      <c r="AB3" s="3988"/>
      <c r="AC3" s="3988"/>
      <c r="AD3" s="3988"/>
      <c r="AE3" s="3988"/>
      <c r="AF3" s="3988"/>
      <c r="AG3" s="3988"/>
      <c r="AH3" s="3988"/>
      <c r="AI3" s="3988"/>
      <c r="AJ3" s="3988"/>
      <c r="AK3" s="3988"/>
      <c r="AL3" s="3988"/>
      <c r="AM3" s="3988"/>
      <c r="AN3" s="3988"/>
      <c r="AO3" s="3988"/>
      <c r="AP3" s="3988"/>
      <c r="AQ3" s="3988"/>
      <c r="AR3" s="3988"/>
      <c r="AS3" s="3988"/>
      <c r="AT3" s="3988"/>
      <c r="AU3" s="3988"/>
      <c r="AV3" s="3988"/>
      <c r="AW3" s="3988"/>
      <c r="AX3" s="3988"/>
      <c r="AY3" s="3988"/>
      <c r="AZ3" s="3988"/>
      <c r="BA3" s="3988"/>
      <c r="BB3" s="3988"/>
      <c r="BC3" s="3988"/>
      <c r="BD3" s="3988"/>
      <c r="BE3" s="3988"/>
      <c r="BF3" s="3988"/>
      <c r="BG3" s="3988"/>
      <c r="BH3" s="3988"/>
      <c r="BI3" s="3988"/>
      <c r="BJ3" s="62"/>
      <c r="BK3" s="62"/>
      <c r="BL3" s="62"/>
      <c r="BM3" s="62"/>
      <c r="BN3" s="62"/>
      <c r="BO3" s="62"/>
      <c r="BP3" s="62"/>
      <c r="BQ3" s="62"/>
      <c r="BR3" s="62"/>
      <c r="BS3" s="62"/>
      <c r="BT3" s="366" t="s">
        <v>2570</v>
      </c>
      <c r="BU3" s="2231">
        <v>44266</v>
      </c>
      <c r="BV3" s="1716"/>
      <c r="BW3" s="1716"/>
      <c r="BX3" s="1716"/>
      <c r="BY3" s="1716"/>
      <c r="BZ3" s="1716"/>
      <c r="CA3" s="1716"/>
      <c r="CB3" s="1716"/>
      <c r="CC3" s="1716"/>
      <c r="CD3" s="1716"/>
      <c r="CE3" s="1716"/>
      <c r="CF3" s="1716"/>
      <c r="CG3" s="1716"/>
      <c r="CH3" s="1716"/>
      <c r="CI3" s="1716"/>
      <c r="CJ3" s="1716"/>
      <c r="CK3" s="1716"/>
      <c r="CL3" s="1716"/>
      <c r="CM3" s="1716"/>
      <c r="CN3" s="1716"/>
      <c r="CO3" s="1716"/>
    </row>
    <row r="4" spans="1:93" ht="17.25" customHeight="1" x14ac:dyDescent="0.25">
      <c r="A4" s="3989"/>
      <c r="B4" s="2863"/>
      <c r="C4" s="2863"/>
      <c r="D4" s="2863"/>
      <c r="E4" s="2863"/>
      <c r="F4" s="2863"/>
      <c r="G4" s="2863"/>
      <c r="H4" s="2863"/>
      <c r="I4" s="2863"/>
      <c r="J4" s="2863"/>
      <c r="K4" s="2863"/>
      <c r="L4" s="2863"/>
      <c r="M4" s="2863"/>
      <c r="N4" s="2863"/>
      <c r="O4" s="2863"/>
      <c r="P4" s="2863"/>
      <c r="Q4" s="3162"/>
      <c r="R4" s="3162"/>
      <c r="S4" s="3162"/>
      <c r="T4" s="3162"/>
      <c r="U4" s="3162"/>
      <c r="V4" s="3162"/>
      <c r="W4" s="3162"/>
      <c r="X4" s="3162"/>
      <c r="Y4" s="3162"/>
      <c r="Z4" s="3162"/>
      <c r="AA4" s="3162"/>
      <c r="AB4" s="3162"/>
      <c r="AC4" s="3162"/>
      <c r="AD4" s="3162"/>
      <c r="AE4" s="3162"/>
      <c r="AF4" s="3162"/>
      <c r="AG4" s="3162"/>
      <c r="AH4" s="3162"/>
      <c r="AI4" s="3162"/>
      <c r="AJ4" s="3162"/>
      <c r="AK4" s="3162"/>
      <c r="AL4" s="3162"/>
      <c r="AM4" s="3162"/>
      <c r="AN4" s="3162"/>
      <c r="AO4" s="3162"/>
      <c r="AP4" s="3162"/>
      <c r="AQ4" s="3162"/>
      <c r="AR4" s="3162"/>
      <c r="AS4" s="3162"/>
      <c r="AT4" s="3162"/>
      <c r="AU4" s="3162"/>
      <c r="AV4" s="3162"/>
      <c r="AW4" s="3162"/>
      <c r="AX4" s="3162"/>
      <c r="AY4" s="3162"/>
      <c r="AZ4" s="3162"/>
      <c r="BA4" s="3162"/>
      <c r="BB4" s="3162"/>
      <c r="BC4" s="3162"/>
      <c r="BD4" s="3162"/>
      <c r="BE4" s="3162"/>
      <c r="BF4" s="3162"/>
      <c r="BG4" s="3162"/>
      <c r="BH4" s="3162"/>
      <c r="BI4" s="3162"/>
      <c r="BJ4" s="335"/>
      <c r="BK4" s="335"/>
      <c r="BL4" s="335"/>
      <c r="BM4" s="335"/>
      <c r="BN4" s="335"/>
      <c r="BO4" s="335"/>
      <c r="BP4" s="335"/>
      <c r="BQ4" s="335"/>
      <c r="BR4" s="335"/>
      <c r="BS4" s="335"/>
      <c r="BT4" s="1718" t="s">
        <v>2571</v>
      </c>
      <c r="BU4" s="1719" t="s">
        <v>6</v>
      </c>
      <c r="BV4" s="1716"/>
      <c r="BW4" s="1716"/>
      <c r="BX4" s="1716"/>
      <c r="BY4" s="1716"/>
      <c r="BZ4" s="1716"/>
      <c r="CA4" s="1716"/>
      <c r="CB4" s="1716"/>
      <c r="CC4" s="1716"/>
      <c r="CD4" s="1716"/>
      <c r="CE4" s="1716"/>
      <c r="CF4" s="1716"/>
      <c r="CG4" s="1716"/>
      <c r="CH4" s="1716"/>
      <c r="CI4" s="1716"/>
      <c r="CJ4" s="1716"/>
      <c r="CK4" s="1716"/>
      <c r="CL4" s="1716"/>
      <c r="CM4" s="1716"/>
      <c r="CN4" s="1716"/>
      <c r="CO4" s="1716"/>
    </row>
    <row r="5" spans="1:93" ht="15.75" x14ac:dyDescent="0.25">
      <c r="A5" s="3988" t="s">
        <v>2572</v>
      </c>
      <c r="B5" s="3988"/>
      <c r="C5" s="3988"/>
      <c r="D5" s="3988"/>
      <c r="E5" s="3988"/>
      <c r="F5" s="3988"/>
      <c r="G5" s="3988"/>
      <c r="H5" s="3988"/>
      <c r="I5" s="3988"/>
      <c r="J5" s="3988"/>
      <c r="K5" s="3988"/>
      <c r="L5" s="3988"/>
      <c r="M5" s="3988"/>
      <c r="N5" s="3988"/>
      <c r="O5" s="3988"/>
      <c r="P5" s="62"/>
      <c r="Q5" s="2864"/>
      <c r="R5" s="2864"/>
      <c r="S5" s="2864"/>
      <c r="T5" s="2864"/>
      <c r="U5" s="2864"/>
      <c r="V5" s="2864"/>
      <c r="W5" s="2864"/>
      <c r="X5" s="2864"/>
      <c r="Y5" s="2864"/>
      <c r="Z5" s="2864"/>
      <c r="AA5" s="2864"/>
      <c r="AB5" s="2864"/>
      <c r="AC5" s="2864"/>
      <c r="AD5" s="2864"/>
      <c r="AE5" s="2864"/>
      <c r="AF5" s="2864"/>
      <c r="AG5" s="2864"/>
      <c r="AH5" s="2864"/>
      <c r="AI5" s="2864"/>
      <c r="AJ5" s="2864"/>
      <c r="AK5" s="2864"/>
      <c r="AL5" s="2864"/>
      <c r="AM5" s="2864"/>
      <c r="AN5" s="2864"/>
      <c r="AO5" s="2864"/>
      <c r="AP5" s="2864"/>
      <c r="AQ5" s="2864"/>
      <c r="AR5" s="2864"/>
      <c r="AS5" s="2864"/>
      <c r="AT5" s="2864"/>
      <c r="AU5" s="2864"/>
      <c r="AV5" s="2864"/>
      <c r="AW5" s="2864"/>
      <c r="AX5" s="2864"/>
      <c r="AY5" s="2864"/>
      <c r="AZ5" s="2864"/>
      <c r="BA5" s="2864"/>
      <c r="BB5" s="2864"/>
      <c r="BC5" s="2864"/>
      <c r="BD5" s="2864"/>
      <c r="BE5" s="2864"/>
      <c r="BF5" s="2864"/>
      <c r="BG5" s="2864"/>
      <c r="BH5" s="2864"/>
      <c r="BI5" s="2864"/>
      <c r="BJ5" s="2864"/>
      <c r="BK5" s="2864"/>
      <c r="BL5" s="2864"/>
      <c r="BM5" s="2864"/>
      <c r="BN5" s="2864"/>
      <c r="BO5" s="2864"/>
      <c r="BP5" s="2864"/>
      <c r="BQ5" s="2864"/>
      <c r="BR5" s="2864"/>
      <c r="BS5" s="2864"/>
      <c r="BT5" s="2864"/>
      <c r="BU5" s="2864"/>
      <c r="BV5" s="1716"/>
      <c r="BW5" s="1716"/>
      <c r="BX5" s="1716"/>
      <c r="BY5" s="1716"/>
      <c r="BZ5" s="1716"/>
      <c r="CA5" s="1716"/>
      <c r="CB5" s="1716"/>
      <c r="CC5" s="1716"/>
      <c r="CD5" s="1716"/>
      <c r="CE5" s="1716"/>
      <c r="CF5" s="1716"/>
      <c r="CG5" s="1716"/>
      <c r="CH5" s="1716"/>
      <c r="CI5" s="1716"/>
      <c r="CJ5" s="1716"/>
      <c r="CK5" s="1716"/>
      <c r="CL5" s="1716"/>
      <c r="CM5" s="1716"/>
      <c r="CN5" s="1716"/>
      <c r="CO5" s="1716"/>
    </row>
    <row r="6" spans="1:93" ht="15.75" x14ac:dyDescent="0.25">
      <c r="A6" s="2863"/>
      <c r="B6" s="2863"/>
      <c r="C6" s="2863"/>
      <c r="D6" s="2863"/>
      <c r="E6" s="2863"/>
      <c r="F6" s="2863"/>
      <c r="G6" s="2863"/>
      <c r="H6" s="2863"/>
      <c r="I6" s="2863"/>
      <c r="J6" s="2863"/>
      <c r="K6" s="2863"/>
      <c r="L6" s="2863"/>
      <c r="M6" s="2863"/>
      <c r="N6" s="2863"/>
      <c r="O6" s="3988"/>
      <c r="P6" s="62"/>
      <c r="Q6" s="62"/>
      <c r="R6" s="1721"/>
      <c r="S6" s="62"/>
      <c r="T6" s="1722"/>
      <c r="U6" s="1721"/>
      <c r="V6" s="1721"/>
      <c r="W6" s="1721"/>
      <c r="X6" s="1722"/>
      <c r="Y6" s="1722"/>
      <c r="Z6" s="1722"/>
      <c r="AA6" s="1723"/>
      <c r="AB6" s="1724"/>
      <c r="AC6" s="1724"/>
      <c r="AD6" s="3989" t="s">
        <v>8</v>
      </c>
      <c r="AE6" s="2863"/>
      <c r="AF6" s="2863"/>
      <c r="AG6" s="2863"/>
      <c r="AH6" s="2863"/>
      <c r="AI6" s="2863"/>
      <c r="AJ6" s="2863"/>
      <c r="AK6" s="2863"/>
      <c r="AL6" s="2863"/>
      <c r="AM6" s="2863"/>
      <c r="AN6" s="2863"/>
      <c r="AO6" s="2863"/>
      <c r="AP6" s="2863"/>
      <c r="AQ6" s="2863"/>
      <c r="AR6" s="2863"/>
      <c r="AS6" s="2863"/>
      <c r="AT6" s="2863"/>
      <c r="AU6" s="2863"/>
      <c r="AV6" s="2863"/>
      <c r="AW6" s="2863"/>
      <c r="AX6" s="2863"/>
      <c r="AY6" s="2863"/>
      <c r="AZ6" s="2863"/>
      <c r="BA6" s="2863"/>
      <c r="BB6" s="2863"/>
      <c r="BC6" s="2863"/>
      <c r="BD6" s="2863"/>
      <c r="BE6" s="2863"/>
      <c r="BF6" s="3990"/>
      <c r="BG6" s="1724"/>
      <c r="BH6" s="1725"/>
      <c r="BI6" s="1725"/>
      <c r="BJ6" s="1725"/>
      <c r="BK6" s="1725"/>
      <c r="BL6" s="1725"/>
      <c r="BM6" s="1725"/>
      <c r="BN6" s="1725"/>
      <c r="BO6" s="1725"/>
      <c r="BP6" s="1725"/>
      <c r="BQ6" s="1724"/>
      <c r="BR6" s="1724"/>
      <c r="BS6" s="1724"/>
      <c r="BT6" s="1724"/>
      <c r="BU6" s="1726"/>
      <c r="BV6" s="1716"/>
      <c r="BW6" s="1716"/>
      <c r="BX6" s="1716"/>
      <c r="BY6" s="1716"/>
      <c r="BZ6" s="1716"/>
      <c r="CA6" s="1716"/>
      <c r="CB6" s="1716"/>
      <c r="CC6" s="1716"/>
      <c r="CD6" s="1716"/>
      <c r="CE6" s="1716"/>
      <c r="CF6" s="1716"/>
      <c r="CG6" s="1716"/>
      <c r="CH6" s="1716"/>
      <c r="CI6" s="1716"/>
      <c r="CJ6" s="1716"/>
      <c r="CK6" s="1716"/>
      <c r="CL6" s="1716"/>
      <c r="CM6" s="1716"/>
      <c r="CN6" s="1716"/>
      <c r="CO6" s="1716"/>
    </row>
    <row r="7" spans="1:93" ht="45" customHeight="1" x14ac:dyDescent="0.25">
      <c r="A7" s="3991" t="s">
        <v>9</v>
      </c>
      <c r="B7" s="3992"/>
      <c r="C7" s="3993" t="s">
        <v>10</v>
      </c>
      <c r="D7" s="3991"/>
      <c r="E7" s="3994" t="s">
        <v>11</v>
      </c>
      <c r="F7" s="3994"/>
      <c r="G7" s="3993" t="s">
        <v>12</v>
      </c>
      <c r="H7" s="3991"/>
      <c r="I7" s="3991"/>
      <c r="J7" s="3991"/>
      <c r="K7" s="3993" t="s">
        <v>13</v>
      </c>
      <c r="L7" s="3991"/>
      <c r="M7" s="3991"/>
      <c r="N7" s="3991"/>
      <c r="O7" s="3995" t="s">
        <v>14</v>
      </c>
      <c r="P7" s="3995"/>
      <c r="Q7" s="3995"/>
      <c r="R7" s="3995"/>
      <c r="S7" s="3995"/>
      <c r="T7" s="3995"/>
      <c r="U7" s="3995"/>
      <c r="V7" s="3995"/>
      <c r="W7" s="3995"/>
      <c r="X7" s="3995"/>
      <c r="Y7" s="3995"/>
      <c r="Z7" s="3995"/>
      <c r="AA7" s="2871" t="s">
        <v>15</v>
      </c>
      <c r="AB7" s="2871"/>
      <c r="AC7" s="3999"/>
      <c r="AD7" s="2640" t="s">
        <v>16</v>
      </c>
      <c r="AE7" s="2640"/>
      <c r="AF7" s="2640"/>
      <c r="AG7" s="2640"/>
      <c r="AH7" s="2352" t="s">
        <v>17</v>
      </c>
      <c r="AI7" s="2353"/>
      <c r="AJ7" s="2353"/>
      <c r="AK7" s="2353"/>
      <c r="AL7" s="2353"/>
      <c r="AM7" s="2353"/>
      <c r="AN7" s="2353"/>
      <c r="AO7" s="2354"/>
      <c r="AP7" s="2360" t="s">
        <v>18</v>
      </c>
      <c r="AQ7" s="2507"/>
      <c r="AR7" s="2507"/>
      <c r="AS7" s="2507"/>
      <c r="AT7" s="2507"/>
      <c r="AU7" s="2507"/>
      <c r="AV7" s="2507"/>
      <c r="AW7" s="2507"/>
      <c r="AX7" s="2507"/>
      <c r="AY7" s="2507"/>
      <c r="AZ7" s="2507"/>
      <c r="BA7" s="2361"/>
      <c r="BB7" s="2356" t="s">
        <v>19</v>
      </c>
      <c r="BC7" s="2356"/>
      <c r="BD7" s="2356"/>
      <c r="BE7" s="2356"/>
      <c r="BF7" s="2356"/>
      <c r="BG7" s="2356"/>
      <c r="BH7" s="2527" t="s">
        <v>20</v>
      </c>
      <c r="BI7" s="2528"/>
      <c r="BJ7" s="2875" t="s">
        <v>1705</v>
      </c>
      <c r="BK7" s="2876"/>
      <c r="BL7" s="2876"/>
      <c r="BM7" s="2876"/>
      <c r="BN7" s="2876"/>
      <c r="BO7" s="2876"/>
      <c r="BP7" s="2877"/>
      <c r="BQ7" s="2878" t="s">
        <v>1509</v>
      </c>
      <c r="BR7" s="2879"/>
      <c r="BS7" s="2878" t="s">
        <v>2573</v>
      </c>
      <c r="BT7" s="2879"/>
      <c r="BU7" s="3996" t="s">
        <v>24</v>
      </c>
      <c r="BV7" s="1716"/>
      <c r="BW7" s="1716"/>
      <c r="BX7" s="1716"/>
      <c r="BY7" s="1716"/>
      <c r="BZ7" s="1716"/>
      <c r="CA7" s="1716"/>
      <c r="CB7" s="1716"/>
      <c r="CC7" s="1716"/>
      <c r="CD7" s="1716"/>
      <c r="CE7" s="1716"/>
      <c r="CF7" s="1716"/>
      <c r="CG7" s="1716"/>
      <c r="CH7" s="1716"/>
      <c r="CI7" s="1716"/>
      <c r="CJ7" s="1716"/>
      <c r="CK7" s="1716"/>
      <c r="CL7" s="1716"/>
      <c r="CM7" s="1716"/>
      <c r="CN7" s="1716"/>
      <c r="CO7" s="1716"/>
    </row>
    <row r="8" spans="1:93" ht="105" customHeight="1" x14ac:dyDescent="0.25">
      <c r="A8" s="3980" t="s">
        <v>25</v>
      </c>
      <c r="B8" s="2903" t="s">
        <v>26</v>
      </c>
      <c r="C8" s="3980" t="s">
        <v>25</v>
      </c>
      <c r="D8" s="2903" t="s">
        <v>26</v>
      </c>
      <c r="E8" s="2903" t="s">
        <v>25</v>
      </c>
      <c r="F8" s="2903" t="s">
        <v>26</v>
      </c>
      <c r="G8" s="2903" t="s">
        <v>27</v>
      </c>
      <c r="H8" s="2903" t="s">
        <v>28</v>
      </c>
      <c r="I8" s="2903" t="s">
        <v>29</v>
      </c>
      <c r="J8" s="2903" t="s">
        <v>131</v>
      </c>
      <c r="K8" s="2903" t="s">
        <v>27</v>
      </c>
      <c r="L8" s="2903" t="s">
        <v>31</v>
      </c>
      <c r="M8" s="2903" t="s">
        <v>32</v>
      </c>
      <c r="N8" s="2903" t="s">
        <v>33</v>
      </c>
      <c r="O8" s="3983" t="s">
        <v>130</v>
      </c>
      <c r="P8" s="3983"/>
      <c r="Q8" s="2927" t="s">
        <v>35</v>
      </c>
      <c r="R8" s="2927" t="s">
        <v>36</v>
      </c>
      <c r="S8" s="3984" t="s">
        <v>37</v>
      </c>
      <c r="T8" s="3973" t="s">
        <v>38</v>
      </c>
      <c r="U8" s="2927" t="s">
        <v>39</v>
      </c>
      <c r="V8" s="2927" t="s">
        <v>40</v>
      </c>
      <c r="W8" s="2927" t="s">
        <v>41</v>
      </c>
      <c r="X8" s="3975" t="s">
        <v>2574</v>
      </c>
      <c r="Y8" s="3976"/>
      <c r="Z8" s="3977"/>
      <c r="AA8" s="2903" t="s">
        <v>43</v>
      </c>
      <c r="AB8" s="3980" t="s">
        <v>44</v>
      </c>
      <c r="AC8" s="2903" t="s">
        <v>26</v>
      </c>
      <c r="AD8" s="3971" t="s">
        <v>45</v>
      </c>
      <c r="AE8" s="3972"/>
      <c r="AF8" s="3981" t="s">
        <v>46</v>
      </c>
      <c r="AG8" s="3982"/>
      <c r="AH8" s="3971" t="s">
        <v>47</v>
      </c>
      <c r="AI8" s="3972"/>
      <c r="AJ8" s="3971" t="s">
        <v>48</v>
      </c>
      <c r="AK8" s="3972"/>
      <c r="AL8" s="3971" t="s">
        <v>134</v>
      </c>
      <c r="AM8" s="3972"/>
      <c r="AN8" s="3971" t="s">
        <v>50</v>
      </c>
      <c r="AO8" s="3972"/>
      <c r="AP8" s="3971" t="s">
        <v>51</v>
      </c>
      <c r="AQ8" s="3972"/>
      <c r="AR8" s="3971" t="s">
        <v>52</v>
      </c>
      <c r="AS8" s="3972"/>
      <c r="AT8" s="3971" t="s">
        <v>53</v>
      </c>
      <c r="AU8" s="3972"/>
      <c r="AV8" s="3971" t="s">
        <v>54</v>
      </c>
      <c r="AW8" s="3972"/>
      <c r="AX8" s="3971" t="s">
        <v>55</v>
      </c>
      <c r="AY8" s="3972"/>
      <c r="AZ8" s="3971" t="s">
        <v>56</v>
      </c>
      <c r="BA8" s="3972"/>
      <c r="BB8" s="3967" t="s">
        <v>57</v>
      </c>
      <c r="BC8" s="3968"/>
      <c r="BD8" s="3967" t="s">
        <v>58</v>
      </c>
      <c r="BE8" s="3968"/>
      <c r="BF8" s="3967" t="s">
        <v>2575</v>
      </c>
      <c r="BG8" s="3968"/>
      <c r="BH8" s="3978"/>
      <c r="BI8" s="3979"/>
      <c r="BJ8" s="2926" t="s">
        <v>1706</v>
      </c>
      <c r="BK8" s="2926" t="s">
        <v>136</v>
      </c>
      <c r="BL8" s="2926" t="s">
        <v>137</v>
      </c>
      <c r="BM8" s="3969" t="s">
        <v>63</v>
      </c>
      <c r="BN8" s="2932" t="s">
        <v>1707</v>
      </c>
      <c r="BO8" s="2933"/>
      <c r="BP8" s="2914" t="s">
        <v>65</v>
      </c>
      <c r="BQ8" s="2880"/>
      <c r="BR8" s="2881"/>
      <c r="BS8" s="2880"/>
      <c r="BT8" s="2881"/>
      <c r="BU8" s="3997"/>
      <c r="BV8" s="1716"/>
      <c r="BW8" s="1716"/>
      <c r="BX8" s="1716"/>
      <c r="BY8" s="1716"/>
      <c r="BZ8" s="1716"/>
      <c r="CA8" s="1716"/>
      <c r="CB8" s="1716"/>
      <c r="CC8" s="1716"/>
      <c r="CD8" s="1716"/>
      <c r="CE8" s="1716"/>
      <c r="CF8" s="1716"/>
      <c r="CG8" s="1716"/>
      <c r="CH8" s="1716"/>
      <c r="CI8" s="1716"/>
      <c r="CJ8" s="1716"/>
      <c r="CK8" s="1716"/>
      <c r="CL8" s="1716"/>
      <c r="CM8" s="1716"/>
      <c r="CN8" s="1716"/>
      <c r="CO8" s="1716"/>
    </row>
    <row r="9" spans="1:93" ht="50.25" customHeight="1" x14ac:dyDescent="0.25">
      <c r="A9" s="3980"/>
      <c r="B9" s="2903"/>
      <c r="C9" s="3980"/>
      <c r="D9" s="2903"/>
      <c r="E9" s="2903"/>
      <c r="F9" s="2903"/>
      <c r="G9" s="2903"/>
      <c r="H9" s="2903"/>
      <c r="I9" s="2903"/>
      <c r="J9" s="2903"/>
      <c r="K9" s="2903"/>
      <c r="L9" s="2903"/>
      <c r="M9" s="2903"/>
      <c r="N9" s="2903"/>
      <c r="O9" s="1557" t="s">
        <v>66</v>
      </c>
      <c r="P9" s="1556" t="s">
        <v>67</v>
      </c>
      <c r="Q9" s="2903"/>
      <c r="R9" s="2903"/>
      <c r="S9" s="3985"/>
      <c r="T9" s="3974"/>
      <c r="U9" s="2903"/>
      <c r="V9" s="2903"/>
      <c r="W9" s="2903"/>
      <c r="X9" s="1484" t="s">
        <v>68</v>
      </c>
      <c r="Y9" s="1484" t="s">
        <v>69</v>
      </c>
      <c r="Z9" s="1484" t="s">
        <v>70</v>
      </c>
      <c r="AA9" s="2903"/>
      <c r="AB9" s="3980"/>
      <c r="AC9" s="2903"/>
      <c r="AD9" s="1484" t="s">
        <v>66</v>
      </c>
      <c r="AE9" s="1484" t="s">
        <v>67</v>
      </c>
      <c r="AF9" s="1484" t="s">
        <v>66</v>
      </c>
      <c r="AG9" s="1728" t="s">
        <v>67</v>
      </c>
      <c r="AH9" s="1484" t="s">
        <v>66</v>
      </c>
      <c r="AI9" s="1484" t="s">
        <v>67</v>
      </c>
      <c r="AJ9" s="1484" t="s">
        <v>66</v>
      </c>
      <c r="AK9" s="1484" t="s">
        <v>67</v>
      </c>
      <c r="AL9" s="1484" t="s">
        <v>66</v>
      </c>
      <c r="AM9" s="1484" t="s">
        <v>67</v>
      </c>
      <c r="AN9" s="1484" t="s">
        <v>66</v>
      </c>
      <c r="AO9" s="1484" t="s">
        <v>67</v>
      </c>
      <c r="AP9" s="1484" t="s">
        <v>66</v>
      </c>
      <c r="AQ9" s="1484" t="s">
        <v>67</v>
      </c>
      <c r="AR9" s="1484" t="s">
        <v>66</v>
      </c>
      <c r="AS9" s="1484" t="s">
        <v>67</v>
      </c>
      <c r="AT9" s="1484" t="s">
        <v>66</v>
      </c>
      <c r="AU9" s="1484" t="s">
        <v>67</v>
      </c>
      <c r="AV9" s="1484" t="s">
        <v>66</v>
      </c>
      <c r="AW9" s="1484" t="s">
        <v>67</v>
      </c>
      <c r="AX9" s="1484" t="s">
        <v>66</v>
      </c>
      <c r="AY9" s="1484" t="s">
        <v>67</v>
      </c>
      <c r="AZ9" s="1484" t="s">
        <v>66</v>
      </c>
      <c r="BA9" s="1484" t="s">
        <v>67</v>
      </c>
      <c r="BB9" s="1484" t="s">
        <v>66</v>
      </c>
      <c r="BC9" s="1484" t="s">
        <v>67</v>
      </c>
      <c r="BD9" s="1484" t="s">
        <v>66</v>
      </c>
      <c r="BE9" s="1484" t="s">
        <v>67</v>
      </c>
      <c r="BF9" s="1484" t="s">
        <v>66</v>
      </c>
      <c r="BG9" s="1484" t="s">
        <v>67</v>
      </c>
      <c r="BH9" s="1484" t="s">
        <v>66</v>
      </c>
      <c r="BI9" s="1484" t="s">
        <v>67</v>
      </c>
      <c r="BJ9" s="2927"/>
      <c r="BK9" s="2927"/>
      <c r="BL9" s="2927"/>
      <c r="BM9" s="3970"/>
      <c r="BN9" s="1484" t="s">
        <v>1708</v>
      </c>
      <c r="BO9" s="1484" t="s">
        <v>1075</v>
      </c>
      <c r="BP9" s="2915"/>
      <c r="BQ9" s="1729" t="s">
        <v>66</v>
      </c>
      <c r="BR9" s="1729" t="s">
        <v>67</v>
      </c>
      <c r="BS9" s="1729" t="s">
        <v>66</v>
      </c>
      <c r="BT9" s="1729" t="s">
        <v>67</v>
      </c>
      <c r="BU9" s="3998"/>
      <c r="BV9" s="1716"/>
      <c r="BW9" s="1716"/>
      <c r="BX9" s="1716"/>
      <c r="BY9" s="1716"/>
      <c r="BZ9" s="1716"/>
      <c r="CA9" s="1716"/>
      <c r="CB9" s="1716"/>
      <c r="CC9" s="1716"/>
      <c r="CD9" s="1716"/>
      <c r="CE9" s="1716"/>
      <c r="CF9" s="1716"/>
      <c r="CG9" s="1716"/>
      <c r="CH9" s="1716"/>
      <c r="CI9" s="1716"/>
      <c r="CJ9" s="1716"/>
      <c r="CK9" s="1716"/>
      <c r="CL9" s="1716"/>
      <c r="CM9" s="1716"/>
      <c r="CN9" s="1716"/>
      <c r="CO9" s="1716"/>
    </row>
    <row r="10" spans="1:93" ht="24.75" customHeight="1" x14ac:dyDescent="0.25">
      <c r="A10" s="1730">
        <v>1</v>
      </c>
      <c r="B10" s="3960" t="s">
        <v>1512</v>
      </c>
      <c r="C10" s="3961"/>
      <c r="D10" s="3961"/>
      <c r="E10" s="3961"/>
      <c r="F10" s="3961"/>
      <c r="G10" s="3961"/>
      <c r="H10" s="1731"/>
      <c r="I10" s="1732"/>
      <c r="J10" s="1731"/>
      <c r="K10" s="1732"/>
      <c r="L10" s="1731"/>
      <c r="M10" s="1732"/>
      <c r="N10" s="1731"/>
      <c r="O10" s="1733"/>
      <c r="P10" s="1733"/>
      <c r="Q10" s="1733"/>
      <c r="R10" s="1734"/>
      <c r="S10" s="1735"/>
      <c r="T10" s="1736"/>
      <c r="U10" s="1734"/>
      <c r="V10" s="1734"/>
      <c r="W10" s="1734"/>
      <c r="X10" s="1737"/>
      <c r="Y10" s="1737"/>
      <c r="Z10" s="1737"/>
      <c r="AA10" s="1738"/>
      <c r="AB10" s="1739"/>
      <c r="AC10" s="1731"/>
      <c r="AD10" s="3962"/>
      <c r="AE10" s="3962"/>
      <c r="AF10" s="3962"/>
      <c r="AG10" s="3962"/>
      <c r="AH10" s="3962"/>
      <c r="AI10" s="3962"/>
      <c r="AJ10" s="3962"/>
      <c r="AK10" s="3962"/>
      <c r="AL10" s="3962"/>
      <c r="AM10" s="3962"/>
      <c r="AN10" s="3962"/>
      <c r="AO10" s="3962"/>
      <c r="AP10" s="3962"/>
      <c r="AQ10" s="3962"/>
      <c r="AR10" s="3962"/>
      <c r="AS10" s="3962"/>
      <c r="AT10" s="3962"/>
      <c r="AU10" s="3962"/>
      <c r="AV10" s="3962"/>
      <c r="AW10" s="3962"/>
      <c r="AX10" s="3962"/>
      <c r="AY10" s="3962"/>
      <c r="AZ10" s="3962"/>
      <c r="BA10" s="3962"/>
      <c r="BB10" s="3962"/>
      <c r="BC10" s="3962"/>
      <c r="BD10" s="3962"/>
      <c r="BE10" s="3962"/>
      <c r="BF10" s="3962"/>
      <c r="BG10" s="3962"/>
      <c r="BH10" s="3962"/>
      <c r="BI10" s="1740"/>
      <c r="BJ10" s="1740"/>
      <c r="BK10" s="1740"/>
      <c r="BL10" s="1740"/>
      <c r="BM10" s="1740"/>
      <c r="BN10" s="1740"/>
      <c r="BO10" s="1740"/>
      <c r="BP10" s="1740"/>
      <c r="BQ10" s="1741"/>
      <c r="BR10" s="1741"/>
      <c r="BS10" s="1741"/>
      <c r="BT10" s="1741"/>
      <c r="BU10" s="1742"/>
      <c r="BV10" s="1716"/>
      <c r="BW10" s="1716"/>
      <c r="BX10" s="1716"/>
      <c r="BY10" s="1716"/>
      <c r="BZ10" s="1716"/>
      <c r="CA10" s="1716"/>
      <c r="CB10" s="1716"/>
      <c r="CC10" s="1716"/>
      <c r="CD10" s="1716"/>
      <c r="CE10" s="1716"/>
      <c r="CF10" s="1716"/>
      <c r="CG10" s="1716"/>
      <c r="CH10" s="1716"/>
      <c r="CI10" s="1716"/>
      <c r="CJ10" s="1716"/>
      <c r="CK10" s="1716"/>
      <c r="CL10" s="1716"/>
      <c r="CM10" s="1716"/>
      <c r="CN10" s="1716"/>
      <c r="CO10" s="1716"/>
    </row>
    <row r="11" spans="1:93" ht="24.75" customHeight="1" x14ac:dyDescent="0.25">
      <c r="A11" s="45"/>
      <c r="B11" s="63"/>
      <c r="C11" s="31">
        <v>22</v>
      </c>
      <c r="D11" s="1743" t="s">
        <v>442</v>
      </c>
      <c r="E11" s="1743"/>
      <c r="F11" s="1743"/>
      <c r="G11" s="1743"/>
      <c r="H11" s="1744"/>
      <c r="I11" s="1743"/>
      <c r="J11" s="1744"/>
      <c r="K11" s="1743"/>
      <c r="L11" s="1744"/>
      <c r="M11" s="1743"/>
      <c r="N11" s="1744"/>
      <c r="O11" s="1743"/>
      <c r="P11" s="1743"/>
      <c r="Q11" s="1743"/>
      <c r="R11" s="1744"/>
      <c r="S11" s="1745"/>
      <c r="T11" s="1746"/>
      <c r="U11" s="1744"/>
      <c r="V11" s="1744"/>
      <c r="W11" s="1744"/>
      <c r="X11" s="1747"/>
      <c r="Y11" s="1747"/>
      <c r="Z11" s="1747"/>
      <c r="AA11" s="1748"/>
      <c r="AB11" s="1749"/>
      <c r="AC11" s="1744"/>
      <c r="AD11" s="1750"/>
      <c r="AE11" s="1750"/>
      <c r="AF11" s="1750"/>
      <c r="AG11" s="1750"/>
      <c r="AH11" s="1750"/>
      <c r="AI11" s="1750"/>
      <c r="AJ11" s="1750"/>
      <c r="AK11" s="1750"/>
      <c r="AL11" s="1750"/>
      <c r="AM11" s="1750"/>
      <c r="AN11" s="1750"/>
      <c r="AO11" s="1750"/>
      <c r="AP11" s="1750"/>
      <c r="AQ11" s="1750"/>
      <c r="AR11" s="1750"/>
      <c r="AS11" s="1750"/>
      <c r="AT11" s="1750"/>
      <c r="AU11" s="1750"/>
      <c r="AV11" s="1750"/>
      <c r="AW11" s="1750"/>
      <c r="AX11" s="1750"/>
      <c r="AY11" s="1750"/>
      <c r="AZ11" s="1750"/>
      <c r="BA11" s="1750"/>
      <c r="BB11" s="1750"/>
      <c r="BC11" s="1750"/>
      <c r="BD11" s="1750"/>
      <c r="BE11" s="1750"/>
      <c r="BF11" s="1750"/>
      <c r="BG11" s="1750"/>
      <c r="BH11" s="1750"/>
      <c r="BI11" s="1750"/>
      <c r="BJ11" s="1750"/>
      <c r="BK11" s="1750"/>
      <c r="BL11" s="1750"/>
      <c r="BM11" s="1750"/>
      <c r="BN11" s="1750"/>
      <c r="BO11" s="1750"/>
      <c r="BP11" s="1750"/>
      <c r="BQ11" s="1751"/>
      <c r="BR11" s="1751"/>
      <c r="BS11" s="1751"/>
      <c r="BT11" s="1751"/>
      <c r="BU11" s="1752"/>
    </row>
    <row r="12" spans="1:93" s="1716" customFormat="1" ht="24.75" customHeight="1" x14ac:dyDescent="0.25">
      <c r="A12" s="3963"/>
      <c r="B12" s="3964"/>
      <c r="C12" s="1753"/>
      <c r="D12" s="1754"/>
      <c r="E12" s="88">
        <v>2201</v>
      </c>
      <c r="F12" s="3965" t="s">
        <v>2576</v>
      </c>
      <c r="G12" s="3966"/>
      <c r="H12" s="3966"/>
      <c r="I12" s="3966"/>
      <c r="J12" s="3966"/>
      <c r="K12" s="3966"/>
      <c r="L12" s="3966"/>
      <c r="M12" s="3966"/>
      <c r="N12" s="3966"/>
      <c r="O12" s="3966"/>
      <c r="P12" s="3966"/>
      <c r="Q12" s="3966"/>
      <c r="R12" s="3966"/>
      <c r="S12" s="3966"/>
      <c r="T12" s="392"/>
      <c r="U12" s="935"/>
      <c r="V12" s="935"/>
      <c r="W12" s="935"/>
      <c r="X12" s="1755"/>
      <c r="Y12" s="1755"/>
      <c r="Z12" s="1755"/>
      <c r="AA12" s="1280"/>
      <c r="AB12" s="392"/>
      <c r="AC12" s="935"/>
      <c r="AD12" s="1756"/>
      <c r="AE12" s="1756"/>
      <c r="AF12" s="1756"/>
      <c r="AG12" s="1756"/>
      <c r="AH12" s="1756"/>
      <c r="AI12" s="1756"/>
      <c r="AJ12" s="1756"/>
      <c r="AK12" s="1756"/>
      <c r="AL12" s="1756"/>
      <c r="AM12" s="1756"/>
      <c r="AN12" s="1756"/>
      <c r="AO12" s="1756"/>
      <c r="AP12" s="1756"/>
      <c r="AQ12" s="1756"/>
      <c r="AR12" s="1756"/>
      <c r="AS12" s="1756"/>
      <c r="AT12" s="1756"/>
      <c r="AU12" s="1756"/>
      <c r="AV12" s="1756"/>
      <c r="AW12" s="1756"/>
      <c r="AX12" s="1756"/>
      <c r="AY12" s="1756"/>
      <c r="AZ12" s="1756"/>
      <c r="BA12" s="1756"/>
      <c r="BB12" s="1756"/>
      <c r="BC12" s="1756"/>
      <c r="BD12" s="1756"/>
      <c r="BE12" s="1756"/>
      <c r="BF12" s="1756"/>
      <c r="BG12" s="1756"/>
      <c r="BH12" s="1756"/>
      <c r="BI12" s="1756"/>
      <c r="BJ12" s="1756"/>
      <c r="BK12" s="1756"/>
      <c r="BL12" s="1756"/>
      <c r="BM12" s="1756"/>
      <c r="BN12" s="1756"/>
      <c r="BO12" s="1756"/>
      <c r="BP12" s="1756"/>
      <c r="BQ12" s="392"/>
      <c r="BR12" s="392"/>
      <c r="BS12" s="392"/>
      <c r="BT12" s="392"/>
      <c r="BU12" s="88"/>
    </row>
    <row r="13" spans="1:93" s="1716" customFormat="1" ht="46.5" customHeight="1" x14ac:dyDescent="0.25">
      <c r="A13" s="3963"/>
      <c r="B13" s="3964"/>
      <c r="C13" s="1757"/>
      <c r="D13" s="1758"/>
      <c r="E13" s="1759"/>
      <c r="F13" s="1759"/>
      <c r="G13" s="3819" t="s">
        <v>2577</v>
      </c>
      <c r="H13" s="2579" t="s">
        <v>2578</v>
      </c>
      <c r="I13" s="3819" t="s">
        <v>2577</v>
      </c>
      <c r="J13" s="2579" t="s">
        <v>2578</v>
      </c>
      <c r="K13" s="3873">
        <v>220103000</v>
      </c>
      <c r="L13" s="3264" t="s">
        <v>2579</v>
      </c>
      <c r="M13" s="3873">
        <v>220103000</v>
      </c>
      <c r="N13" s="3264" t="s">
        <v>2579</v>
      </c>
      <c r="O13" s="3959">
        <v>2500</v>
      </c>
      <c r="P13" s="3959">
        <v>2280</v>
      </c>
      <c r="Q13" s="2267" t="s">
        <v>2580</v>
      </c>
      <c r="R13" s="2426" t="s">
        <v>2581</v>
      </c>
      <c r="S13" s="3949">
        <f>SUM(X13:X16)/T13</f>
        <v>8.6244333570719423E-2</v>
      </c>
      <c r="T13" s="3951">
        <f>SUM(X13:X41)</f>
        <v>15580197253.17</v>
      </c>
      <c r="U13" s="3109" t="s">
        <v>2582</v>
      </c>
      <c r="V13" s="2787" t="s">
        <v>2583</v>
      </c>
      <c r="W13" s="2579" t="s">
        <v>2584</v>
      </c>
      <c r="X13" s="1653">
        <f>111029461-21747174</f>
        <v>89282287</v>
      </c>
      <c r="Y13" s="1653">
        <v>73632273.870000005</v>
      </c>
      <c r="Z13" s="1653">
        <v>28471638</v>
      </c>
      <c r="AA13" s="1546" t="s">
        <v>2585</v>
      </c>
      <c r="AB13" s="3925">
        <v>25</v>
      </c>
      <c r="AC13" s="2426" t="s">
        <v>2586</v>
      </c>
      <c r="AD13" s="3800">
        <v>19649</v>
      </c>
      <c r="AE13" s="3800">
        <v>19649</v>
      </c>
      <c r="AF13" s="3800">
        <v>20118</v>
      </c>
      <c r="AG13" s="3800">
        <v>20118</v>
      </c>
      <c r="AH13" s="3800">
        <v>28907</v>
      </c>
      <c r="AI13" s="3800">
        <v>28907</v>
      </c>
      <c r="AJ13" s="3800">
        <v>9525</v>
      </c>
      <c r="AK13" s="3800">
        <v>9525</v>
      </c>
      <c r="AL13" s="3800">
        <v>1222</v>
      </c>
      <c r="AM13" s="3800">
        <v>1222</v>
      </c>
      <c r="AN13" s="3800">
        <v>113</v>
      </c>
      <c r="AO13" s="3800">
        <v>113</v>
      </c>
      <c r="AP13" s="3800">
        <v>297</v>
      </c>
      <c r="AQ13" s="3800">
        <v>297</v>
      </c>
      <c r="AR13" s="3800">
        <v>345</v>
      </c>
      <c r="AS13" s="3800">
        <v>345</v>
      </c>
      <c r="AT13" s="3800">
        <v>0</v>
      </c>
      <c r="AU13" s="3800">
        <v>0</v>
      </c>
      <c r="AV13" s="3800">
        <v>0</v>
      </c>
      <c r="AW13" s="3800">
        <v>0</v>
      </c>
      <c r="AX13" s="3800">
        <v>0</v>
      </c>
      <c r="AY13" s="3800">
        <v>0</v>
      </c>
      <c r="AZ13" s="3800">
        <v>0</v>
      </c>
      <c r="BA13" s="3800">
        <v>0</v>
      </c>
      <c r="BB13" s="3800">
        <v>3301</v>
      </c>
      <c r="BC13" s="3800">
        <v>3301</v>
      </c>
      <c r="BD13" s="3800">
        <v>113</v>
      </c>
      <c r="BE13" s="3800">
        <v>113</v>
      </c>
      <c r="BF13" s="3800">
        <v>2507</v>
      </c>
      <c r="BG13" s="3800">
        <v>2507</v>
      </c>
      <c r="BH13" s="3237">
        <f>+AD13+AF13</f>
        <v>39767</v>
      </c>
      <c r="BI13" s="3237">
        <f>+AE13+AG13</f>
        <v>39767</v>
      </c>
      <c r="BJ13" s="3793">
        <v>56</v>
      </c>
      <c r="BK13" s="3957">
        <f>SUM(Y13:Y41)</f>
        <v>12843124268</v>
      </c>
      <c r="BL13" s="3957">
        <f>SUM(Z13:Z41)</f>
        <v>6062166687</v>
      </c>
      <c r="BM13" s="3958">
        <f>BL13/BK13</f>
        <v>0.47201650941776901</v>
      </c>
      <c r="BN13" s="3793" t="s">
        <v>2587</v>
      </c>
      <c r="BO13" s="3793" t="s">
        <v>2588</v>
      </c>
      <c r="BP13" s="3957" t="s">
        <v>2589</v>
      </c>
      <c r="BQ13" s="3797">
        <v>44198</v>
      </c>
      <c r="BR13" s="3797">
        <v>44198</v>
      </c>
      <c r="BS13" s="3797">
        <v>44545</v>
      </c>
      <c r="BT13" s="3797">
        <v>44545</v>
      </c>
      <c r="BU13" s="3956" t="s">
        <v>2590</v>
      </c>
    </row>
    <row r="14" spans="1:93" s="1716" customFormat="1" ht="39.75" customHeight="1" x14ac:dyDescent="0.25">
      <c r="A14" s="3963"/>
      <c r="B14" s="3964"/>
      <c r="C14" s="1757"/>
      <c r="D14" s="1758"/>
      <c r="E14" s="1759"/>
      <c r="F14" s="1759"/>
      <c r="G14" s="3819"/>
      <c r="H14" s="2579"/>
      <c r="I14" s="3819"/>
      <c r="J14" s="2579"/>
      <c r="K14" s="3447"/>
      <c r="L14" s="3257"/>
      <c r="M14" s="3447"/>
      <c r="N14" s="3257"/>
      <c r="O14" s="3869"/>
      <c r="P14" s="3869"/>
      <c r="Q14" s="2267"/>
      <c r="R14" s="2426"/>
      <c r="S14" s="3949"/>
      <c r="T14" s="3952"/>
      <c r="U14" s="3109"/>
      <c r="V14" s="2787"/>
      <c r="W14" s="2579"/>
      <c r="X14" s="1653">
        <f>689467807-135045028</f>
        <v>554422779</v>
      </c>
      <c r="Y14" s="1653">
        <v>451018093.27999997</v>
      </c>
      <c r="Z14" s="1653">
        <v>175247424</v>
      </c>
      <c r="AA14" s="1546" t="s">
        <v>2591</v>
      </c>
      <c r="AB14" s="3925"/>
      <c r="AC14" s="2426"/>
      <c r="AD14" s="3800"/>
      <c r="AE14" s="3800"/>
      <c r="AF14" s="3800"/>
      <c r="AG14" s="3800"/>
      <c r="AH14" s="3800"/>
      <c r="AI14" s="3800"/>
      <c r="AJ14" s="3800"/>
      <c r="AK14" s="3800"/>
      <c r="AL14" s="3800"/>
      <c r="AM14" s="3800"/>
      <c r="AN14" s="3800"/>
      <c r="AO14" s="3800"/>
      <c r="AP14" s="3800"/>
      <c r="AQ14" s="3800"/>
      <c r="AR14" s="3800"/>
      <c r="AS14" s="3800"/>
      <c r="AT14" s="3800"/>
      <c r="AU14" s="3800"/>
      <c r="AV14" s="3800"/>
      <c r="AW14" s="3800"/>
      <c r="AX14" s="3800"/>
      <c r="AY14" s="3800"/>
      <c r="AZ14" s="3800"/>
      <c r="BA14" s="3800"/>
      <c r="BB14" s="3800"/>
      <c r="BC14" s="3800"/>
      <c r="BD14" s="3800"/>
      <c r="BE14" s="3800"/>
      <c r="BF14" s="3800"/>
      <c r="BG14" s="3800"/>
      <c r="BH14" s="3237"/>
      <c r="BI14" s="3237"/>
      <c r="BJ14" s="3800"/>
      <c r="BK14" s="3237"/>
      <c r="BL14" s="3237"/>
      <c r="BM14" s="3839"/>
      <c r="BN14" s="3800"/>
      <c r="BO14" s="3800"/>
      <c r="BP14" s="3237"/>
      <c r="BQ14" s="3798"/>
      <c r="BR14" s="3798"/>
      <c r="BS14" s="3798"/>
      <c r="BT14" s="3798"/>
      <c r="BU14" s="3831"/>
    </row>
    <row r="15" spans="1:93" s="1716" customFormat="1" ht="44.25" customHeight="1" x14ac:dyDescent="0.25">
      <c r="A15" s="3963"/>
      <c r="B15" s="3964"/>
      <c r="C15" s="1757"/>
      <c r="D15" s="1758"/>
      <c r="E15" s="1759"/>
      <c r="F15" s="1759"/>
      <c r="G15" s="3819"/>
      <c r="H15" s="2579"/>
      <c r="I15" s="3819"/>
      <c r="J15" s="2579"/>
      <c r="K15" s="3447"/>
      <c r="L15" s="3257"/>
      <c r="M15" s="3447"/>
      <c r="N15" s="3257"/>
      <c r="O15" s="3869"/>
      <c r="P15" s="3869"/>
      <c r="Q15" s="2267"/>
      <c r="R15" s="2426"/>
      <c r="S15" s="3949"/>
      <c r="T15" s="3952"/>
      <c r="U15" s="3109"/>
      <c r="V15" s="2787"/>
      <c r="W15" s="2579"/>
      <c r="X15" s="1653">
        <f>626740793-122758782</f>
        <v>503982011</v>
      </c>
      <c r="Y15" s="1653">
        <v>415640583.93000001</v>
      </c>
      <c r="Z15" s="1653">
        <v>160717485</v>
      </c>
      <c r="AA15" s="1546" t="s">
        <v>2592</v>
      </c>
      <c r="AB15" s="3925"/>
      <c r="AC15" s="2426"/>
      <c r="AD15" s="3800"/>
      <c r="AE15" s="3800"/>
      <c r="AF15" s="3800"/>
      <c r="AG15" s="3800"/>
      <c r="AH15" s="3800"/>
      <c r="AI15" s="3800"/>
      <c r="AJ15" s="3800"/>
      <c r="AK15" s="3800"/>
      <c r="AL15" s="3800"/>
      <c r="AM15" s="3800"/>
      <c r="AN15" s="3800"/>
      <c r="AO15" s="3800"/>
      <c r="AP15" s="3800"/>
      <c r="AQ15" s="3800"/>
      <c r="AR15" s="3800"/>
      <c r="AS15" s="3800"/>
      <c r="AT15" s="3800"/>
      <c r="AU15" s="3800"/>
      <c r="AV15" s="3800"/>
      <c r="AW15" s="3800"/>
      <c r="AX15" s="3800"/>
      <c r="AY15" s="3800"/>
      <c r="AZ15" s="3800"/>
      <c r="BA15" s="3800"/>
      <c r="BB15" s="3800"/>
      <c r="BC15" s="3800"/>
      <c r="BD15" s="3800"/>
      <c r="BE15" s="3800"/>
      <c r="BF15" s="3800"/>
      <c r="BG15" s="3800"/>
      <c r="BH15" s="3237"/>
      <c r="BI15" s="3237"/>
      <c r="BJ15" s="3800"/>
      <c r="BK15" s="3237"/>
      <c r="BL15" s="3237"/>
      <c r="BM15" s="3839"/>
      <c r="BN15" s="3800"/>
      <c r="BO15" s="3800"/>
      <c r="BP15" s="3237"/>
      <c r="BQ15" s="3798"/>
      <c r="BR15" s="3798"/>
      <c r="BS15" s="3798"/>
      <c r="BT15" s="3798"/>
      <c r="BU15" s="3831"/>
    </row>
    <row r="16" spans="1:93" s="1716" customFormat="1" ht="44.25" customHeight="1" x14ac:dyDescent="0.25">
      <c r="A16" s="3963"/>
      <c r="B16" s="3964"/>
      <c r="C16" s="1757"/>
      <c r="D16" s="1758"/>
      <c r="E16" s="1759"/>
      <c r="F16" s="1759"/>
      <c r="G16" s="3814"/>
      <c r="H16" s="3561"/>
      <c r="I16" s="3814"/>
      <c r="J16" s="3561"/>
      <c r="K16" s="3447"/>
      <c r="L16" s="3257"/>
      <c r="M16" s="3447"/>
      <c r="N16" s="3257"/>
      <c r="O16" s="3869"/>
      <c r="P16" s="3869"/>
      <c r="Q16" s="2267"/>
      <c r="R16" s="2426"/>
      <c r="S16" s="3950"/>
      <c r="T16" s="3952"/>
      <c r="U16" s="3109"/>
      <c r="V16" s="2504"/>
      <c r="W16" s="3561"/>
      <c r="X16" s="1653">
        <f>243761939-47745287</f>
        <v>196016652</v>
      </c>
      <c r="Y16" s="1653">
        <v>161657498.91999999</v>
      </c>
      <c r="Z16" s="1653">
        <v>61717733</v>
      </c>
      <c r="AA16" s="1546" t="s">
        <v>2593</v>
      </c>
      <c r="AB16" s="3926"/>
      <c r="AC16" s="2427"/>
      <c r="AD16" s="3800"/>
      <c r="AE16" s="3800"/>
      <c r="AF16" s="3800"/>
      <c r="AG16" s="3800"/>
      <c r="AH16" s="3800"/>
      <c r="AI16" s="3800"/>
      <c r="AJ16" s="3800"/>
      <c r="AK16" s="3800"/>
      <c r="AL16" s="3800"/>
      <c r="AM16" s="3800"/>
      <c r="AN16" s="3800"/>
      <c r="AO16" s="3800"/>
      <c r="AP16" s="3800"/>
      <c r="AQ16" s="3800"/>
      <c r="AR16" s="3800"/>
      <c r="AS16" s="3800"/>
      <c r="AT16" s="3800"/>
      <c r="AU16" s="3800"/>
      <c r="AV16" s="3800"/>
      <c r="AW16" s="3800"/>
      <c r="AX16" s="3800"/>
      <c r="AY16" s="3800"/>
      <c r="AZ16" s="3800"/>
      <c r="BA16" s="3800"/>
      <c r="BB16" s="3800"/>
      <c r="BC16" s="3800"/>
      <c r="BD16" s="3800"/>
      <c r="BE16" s="3800"/>
      <c r="BF16" s="3800"/>
      <c r="BG16" s="3800"/>
      <c r="BH16" s="3237"/>
      <c r="BI16" s="3237"/>
      <c r="BJ16" s="3800"/>
      <c r="BK16" s="3237"/>
      <c r="BL16" s="3237"/>
      <c r="BM16" s="3839"/>
      <c r="BN16" s="3800"/>
      <c r="BO16" s="3800"/>
      <c r="BP16" s="3237"/>
      <c r="BQ16" s="3798"/>
      <c r="BR16" s="3798"/>
      <c r="BS16" s="3798"/>
      <c r="BT16" s="3798"/>
      <c r="BU16" s="3831"/>
    </row>
    <row r="17" spans="1:73" s="1716" customFormat="1" ht="44.25" customHeight="1" x14ac:dyDescent="0.25">
      <c r="A17" s="3963"/>
      <c r="B17" s="3964"/>
      <c r="C17" s="1757"/>
      <c r="D17" s="1758"/>
      <c r="E17" s="1759"/>
      <c r="F17" s="1759"/>
      <c r="G17" s="3815">
        <v>2201033</v>
      </c>
      <c r="H17" s="3560" t="s">
        <v>2594</v>
      </c>
      <c r="I17" s="3815">
        <v>2201033</v>
      </c>
      <c r="J17" s="3560" t="s">
        <v>2594</v>
      </c>
      <c r="K17" s="3447">
        <v>220103300</v>
      </c>
      <c r="L17" s="3150" t="s">
        <v>2595</v>
      </c>
      <c r="M17" s="3447">
        <v>220103300</v>
      </c>
      <c r="N17" s="3150" t="s">
        <v>2595</v>
      </c>
      <c r="O17" s="3869">
        <v>9000</v>
      </c>
      <c r="P17" s="3869">
        <v>0</v>
      </c>
      <c r="Q17" s="2267"/>
      <c r="R17" s="2426"/>
      <c r="S17" s="3953">
        <f>SUM(X17:X20)/T13</f>
        <v>1.1553127157191581E-3</v>
      </c>
      <c r="T17" s="3952"/>
      <c r="U17" s="3109"/>
      <c r="V17" s="2299" t="s">
        <v>2596</v>
      </c>
      <c r="W17" s="3560" t="s">
        <v>2597</v>
      </c>
      <c r="X17" s="1653">
        <v>1196008.55</v>
      </c>
      <c r="Y17" s="1653">
        <v>0</v>
      </c>
      <c r="Z17" s="1653">
        <v>0</v>
      </c>
      <c r="AA17" s="1546" t="s">
        <v>2598</v>
      </c>
      <c r="AB17" s="3931">
        <v>20</v>
      </c>
      <c r="AC17" s="2425" t="s">
        <v>1614</v>
      </c>
      <c r="AD17" s="3800"/>
      <c r="AE17" s="3800"/>
      <c r="AF17" s="3800"/>
      <c r="AG17" s="3800"/>
      <c r="AH17" s="3800"/>
      <c r="AI17" s="3800"/>
      <c r="AJ17" s="3800"/>
      <c r="AK17" s="3800"/>
      <c r="AL17" s="3800"/>
      <c r="AM17" s="3800"/>
      <c r="AN17" s="3800"/>
      <c r="AO17" s="3800"/>
      <c r="AP17" s="3800"/>
      <c r="AQ17" s="3800"/>
      <c r="AR17" s="3800"/>
      <c r="AS17" s="3800"/>
      <c r="AT17" s="3800"/>
      <c r="AU17" s="3800"/>
      <c r="AV17" s="3800"/>
      <c r="AW17" s="3800"/>
      <c r="AX17" s="3800"/>
      <c r="AY17" s="3800"/>
      <c r="AZ17" s="3800"/>
      <c r="BA17" s="3800"/>
      <c r="BB17" s="3800"/>
      <c r="BC17" s="3800"/>
      <c r="BD17" s="3800"/>
      <c r="BE17" s="3800"/>
      <c r="BF17" s="3800"/>
      <c r="BG17" s="3800"/>
      <c r="BH17" s="3237"/>
      <c r="BI17" s="3237"/>
      <c r="BJ17" s="3800"/>
      <c r="BK17" s="3237"/>
      <c r="BL17" s="3237"/>
      <c r="BM17" s="3839"/>
      <c r="BN17" s="3800"/>
      <c r="BO17" s="3800"/>
      <c r="BP17" s="3237"/>
      <c r="BQ17" s="3798"/>
      <c r="BR17" s="3798"/>
      <c r="BS17" s="3798"/>
      <c r="BT17" s="3798"/>
      <c r="BU17" s="3831"/>
    </row>
    <row r="18" spans="1:73" s="1716" customFormat="1" ht="15.75" x14ac:dyDescent="0.25">
      <c r="A18" s="3963"/>
      <c r="B18" s="3964"/>
      <c r="C18" s="1757"/>
      <c r="D18" s="1758"/>
      <c r="E18" s="1759"/>
      <c r="F18" s="1759"/>
      <c r="G18" s="3819"/>
      <c r="H18" s="2579"/>
      <c r="I18" s="3819"/>
      <c r="J18" s="2579"/>
      <c r="K18" s="3447"/>
      <c r="L18" s="3150"/>
      <c r="M18" s="3447"/>
      <c r="N18" s="3150"/>
      <c r="O18" s="3869"/>
      <c r="P18" s="3869"/>
      <c r="Q18" s="2267"/>
      <c r="R18" s="2426"/>
      <c r="S18" s="3954"/>
      <c r="T18" s="3952"/>
      <c r="U18" s="3109"/>
      <c r="V18" s="2787"/>
      <c r="W18" s="2579"/>
      <c r="X18" s="1653">
        <v>7426942.2699999996</v>
      </c>
      <c r="Y18" s="1653">
        <v>0</v>
      </c>
      <c r="Z18" s="1653">
        <v>0</v>
      </c>
      <c r="AA18" s="1546" t="s">
        <v>2599</v>
      </c>
      <c r="AB18" s="3925"/>
      <c r="AC18" s="2426"/>
      <c r="AD18" s="3800"/>
      <c r="AE18" s="3800"/>
      <c r="AF18" s="3800"/>
      <c r="AG18" s="3800"/>
      <c r="AH18" s="3800"/>
      <c r="AI18" s="3800"/>
      <c r="AJ18" s="3800"/>
      <c r="AK18" s="3800"/>
      <c r="AL18" s="3800"/>
      <c r="AM18" s="3800"/>
      <c r="AN18" s="3800"/>
      <c r="AO18" s="3800"/>
      <c r="AP18" s="3800"/>
      <c r="AQ18" s="3800"/>
      <c r="AR18" s="3800"/>
      <c r="AS18" s="3800"/>
      <c r="AT18" s="3800"/>
      <c r="AU18" s="3800"/>
      <c r="AV18" s="3800"/>
      <c r="AW18" s="3800"/>
      <c r="AX18" s="3800"/>
      <c r="AY18" s="3800"/>
      <c r="AZ18" s="3800"/>
      <c r="BA18" s="3800"/>
      <c r="BB18" s="3800"/>
      <c r="BC18" s="3800"/>
      <c r="BD18" s="3800"/>
      <c r="BE18" s="3800"/>
      <c r="BF18" s="3800"/>
      <c r="BG18" s="3800"/>
      <c r="BH18" s="3237"/>
      <c r="BI18" s="3237"/>
      <c r="BJ18" s="3800"/>
      <c r="BK18" s="3237"/>
      <c r="BL18" s="3237"/>
      <c r="BM18" s="3839"/>
      <c r="BN18" s="3800"/>
      <c r="BO18" s="3800"/>
      <c r="BP18" s="3237"/>
      <c r="BQ18" s="3798"/>
      <c r="BR18" s="3798"/>
      <c r="BS18" s="3798"/>
      <c r="BT18" s="3798"/>
      <c r="BU18" s="3831"/>
    </row>
    <row r="19" spans="1:73" s="1716" customFormat="1" ht="15.75" x14ac:dyDescent="0.25">
      <c r="A19" s="3963"/>
      <c r="B19" s="3964"/>
      <c r="C19" s="1757"/>
      <c r="D19" s="1758"/>
      <c r="E19" s="1759"/>
      <c r="F19" s="1759"/>
      <c r="G19" s="3819"/>
      <c r="H19" s="2579"/>
      <c r="I19" s="3819"/>
      <c r="J19" s="2579"/>
      <c r="K19" s="3447"/>
      <c r="L19" s="3150"/>
      <c r="M19" s="3447"/>
      <c r="N19" s="3150"/>
      <c r="O19" s="3869"/>
      <c r="P19" s="3869"/>
      <c r="Q19" s="2267"/>
      <c r="R19" s="2426"/>
      <c r="S19" s="3954"/>
      <c r="T19" s="3952"/>
      <c r="U19" s="3109"/>
      <c r="V19" s="2787"/>
      <c r="W19" s="2579"/>
      <c r="X19" s="1653">
        <v>6751247.3300000001</v>
      </c>
      <c r="Y19" s="1653">
        <v>0</v>
      </c>
      <c r="Z19" s="1653">
        <v>0</v>
      </c>
      <c r="AA19" s="1546" t="s">
        <v>2600</v>
      </c>
      <c r="AB19" s="3925"/>
      <c r="AC19" s="2426"/>
      <c r="AD19" s="3800"/>
      <c r="AE19" s="3800"/>
      <c r="AF19" s="3800"/>
      <c r="AG19" s="3800"/>
      <c r="AH19" s="3800"/>
      <c r="AI19" s="3800"/>
      <c r="AJ19" s="3800"/>
      <c r="AK19" s="3800"/>
      <c r="AL19" s="3800"/>
      <c r="AM19" s="3800"/>
      <c r="AN19" s="3800"/>
      <c r="AO19" s="3800"/>
      <c r="AP19" s="3800"/>
      <c r="AQ19" s="3800"/>
      <c r="AR19" s="3800"/>
      <c r="AS19" s="3800"/>
      <c r="AT19" s="3800"/>
      <c r="AU19" s="3800"/>
      <c r="AV19" s="3800"/>
      <c r="AW19" s="3800"/>
      <c r="AX19" s="3800"/>
      <c r="AY19" s="3800"/>
      <c r="AZ19" s="3800"/>
      <c r="BA19" s="3800"/>
      <c r="BB19" s="3800"/>
      <c r="BC19" s="3800"/>
      <c r="BD19" s="3800"/>
      <c r="BE19" s="3800"/>
      <c r="BF19" s="3800"/>
      <c r="BG19" s="3800"/>
      <c r="BH19" s="3237"/>
      <c r="BI19" s="3237"/>
      <c r="BJ19" s="3800"/>
      <c r="BK19" s="3237"/>
      <c r="BL19" s="3237"/>
      <c r="BM19" s="3839"/>
      <c r="BN19" s="3800"/>
      <c r="BO19" s="3800"/>
      <c r="BP19" s="3237"/>
      <c r="BQ19" s="3798"/>
      <c r="BR19" s="3798"/>
      <c r="BS19" s="3798"/>
      <c r="BT19" s="3798"/>
      <c r="BU19" s="3831"/>
    </row>
    <row r="20" spans="1:73" s="1716" customFormat="1" ht="15.75" x14ac:dyDescent="0.25">
      <c r="A20" s="3963"/>
      <c r="B20" s="3964"/>
      <c r="C20" s="1757"/>
      <c r="D20" s="1758"/>
      <c r="E20" s="1759"/>
      <c r="F20" s="1759"/>
      <c r="G20" s="3814"/>
      <c r="H20" s="3561"/>
      <c r="I20" s="3814"/>
      <c r="J20" s="3561"/>
      <c r="K20" s="3447"/>
      <c r="L20" s="3150"/>
      <c r="M20" s="3447"/>
      <c r="N20" s="3150"/>
      <c r="O20" s="3869"/>
      <c r="P20" s="3869"/>
      <c r="Q20" s="2267"/>
      <c r="R20" s="2426"/>
      <c r="S20" s="3955"/>
      <c r="T20" s="3952"/>
      <c r="U20" s="3109"/>
      <c r="V20" s="2504"/>
      <c r="W20" s="3561"/>
      <c r="X20" s="1653">
        <v>2625801.85</v>
      </c>
      <c r="Y20" s="1653">
        <v>0</v>
      </c>
      <c r="Z20" s="1653">
        <v>0</v>
      </c>
      <c r="AA20" s="1546" t="s">
        <v>2601</v>
      </c>
      <c r="AB20" s="3926"/>
      <c r="AC20" s="2427"/>
      <c r="AD20" s="3800"/>
      <c r="AE20" s="3800"/>
      <c r="AF20" s="3800"/>
      <c r="AG20" s="3800"/>
      <c r="AH20" s="3800"/>
      <c r="AI20" s="3800"/>
      <c r="AJ20" s="3800"/>
      <c r="AK20" s="3800"/>
      <c r="AL20" s="3800"/>
      <c r="AM20" s="3800"/>
      <c r="AN20" s="3800"/>
      <c r="AO20" s="3800"/>
      <c r="AP20" s="3800"/>
      <c r="AQ20" s="3800"/>
      <c r="AR20" s="3800"/>
      <c r="AS20" s="3800"/>
      <c r="AT20" s="3800"/>
      <c r="AU20" s="3800"/>
      <c r="AV20" s="3800"/>
      <c r="AW20" s="3800"/>
      <c r="AX20" s="3800"/>
      <c r="AY20" s="3800"/>
      <c r="AZ20" s="3800"/>
      <c r="BA20" s="3800"/>
      <c r="BB20" s="3800"/>
      <c r="BC20" s="3800"/>
      <c r="BD20" s="3800"/>
      <c r="BE20" s="3800"/>
      <c r="BF20" s="3800"/>
      <c r="BG20" s="3800"/>
      <c r="BH20" s="3237"/>
      <c r="BI20" s="3237"/>
      <c r="BJ20" s="3800"/>
      <c r="BK20" s="3237"/>
      <c r="BL20" s="3237"/>
      <c r="BM20" s="3839"/>
      <c r="BN20" s="3800"/>
      <c r="BO20" s="3800"/>
      <c r="BP20" s="3237"/>
      <c r="BQ20" s="3798"/>
      <c r="BR20" s="3798"/>
      <c r="BS20" s="3798"/>
      <c r="BT20" s="3798"/>
      <c r="BU20" s="3831"/>
    </row>
    <row r="21" spans="1:73" s="1716" customFormat="1" ht="15.75" customHeight="1" x14ac:dyDescent="0.25">
      <c r="A21" s="3963"/>
      <c r="B21" s="3964"/>
      <c r="C21" s="1757"/>
      <c r="D21" s="1758"/>
      <c r="E21" s="1759"/>
      <c r="F21" s="1759"/>
      <c r="G21" s="3815">
        <v>2201032</v>
      </c>
      <c r="H21" s="2425" t="s">
        <v>2602</v>
      </c>
      <c r="I21" s="3815">
        <v>2201032</v>
      </c>
      <c r="J21" s="2425" t="s">
        <v>2602</v>
      </c>
      <c r="K21" s="3947">
        <v>220103200</v>
      </c>
      <c r="L21" s="2426" t="s">
        <v>2603</v>
      </c>
      <c r="M21" s="3947">
        <v>220103200</v>
      </c>
      <c r="N21" s="2426" t="s">
        <v>2603</v>
      </c>
      <c r="O21" s="3940">
        <v>200</v>
      </c>
      <c r="P21" s="3940">
        <v>0</v>
      </c>
      <c r="Q21" s="2267"/>
      <c r="R21" s="2426"/>
      <c r="S21" s="3953">
        <f>SUM(X21:X24)/T13</f>
        <v>6.4184039826359492E-4</v>
      </c>
      <c r="T21" s="3952"/>
      <c r="U21" s="3109"/>
      <c r="V21" s="2299" t="s">
        <v>2604</v>
      </c>
      <c r="W21" s="3560" t="s">
        <v>2605</v>
      </c>
      <c r="X21" s="1653">
        <v>664449.19999999995</v>
      </c>
      <c r="Y21" s="1653">
        <v>0</v>
      </c>
      <c r="Z21" s="1653">
        <v>0</v>
      </c>
      <c r="AA21" s="1546" t="s">
        <v>2606</v>
      </c>
      <c r="AB21" s="3931">
        <v>20</v>
      </c>
      <c r="AC21" s="2425" t="s">
        <v>1614</v>
      </c>
      <c r="AD21" s="3800"/>
      <c r="AE21" s="3800"/>
      <c r="AF21" s="3800"/>
      <c r="AG21" s="3800"/>
      <c r="AH21" s="3800"/>
      <c r="AI21" s="3800"/>
      <c r="AJ21" s="3800"/>
      <c r="AK21" s="3800"/>
      <c r="AL21" s="3800"/>
      <c r="AM21" s="3800"/>
      <c r="AN21" s="3800"/>
      <c r="AO21" s="3800"/>
      <c r="AP21" s="3800"/>
      <c r="AQ21" s="3800"/>
      <c r="AR21" s="3800"/>
      <c r="AS21" s="3800"/>
      <c r="AT21" s="3800"/>
      <c r="AU21" s="3800"/>
      <c r="AV21" s="3800"/>
      <c r="AW21" s="3800"/>
      <c r="AX21" s="3800"/>
      <c r="AY21" s="3800"/>
      <c r="AZ21" s="3800"/>
      <c r="BA21" s="3800"/>
      <c r="BB21" s="3800"/>
      <c r="BC21" s="3800"/>
      <c r="BD21" s="3800"/>
      <c r="BE21" s="3800"/>
      <c r="BF21" s="3800"/>
      <c r="BG21" s="3800"/>
      <c r="BH21" s="3237"/>
      <c r="BI21" s="3237"/>
      <c r="BJ21" s="3800"/>
      <c r="BK21" s="3237"/>
      <c r="BL21" s="3237"/>
      <c r="BM21" s="3839"/>
      <c r="BN21" s="3800"/>
      <c r="BO21" s="3800"/>
      <c r="BP21" s="3237"/>
      <c r="BQ21" s="3798"/>
      <c r="BR21" s="3798"/>
      <c r="BS21" s="3798"/>
      <c r="BT21" s="3798"/>
      <c r="BU21" s="3831"/>
    </row>
    <row r="22" spans="1:73" s="1716" customFormat="1" ht="15.75" x14ac:dyDescent="0.25">
      <c r="A22" s="3963"/>
      <c r="B22" s="3964"/>
      <c r="C22" s="1757"/>
      <c r="D22" s="1758"/>
      <c r="E22" s="1759"/>
      <c r="F22" s="1759"/>
      <c r="G22" s="3819"/>
      <c r="H22" s="2426"/>
      <c r="I22" s="3819"/>
      <c r="J22" s="2426"/>
      <c r="K22" s="3947"/>
      <c r="L22" s="2426"/>
      <c r="M22" s="3947"/>
      <c r="N22" s="2426"/>
      <c r="O22" s="3940"/>
      <c r="P22" s="3940"/>
      <c r="Q22" s="2267"/>
      <c r="R22" s="2426"/>
      <c r="S22" s="3954"/>
      <c r="T22" s="3952"/>
      <c r="U22" s="3109"/>
      <c r="V22" s="2787"/>
      <c r="W22" s="2579"/>
      <c r="X22" s="1653">
        <v>4126079.04</v>
      </c>
      <c r="Y22" s="1653">
        <v>0</v>
      </c>
      <c r="Z22" s="1653">
        <v>0</v>
      </c>
      <c r="AA22" s="1546" t="s">
        <v>2607</v>
      </c>
      <c r="AB22" s="3925"/>
      <c r="AC22" s="2426"/>
      <c r="AD22" s="3800"/>
      <c r="AE22" s="3800"/>
      <c r="AF22" s="3800"/>
      <c r="AG22" s="3800"/>
      <c r="AH22" s="3800"/>
      <c r="AI22" s="3800"/>
      <c r="AJ22" s="3800"/>
      <c r="AK22" s="3800"/>
      <c r="AL22" s="3800"/>
      <c r="AM22" s="3800"/>
      <c r="AN22" s="3800"/>
      <c r="AO22" s="3800"/>
      <c r="AP22" s="3800"/>
      <c r="AQ22" s="3800"/>
      <c r="AR22" s="3800"/>
      <c r="AS22" s="3800"/>
      <c r="AT22" s="3800"/>
      <c r="AU22" s="3800"/>
      <c r="AV22" s="3800"/>
      <c r="AW22" s="3800"/>
      <c r="AX22" s="3800"/>
      <c r="AY22" s="3800"/>
      <c r="AZ22" s="3800"/>
      <c r="BA22" s="3800"/>
      <c r="BB22" s="3800"/>
      <c r="BC22" s="3800"/>
      <c r="BD22" s="3800"/>
      <c r="BE22" s="3800"/>
      <c r="BF22" s="3800"/>
      <c r="BG22" s="3800"/>
      <c r="BH22" s="3237"/>
      <c r="BI22" s="3237"/>
      <c r="BJ22" s="3800"/>
      <c r="BK22" s="3237"/>
      <c r="BL22" s="3237"/>
      <c r="BM22" s="3839"/>
      <c r="BN22" s="3800"/>
      <c r="BO22" s="3800"/>
      <c r="BP22" s="3237"/>
      <c r="BQ22" s="3798"/>
      <c r="BR22" s="3798"/>
      <c r="BS22" s="3798"/>
      <c r="BT22" s="3798"/>
      <c r="BU22" s="3831"/>
    </row>
    <row r="23" spans="1:73" s="1716" customFormat="1" ht="15.75" x14ac:dyDescent="0.25">
      <c r="A23" s="3963"/>
      <c r="B23" s="3964"/>
      <c r="C23" s="1757"/>
      <c r="D23" s="1758"/>
      <c r="E23" s="1759"/>
      <c r="F23" s="1759"/>
      <c r="G23" s="3819"/>
      <c r="H23" s="2426"/>
      <c r="I23" s="3819"/>
      <c r="J23" s="2426"/>
      <c r="K23" s="3947"/>
      <c r="L23" s="2426"/>
      <c r="M23" s="3947"/>
      <c r="N23" s="2426"/>
      <c r="O23" s="3940"/>
      <c r="P23" s="3940"/>
      <c r="Q23" s="2267"/>
      <c r="R23" s="2426"/>
      <c r="S23" s="3954"/>
      <c r="T23" s="3952"/>
      <c r="U23" s="3109"/>
      <c r="V23" s="2787"/>
      <c r="W23" s="2579"/>
      <c r="X23" s="1653">
        <v>3750692.96</v>
      </c>
      <c r="Y23" s="1653">
        <v>0</v>
      </c>
      <c r="Z23" s="1653">
        <v>0</v>
      </c>
      <c r="AA23" s="1546" t="s">
        <v>2608</v>
      </c>
      <c r="AB23" s="3925"/>
      <c r="AC23" s="2426"/>
      <c r="AD23" s="3800"/>
      <c r="AE23" s="3800"/>
      <c r="AF23" s="3800"/>
      <c r="AG23" s="3800"/>
      <c r="AH23" s="3800"/>
      <c r="AI23" s="3800"/>
      <c r="AJ23" s="3800"/>
      <c r="AK23" s="3800"/>
      <c r="AL23" s="3800"/>
      <c r="AM23" s="3800"/>
      <c r="AN23" s="3800"/>
      <c r="AO23" s="3800"/>
      <c r="AP23" s="3800"/>
      <c r="AQ23" s="3800"/>
      <c r="AR23" s="3800"/>
      <c r="AS23" s="3800"/>
      <c r="AT23" s="3800"/>
      <c r="AU23" s="3800"/>
      <c r="AV23" s="3800"/>
      <c r="AW23" s="3800"/>
      <c r="AX23" s="3800"/>
      <c r="AY23" s="3800"/>
      <c r="AZ23" s="3800"/>
      <c r="BA23" s="3800"/>
      <c r="BB23" s="3800"/>
      <c r="BC23" s="3800"/>
      <c r="BD23" s="3800"/>
      <c r="BE23" s="3800"/>
      <c r="BF23" s="3800"/>
      <c r="BG23" s="3800"/>
      <c r="BH23" s="3237"/>
      <c r="BI23" s="3237"/>
      <c r="BJ23" s="3800"/>
      <c r="BK23" s="3237"/>
      <c r="BL23" s="3237"/>
      <c r="BM23" s="3839"/>
      <c r="BN23" s="3800"/>
      <c r="BO23" s="3800"/>
      <c r="BP23" s="3237"/>
      <c r="BQ23" s="3798"/>
      <c r="BR23" s="3798"/>
      <c r="BS23" s="3798"/>
      <c r="BT23" s="3798"/>
      <c r="BU23" s="3831"/>
    </row>
    <row r="24" spans="1:73" s="1716" customFormat="1" ht="18.75" customHeight="1" x14ac:dyDescent="0.25">
      <c r="A24" s="3963"/>
      <c r="B24" s="3964"/>
      <c r="C24" s="1757"/>
      <c r="D24" s="1758"/>
      <c r="E24" s="1759"/>
      <c r="F24" s="1759"/>
      <c r="G24" s="3814"/>
      <c r="H24" s="2427"/>
      <c r="I24" s="3814"/>
      <c r="J24" s="2427"/>
      <c r="K24" s="3948"/>
      <c r="L24" s="2427"/>
      <c r="M24" s="3948"/>
      <c r="N24" s="2427"/>
      <c r="O24" s="3941"/>
      <c r="P24" s="3941"/>
      <c r="Q24" s="2267"/>
      <c r="R24" s="2426"/>
      <c r="S24" s="3955"/>
      <c r="T24" s="3952"/>
      <c r="U24" s="3109"/>
      <c r="V24" s="2787"/>
      <c r="W24" s="3561"/>
      <c r="X24" s="1653">
        <v>1458778.81</v>
      </c>
      <c r="Y24" s="1653">
        <v>0</v>
      </c>
      <c r="Z24" s="1653">
        <v>0</v>
      </c>
      <c r="AA24" s="1546" t="s">
        <v>2609</v>
      </c>
      <c r="AB24" s="3926"/>
      <c r="AC24" s="2427"/>
      <c r="AD24" s="3800"/>
      <c r="AE24" s="3800"/>
      <c r="AF24" s="3800"/>
      <c r="AG24" s="3800"/>
      <c r="AH24" s="3800"/>
      <c r="AI24" s="3800"/>
      <c r="AJ24" s="3800"/>
      <c r="AK24" s="3800"/>
      <c r="AL24" s="3800"/>
      <c r="AM24" s="3800"/>
      <c r="AN24" s="3800"/>
      <c r="AO24" s="3800"/>
      <c r="AP24" s="3800"/>
      <c r="AQ24" s="3800"/>
      <c r="AR24" s="3800"/>
      <c r="AS24" s="3800"/>
      <c r="AT24" s="3800"/>
      <c r="AU24" s="3800"/>
      <c r="AV24" s="3800"/>
      <c r="AW24" s="3800"/>
      <c r="AX24" s="3800"/>
      <c r="AY24" s="3800"/>
      <c r="AZ24" s="3800"/>
      <c r="BA24" s="3800"/>
      <c r="BB24" s="3800"/>
      <c r="BC24" s="3800"/>
      <c r="BD24" s="3800"/>
      <c r="BE24" s="3800"/>
      <c r="BF24" s="3800"/>
      <c r="BG24" s="3800"/>
      <c r="BH24" s="3237"/>
      <c r="BI24" s="3237"/>
      <c r="BJ24" s="3800"/>
      <c r="BK24" s="3237"/>
      <c r="BL24" s="3237"/>
      <c r="BM24" s="3839"/>
      <c r="BN24" s="3800"/>
      <c r="BO24" s="3800"/>
      <c r="BP24" s="3237"/>
      <c r="BQ24" s="3798"/>
      <c r="BR24" s="3798"/>
      <c r="BS24" s="3798"/>
      <c r="BT24" s="3798"/>
      <c r="BU24" s="3831"/>
    </row>
    <row r="25" spans="1:73" s="1716" customFormat="1" ht="35.25" customHeight="1" x14ac:dyDescent="0.25">
      <c r="A25" s="3963"/>
      <c r="B25" s="3964"/>
      <c r="C25" s="1757"/>
      <c r="D25" s="1758"/>
      <c r="E25" s="1759"/>
      <c r="F25" s="1759"/>
      <c r="G25" s="3815">
        <v>2201055</v>
      </c>
      <c r="H25" s="2972" t="s">
        <v>2610</v>
      </c>
      <c r="I25" s="3815">
        <v>2201055</v>
      </c>
      <c r="J25" s="2972" t="s">
        <v>2610</v>
      </c>
      <c r="K25" s="3815">
        <v>220105500</v>
      </c>
      <c r="L25" s="2972" t="s">
        <v>2611</v>
      </c>
      <c r="M25" s="3815">
        <v>220105500</v>
      </c>
      <c r="N25" s="2972" t="s">
        <v>2611</v>
      </c>
      <c r="O25" s="3939">
        <v>1</v>
      </c>
      <c r="P25" s="3939">
        <v>0</v>
      </c>
      <c r="Q25" s="2267"/>
      <c r="R25" s="2426"/>
      <c r="S25" s="3953">
        <f>SUM(X25:X27)/T13</f>
        <v>3.098755953823174E-3</v>
      </c>
      <c r="T25" s="3952"/>
      <c r="U25" s="3109"/>
      <c r="V25" s="2787"/>
      <c r="W25" s="3560" t="s">
        <v>2612</v>
      </c>
      <c r="X25" s="1653">
        <f>30938242-9600035</f>
        <v>21338207</v>
      </c>
      <c r="Y25" s="1653">
        <v>0</v>
      </c>
      <c r="Z25" s="1653">
        <v>0</v>
      </c>
      <c r="AA25" s="1546" t="s">
        <v>2613</v>
      </c>
      <c r="AB25" s="3931">
        <v>25</v>
      </c>
      <c r="AC25" s="2425" t="s">
        <v>2586</v>
      </c>
      <c r="AD25" s="3800"/>
      <c r="AE25" s="3800"/>
      <c r="AF25" s="3800"/>
      <c r="AG25" s="3800"/>
      <c r="AH25" s="3800"/>
      <c r="AI25" s="3800"/>
      <c r="AJ25" s="3800"/>
      <c r="AK25" s="3800"/>
      <c r="AL25" s="3800"/>
      <c r="AM25" s="3800"/>
      <c r="AN25" s="3800"/>
      <c r="AO25" s="3800"/>
      <c r="AP25" s="3800"/>
      <c r="AQ25" s="3800"/>
      <c r="AR25" s="3800"/>
      <c r="AS25" s="3800"/>
      <c r="AT25" s="3800"/>
      <c r="AU25" s="3800"/>
      <c r="AV25" s="3800"/>
      <c r="AW25" s="3800"/>
      <c r="AX25" s="3800"/>
      <c r="AY25" s="3800"/>
      <c r="AZ25" s="3800"/>
      <c r="BA25" s="3800"/>
      <c r="BB25" s="3800"/>
      <c r="BC25" s="3800"/>
      <c r="BD25" s="3800"/>
      <c r="BE25" s="3800"/>
      <c r="BF25" s="3800"/>
      <c r="BG25" s="3800"/>
      <c r="BH25" s="3237"/>
      <c r="BI25" s="3237"/>
      <c r="BJ25" s="3800"/>
      <c r="BK25" s="3237"/>
      <c r="BL25" s="3237"/>
      <c r="BM25" s="3839"/>
      <c r="BN25" s="3800"/>
      <c r="BO25" s="3800"/>
      <c r="BP25" s="3237"/>
      <c r="BQ25" s="3798"/>
      <c r="BR25" s="3798"/>
      <c r="BS25" s="3798"/>
      <c r="BT25" s="3798"/>
      <c r="BU25" s="3831"/>
    </row>
    <row r="26" spans="1:73" s="1716" customFormat="1" ht="33.75" customHeight="1" x14ac:dyDescent="0.25">
      <c r="A26" s="3963"/>
      <c r="B26" s="3964"/>
      <c r="C26" s="1757"/>
      <c r="D26" s="1758"/>
      <c r="E26" s="1759"/>
      <c r="F26" s="1759"/>
      <c r="G26" s="3819"/>
      <c r="H26" s="2973"/>
      <c r="I26" s="3819"/>
      <c r="J26" s="2973"/>
      <c r="K26" s="3819"/>
      <c r="L26" s="2973"/>
      <c r="M26" s="3819"/>
      <c r="N26" s="2973"/>
      <c r="O26" s="3940"/>
      <c r="P26" s="3940"/>
      <c r="Q26" s="2267"/>
      <c r="R26" s="2426"/>
      <c r="S26" s="3954"/>
      <c r="T26" s="3952"/>
      <c r="U26" s="3109"/>
      <c r="V26" s="2787"/>
      <c r="W26" s="2579"/>
      <c r="X26" s="1653">
        <f>28123516-8726635</f>
        <v>19396881</v>
      </c>
      <c r="Y26" s="1653">
        <v>0</v>
      </c>
      <c r="Z26" s="1653">
        <v>0</v>
      </c>
      <c r="AA26" s="1546" t="s">
        <v>2614</v>
      </c>
      <c r="AB26" s="3925"/>
      <c r="AC26" s="2426"/>
      <c r="AD26" s="3800"/>
      <c r="AE26" s="3800"/>
      <c r="AF26" s="3800"/>
      <c r="AG26" s="3800"/>
      <c r="AH26" s="3800"/>
      <c r="AI26" s="3800"/>
      <c r="AJ26" s="3800"/>
      <c r="AK26" s="3800"/>
      <c r="AL26" s="3800"/>
      <c r="AM26" s="3800"/>
      <c r="AN26" s="3800"/>
      <c r="AO26" s="3800"/>
      <c r="AP26" s="3800"/>
      <c r="AQ26" s="3800"/>
      <c r="AR26" s="3800"/>
      <c r="AS26" s="3800"/>
      <c r="AT26" s="3800"/>
      <c r="AU26" s="3800"/>
      <c r="AV26" s="3800"/>
      <c r="AW26" s="3800"/>
      <c r="AX26" s="3800"/>
      <c r="AY26" s="3800"/>
      <c r="AZ26" s="3800"/>
      <c r="BA26" s="3800"/>
      <c r="BB26" s="3800"/>
      <c r="BC26" s="3800"/>
      <c r="BD26" s="3800"/>
      <c r="BE26" s="3800"/>
      <c r="BF26" s="3800"/>
      <c r="BG26" s="3800"/>
      <c r="BH26" s="3237"/>
      <c r="BI26" s="3237"/>
      <c r="BJ26" s="3800"/>
      <c r="BK26" s="3237"/>
      <c r="BL26" s="3237"/>
      <c r="BM26" s="3839"/>
      <c r="BN26" s="3800"/>
      <c r="BO26" s="3800"/>
      <c r="BP26" s="3237"/>
      <c r="BQ26" s="3798"/>
      <c r="BR26" s="3798"/>
      <c r="BS26" s="3798"/>
      <c r="BT26" s="3798"/>
      <c r="BU26" s="3831"/>
    </row>
    <row r="27" spans="1:73" s="1716" customFormat="1" ht="114" customHeight="1" x14ac:dyDescent="0.25">
      <c r="A27" s="3963"/>
      <c r="B27" s="3964"/>
      <c r="C27" s="1757"/>
      <c r="D27" s="1758"/>
      <c r="E27" s="1759"/>
      <c r="F27" s="1759"/>
      <c r="G27" s="3814"/>
      <c r="H27" s="2974"/>
      <c r="I27" s="3814"/>
      <c r="J27" s="2974"/>
      <c r="K27" s="3814"/>
      <c r="L27" s="2974"/>
      <c r="M27" s="3814"/>
      <c r="N27" s="2974"/>
      <c r="O27" s="3941"/>
      <c r="P27" s="3941"/>
      <c r="Q27" s="2267"/>
      <c r="R27" s="2426"/>
      <c r="S27" s="3955"/>
      <c r="T27" s="3952"/>
      <c r="U27" s="3109"/>
      <c r="V27" s="2787"/>
      <c r="W27" s="3561"/>
      <c r="X27" s="1653">
        <f>10938242-3394101</f>
        <v>7544141</v>
      </c>
      <c r="Y27" s="1653">
        <v>0</v>
      </c>
      <c r="Z27" s="1653">
        <v>0</v>
      </c>
      <c r="AA27" s="1546" t="s">
        <v>2615</v>
      </c>
      <c r="AB27" s="3926"/>
      <c r="AC27" s="2427"/>
      <c r="AD27" s="3800"/>
      <c r="AE27" s="3800"/>
      <c r="AF27" s="3800"/>
      <c r="AG27" s="3800"/>
      <c r="AH27" s="3800"/>
      <c r="AI27" s="3800"/>
      <c r="AJ27" s="3800"/>
      <c r="AK27" s="3800"/>
      <c r="AL27" s="3800"/>
      <c r="AM27" s="3800"/>
      <c r="AN27" s="3800"/>
      <c r="AO27" s="3800"/>
      <c r="AP27" s="3800"/>
      <c r="AQ27" s="3800"/>
      <c r="AR27" s="3800"/>
      <c r="AS27" s="3800"/>
      <c r="AT27" s="3800"/>
      <c r="AU27" s="3800"/>
      <c r="AV27" s="3800"/>
      <c r="AW27" s="3800"/>
      <c r="AX27" s="3800"/>
      <c r="AY27" s="3800"/>
      <c r="AZ27" s="3800"/>
      <c r="BA27" s="3800"/>
      <c r="BB27" s="3800"/>
      <c r="BC27" s="3800"/>
      <c r="BD27" s="3800"/>
      <c r="BE27" s="3800"/>
      <c r="BF27" s="3800"/>
      <c r="BG27" s="3800"/>
      <c r="BH27" s="3237"/>
      <c r="BI27" s="3237"/>
      <c r="BJ27" s="3800"/>
      <c r="BK27" s="3237"/>
      <c r="BL27" s="3237"/>
      <c r="BM27" s="3839"/>
      <c r="BN27" s="3800"/>
      <c r="BO27" s="3800"/>
      <c r="BP27" s="3237"/>
      <c r="BQ27" s="3798"/>
      <c r="BR27" s="3798"/>
      <c r="BS27" s="3798"/>
      <c r="BT27" s="3798"/>
      <c r="BU27" s="3831"/>
    </row>
    <row r="28" spans="1:73" s="1716" customFormat="1" ht="25.5" customHeight="1" x14ac:dyDescent="0.25">
      <c r="A28" s="3963"/>
      <c r="B28" s="3964"/>
      <c r="C28" s="1757"/>
      <c r="D28" s="1758"/>
      <c r="E28" s="1759"/>
      <c r="F28" s="1759"/>
      <c r="G28" s="3815">
        <v>2201067</v>
      </c>
      <c r="H28" s="2425" t="s">
        <v>2616</v>
      </c>
      <c r="I28" s="3815">
        <v>2201067</v>
      </c>
      <c r="J28" s="2425" t="s">
        <v>2616</v>
      </c>
      <c r="K28" s="3946">
        <v>220106700</v>
      </c>
      <c r="L28" s="2425" t="s">
        <v>2617</v>
      </c>
      <c r="M28" s="3946">
        <v>220106700</v>
      </c>
      <c r="N28" s="2425" t="s">
        <v>2617</v>
      </c>
      <c r="O28" s="3939">
        <v>54</v>
      </c>
      <c r="P28" s="3939">
        <v>0</v>
      </c>
      <c r="Q28" s="2267"/>
      <c r="R28" s="2426"/>
      <c r="S28" s="3953">
        <f>SUM(X28:X31)/T13</f>
        <v>6.4184039826359492E-4</v>
      </c>
      <c r="T28" s="3952"/>
      <c r="U28" s="3109"/>
      <c r="V28" s="2787"/>
      <c r="W28" s="3560" t="s">
        <v>2618</v>
      </c>
      <c r="X28" s="1653">
        <v>664449.19999999995</v>
      </c>
      <c r="Y28" s="1653">
        <v>0</v>
      </c>
      <c r="Z28" s="1653">
        <v>0</v>
      </c>
      <c r="AA28" s="1546" t="s">
        <v>2619</v>
      </c>
      <c r="AB28" s="3931">
        <v>20</v>
      </c>
      <c r="AC28" s="2425" t="s">
        <v>1614</v>
      </c>
      <c r="AD28" s="3800"/>
      <c r="AE28" s="3800"/>
      <c r="AF28" s="3800"/>
      <c r="AG28" s="3800"/>
      <c r="AH28" s="3800"/>
      <c r="AI28" s="3800"/>
      <c r="AJ28" s="3800"/>
      <c r="AK28" s="3800"/>
      <c r="AL28" s="3800"/>
      <c r="AM28" s="3800"/>
      <c r="AN28" s="3800"/>
      <c r="AO28" s="3800"/>
      <c r="AP28" s="3800"/>
      <c r="AQ28" s="3800"/>
      <c r="AR28" s="3800"/>
      <c r="AS28" s="3800"/>
      <c r="AT28" s="3800"/>
      <c r="AU28" s="3800"/>
      <c r="AV28" s="3800"/>
      <c r="AW28" s="3800"/>
      <c r="AX28" s="3800"/>
      <c r="AY28" s="3800"/>
      <c r="AZ28" s="3800"/>
      <c r="BA28" s="3800"/>
      <c r="BB28" s="3800"/>
      <c r="BC28" s="3800"/>
      <c r="BD28" s="3800"/>
      <c r="BE28" s="3800"/>
      <c r="BF28" s="3800"/>
      <c r="BG28" s="3800"/>
      <c r="BH28" s="3237"/>
      <c r="BI28" s="3237"/>
      <c r="BJ28" s="3800"/>
      <c r="BK28" s="3237"/>
      <c r="BL28" s="3237"/>
      <c r="BM28" s="3839"/>
      <c r="BN28" s="3800"/>
      <c r="BO28" s="3800"/>
      <c r="BP28" s="3237"/>
      <c r="BQ28" s="3798"/>
      <c r="BR28" s="3798"/>
      <c r="BS28" s="3798"/>
      <c r="BT28" s="3798"/>
      <c r="BU28" s="3831"/>
    </row>
    <row r="29" spans="1:73" s="1716" customFormat="1" ht="24" customHeight="1" x14ac:dyDescent="0.25">
      <c r="A29" s="3963"/>
      <c r="B29" s="3964"/>
      <c r="C29" s="1757"/>
      <c r="D29" s="1758"/>
      <c r="E29" s="1759"/>
      <c r="F29" s="1759"/>
      <c r="G29" s="3819"/>
      <c r="H29" s="2426"/>
      <c r="I29" s="3819"/>
      <c r="J29" s="2426"/>
      <c r="K29" s="3947"/>
      <c r="L29" s="2426"/>
      <c r="M29" s="3947"/>
      <c r="N29" s="2426"/>
      <c r="O29" s="3940"/>
      <c r="P29" s="3940"/>
      <c r="Q29" s="2267"/>
      <c r="R29" s="2426"/>
      <c r="S29" s="3954"/>
      <c r="T29" s="3952"/>
      <c r="U29" s="3109"/>
      <c r="V29" s="2787"/>
      <c r="W29" s="2579"/>
      <c r="X29" s="1653">
        <v>4126079.04</v>
      </c>
      <c r="Y29" s="1653">
        <v>0</v>
      </c>
      <c r="Z29" s="1653">
        <v>0</v>
      </c>
      <c r="AA29" s="1546" t="s">
        <v>2620</v>
      </c>
      <c r="AB29" s="3925"/>
      <c r="AC29" s="2426"/>
      <c r="AD29" s="3800"/>
      <c r="AE29" s="3800"/>
      <c r="AF29" s="3800"/>
      <c r="AG29" s="3800"/>
      <c r="AH29" s="3800"/>
      <c r="AI29" s="3800"/>
      <c r="AJ29" s="3800"/>
      <c r="AK29" s="3800"/>
      <c r="AL29" s="3800"/>
      <c r="AM29" s="3800"/>
      <c r="AN29" s="3800"/>
      <c r="AO29" s="3800"/>
      <c r="AP29" s="3800"/>
      <c r="AQ29" s="3800"/>
      <c r="AR29" s="3800"/>
      <c r="AS29" s="3800"/>
      <c r="AT29" s="3800"/>
      <c r="AU29" s="3800"/>
      <c r="AV29" s="3800"/>
      <c r="AW29" s="3800"/>
      <c r="AX29" s="3800"/>
      <c r="AY29" s="3800"/>
      <c r="AZ29" s="3800"/>
      <c r="BA29" s="3800"/>
      <c r="BB29" s="3800"/>
      <c r="BC29" s="3800"/>
      <c r="BD29" s="3800"/>
      <c r="BE29" s="3800"/>
      <c r="BF29" s="3800"/>
      <c r="BG29" s="3800"/>
      <c r="BH29" s="3237"/>
      <c r="BI29" s="3237"/>
      <c r="BJ29" s="3800"/>
      <c r="BK29" s="3237"/>
      <c r="BL29" s="3237"/>
      <c r="BM29" s="3839"/>
      <c r="BN29" s="3800"/>
      <c r="BO29" s="3800"/>
      <c r="BP29" s="3237"/>
      <c r="BQ29" s="3798"/>
      <c r="BR29" s="3798"/>
      <c r="BS29" s="3798"/>
      <c r="BT29" s="3798"/>
      <c r="BU29" s="3831"/>
    </row>
    <row r="30" spans="1:73" s="1716" customFormat="1" ht="27.75" customHeight="1" x14ac:dyDescent="0.25">
      <c r="A30" s="3963"/>
      <c r="B30" s="3964"/>
      <c r="C30" s="1757"/>
      <c r="D30" s="1758"/>
      <c r="E30" s="1759"/>
      <c r="F30" s="1759"/>
      <c r="G30" s="3819"/>
      <c r="H30" s="2426"/>
      <c r="I30" s="3819"/>
      <c r="J30" s="2426"/>
      <c r="K30" s="3947"/>
      <c r="L30" s="2426"/>
      <c r="M30" s="3947"/>
      <c r="N30" s="2426"/>
      <c r="O30" s="3940"/>
      <c r="P30" s="3940"/>
      <c r="Q30" s="2267"/>
      <c r="R30" s="2426"/>
      <c r="S30" s="3954"/>
      <c r="T30" s="3952"/>
      <c r="U30" s="3109"/>
      <c r="V30" s="2787"/>
      <c r="W30" s="2579"/>
      <c r="X30" s="1653">
        <v>3750692.96</v>
      </c>
      <c r="Y30" s="1653">
        <v>0</v>
      </c>
      <c r="Z30" s="1653">
        <v>0</v>
      </c>
      <c r="AA30" s="1546" t="s">
        <v>2621</v>
      </c>
      <c r="AB30" s="3925"/>
      <c r="AC30" s="2426"/>
      <c r="AD30" s="3800"/>
      <c r="AE30" s="3800"/>
      <c r="AF30" s="3800"/>
      <c r="AG30" s="3800"/>
      <c r="AH30" s="3800"/>
      <c r="AI30" s="3800"/>
      <c r="AJ30" s="3800"/>
      <c r="AK30" s="3800"/>
      <c r="AL30" s="3800"/>
      <c r="AM30" s="3800"/>
      <c r="AN30" s="3800"/>
      <c r="AO30" s="3800"/>
      <c r="AP30" s="3800"/>
      <c r="AQ30" s="3800"/>
      <c r="AR30" s="3800"/>
      <c r="AS30" s="3800"/>
      <c r="AT30" s="3800"/>
      <c r="AU30" s="3800"/>
      <c r="AV30" s="3800"/>
      <c r="AW30" s="3800"/>
      <c r="AX30" s="3800"/>
      <c r="AY30" s="3800"/>
      <c r="AZ30" s="3800"/>
      <c r="BA30" s="3800"/>
      <c r="BB30" s="3800"/>
      <c r="BC30" s="3800"/>
      <c r="BD30" s="3800"/>
      <c r="BE30" s="3800"/>
      <c r="BF30" s="3800"/>
      <c r="BG30" s="3800"/>
      <c r="BH30" s="3237"/>
      <c r="BI30" s="3237"/>
      <c r="BJ30" s="3800"/>
      <c r="BK30" s="3237"/>
      <c r="BL30" s="3237"/>
      <c r="BM30" s="3839"/>
      <c r="BN30" s="3800"/>
      <c r="BO30" s="3800"/>
      <c r="BP30" s="3237"/>
      <c r="BQ30" s="3798"/>
      <c r="BR30" s="3798"/>
      <c r="BS30" s="3798"/>
      <c r="BT30" s="3798"/>
      <c r="BU30" s="3831"/>
    </row>
    <row r="31" spans="1:73" s="1716" customFormat="1" ht="27.75" customHeight="1" x14ac:dyDescent="0.25">
      <c r="A31" s="3963"/>
      <c r="B31" s="3964"/>
      <c r="C31" s="1757"/>
      <c r="D31" s="1758"/>
      <c r="E31" s="1759"/>
      <c r="F31" s="1759"/>
      <c r="G31" s="3814"/>
      <c r="H31" s="2427"/>
      <c r="I31" s="3814"/>
      <c r="J31" s="2427"/>
      <c r="K31" s="3948"/>
      <c r="L31" s="2427"/>
      <c r="M31" s="3948"/>
      <c r="N31" s="2427"/>
      <c r="O31" s="3941"/>
      <c r="P31" s="3941"/>
      <c r="Q31" s="2267"/>
      <c r="R31" s="2426"/>
      <c r="S31" s="3955"/>
      <c r="T31" s="3952"/>
      <c r="U31" s="3109"/>
      <c r="V31" s="2787"/>
      <c r="W31" s="3561"/>
      <c r="X31" s="1653">
        <v>1458778.81</v>
      </c>
      <c r="Y31" s="1653">
        <v>0</v>
      </c>
      <c r="Z31" s="1653">
        <v>0</v>
      </c>
      <c r="AA31" s="1546" t="s">
        <v>2622</v>
      </c>
      <c r="AB31" s="3926"/>
      <c r="AC31" s="2427"/>
      <c r="AD31" s="3800"/>
      <c r="AE31" s="3800"/>
      <c r="AF31" s="3800"/>
      <c r="AG31" s="3800"/>
      <c r="AH31" s="3800"/>
      <c r="AI31" s="3800"/>
      <c r="AJ31" s="3800"/>
      <c r="AK31" s="3800"/>
      <c r="AL31" s="3800"/>
      <c r="AM31" s="3800"/>
      <c r="AN31" s="3800"/>
      <c r="AO31" s="3800"/>
      <c r="AP31" s="3800"/>
      <c r="AQ31" s="3800"/>
      <c r="AR31" s="3800"/>
      <c r="AS31" s="3800"/>
      <c r="AT31" s="3800"/>
      <c r="AU31" s="3800"/>
      <c r="AV31" s="3800"/>
      <c r="AW31" s="3800"/>
      <c r="AX31" s="3800"/>
      <c r="AY31" s="3800"/>
      <c r="AZ31" s="3800"/>
      <c r="BA31" s="3800"/>
      <c r="BB31" s="3800"/>
      <c r="BC31" s="3800"/>
      <c r="BD31" s="3800"/>
      <c r="BE31" s="3800"/>
      <c r="BF31" s="3800"/>
      <c r="BG31" s="3800"/>
      <c r="BH31" s="3237"/>
      <c r="BI31" s="3237"/>
      <c r="BJ31" s="3800"/>
      <c r="BK31" s="3237"/>
      <c r="BL31" s="3237"/>
      <c r="BM31" s="3839"/>
      <c r="BN31" s="3800"/>
      <c r="BO31" s="3800"/>
      <c r="BP31" s="3237"/>
      <c r="BQ31" s="3798"/>
      <c r="BR31" s="3798"/>
      <c r="BS31" s="3798"/>
      <c r="BT31" s="3798"/>
      <c r="BU31" s="3831"/>
    </row>
    <row r="32" spans="1:73" s="1716" customFormat="1" ht="64.5" customHeight="1" x14ac:dyDescent="0.25">
      <c r="A32" s="3963"/>
      <c r="B32" s="3964"/>
      <c r="C32" s="1757"/>
      <c r="D32" s="1758"/>
      <c r="E32" s="1759"/>
      <c r="F32" s="1759"/>
      <c r="G32" s="3815">
        <v>2201028</v>
      </c>
      <c r="H32" s="2425" t="s">
        <v>2623</v>
      </c>
      <c r="I32" s="3815">
        <v>2201028</v>
      </c>
      <c r="J32" s="2425" t="s">
        <v>2623</v>
      </c>
      <c r="K32" s="3468">
        <v>220102801</v>
      </c>
      <c r="L32" s="2425" t="s">
        <v>2624</v>
      </c>
      <c r="M32" s="3468">
        <v>220102801</v>
      </c>
      <c r="N32" s="2425" t="s">
        <v>2624</v>
      </c>
      <c r="O32" s="3939">
        <v>36000</v>
      </c>
      <c r="P32" s="3939">
        <v>30730</v>
      </c>
      <c r="Q32" s="2267"/>
      <c r="R32" s="2426"/>
      <c r="S32" s="3953">
        <f>SUM(X32:X36)/T13</f>
        <v>0.87548405668450158</v>
      </c>
      <c r="T32" s="3952"/>
      <c r="U32" s="3109"/>
      <c r="V32" s="2298" t="s">
        <v>2625</v>
      </c>
      <c r="W32" s="3560" t="s">
        <v>2626</v>
      </c>
      <c r="X32" s="1653">
        <f>12990000000-2811152214</f>
        <v>10178847786</v>
      </c>
      <c r="Y32" s="1653">
        <v>9774109250</v>
      </c>
      <c r="Z32" s="1653">
        <v>5569516674</v>
      </c>
      <c r="AA32" s="1546" t="s">
        <v>2627</v>
      </c>
      <c r="AB32" s="1760">
        <v>81</v>
      </c>
      <c r="AC32" s="1542" t="s">
        <v>2628</v>
      </c>
      <c r="AD32" s="3800"/>
      <c r="AE32" s="3800"/>
      <c r="AF32" s="3800"/>
      <c r="AG32" s="3800"/>
      <c r="AH32" s="3800"/>
      <c r="AI32" s="3800"/>
      <c r="AJ32" s="3800"/>
      <c r="AK32" s="3800"/>
      <c r="AL32" s="3800"/>
      <c r="AM32" s="3800"/>
      <c r="AN32" s="3800"/>
      <c r="AO32" s="3800"/>
      <c r="AP32" s="3800"/>
      <c r="AQ32" s="3800"/>
      <c r="AR32" s="3800"/>
      <c r="AS32" s="3800"/>
      <c r="AT32" s="3800"/>
      <c r="AU32" s="3800"/>
      <c r="AV32" s="3800"/>
      <c r="AW32" s="3800"/>
      <c r="AX32" s="3800"/>
      <c r="AY32" s="3800"/>
      <c r="AZ32" s="3800"/>
      <c r="BA32" s="3800"/>
      <c r="BB32" s="3800"/>
      <c r="BC32" s="3800"/>
      <c r="BD32" s="3800"/>
      <c r="BE32" s="3800"/>
      <c r="BF32" s="3800"/>
      <c r="BG32" s="3800"/>
      <c r="BH32" s="3237"/>
      <c r="BI32" s="3237"/>
      <c r="BJ32" s="3800"/>
      <c r="BK32" s="3237"/>
      <c r="BL32" s="3237"/>
      <c r="BM32" s="3839"/>
      <c r="BN32" s="3800"/>
      <c r="BO32" s="3800"/>
      <c r="BP32" s="3237"/>
      <c r="BQ32" s="3798"/>
      <c r="BR32" s="3798"/>
      <c r="BS32" s="3798"/>
      <c r="BT32" s="3798"/>
      <c r="BU32" s="3831"/>
    </row>
    <row r="33" spans="1:73" s="1716" customFormat="1" ht="64.5" customHeight="1" x14ac:dyDescent="0.25">
      <c r="A33" s="3963"/>
      <c r="B33" s="3964"/>
      <c r="C33" s="1757"/>
      <c r="D33" s="1758"/>
      <c r="E33" s="1759"/>
      <c r="F33" s="1759"/>
      <c r="G33" s="3819"/>
      <c r="H33" s="2426"/>
      <c r="I33" s="3819"/>
      <c r="J33" s="2426"/>
      <c r="K33" s="3469"/>
      <c r="L33" s="2426"/>
      <c r="M33" s="3469"/>
      <c r="N33" s="2426"/>
      <c r="O33" s="3940"/>
      <c r="P33" s="3940"/>
      <c r="Q33" s="2267"/>
      <c r="R33" s="2426"/>
      <c r="S33" s="3954"/>
      <c r="T33" s="3952"/>
      <c r="U33" s="3109"/>
      <c r="V33" s="2298"/>
      <c r="W33" s="2579"/>
      <c r="X33" s="1653">
        <v>250000000</v>
      </c>
      <c r="Y33" s="1653">
        <v>153866568</v>
      </c>
      <c r="Z33" s="1653">
        <v>59895733</v>
      </c>
      <c r="AA33" s="1560" t="s">
        <v>2629</v>
      </c>
      <c r="AB33" s="1761">
        <v>20</v>
      </c>
      <c r="AC33" s="1543" t="s">
        <v>1614</v>
      </c>
      <c r="AD33" s="3800"/>
      <c r="AE33" s="3800"/>
      <c r="AF33" s="3800"/>
      <c r="AG33" s="3800"/>
      <c r="AH33" s="3800"/>
      <c r="AI33" s="3800"/>
      <c r="AJ33" s="3800"/>
      <c r="AK33" s="3800"/>
      <c r="AL33" s="3800"/>
      <c r="AM33" s="3800"/>
      <c r="AN33" s="3800"/>
      <c r="AO33" s="3800"/>
      <c r="AP33" s="3800"/>
      <c r="AQ33" s="3800"/>
      <c r="AR33" s="3800"/>
      <c r="AS33" s="3800"/>
      <c r="AT33" s="3800"/>
      <c r="AU33" s="3800"/>
      <c r="AV33" s="3800"/>
      <c r="AW33" s="3800"/>
      <c r="AX33" s="3800"/>
      <c r="AY33" s="3800"/>
      <c r="AZ33" s="3800"/>
      <c r="BA33" s="3800"/>
      <c r="BB33" s="3800"/>
      <c r="BC33" s="3800"/>
      <c r="BD33" s="3800"/>
      <c r="BE33" s="3800"/>
      <c r="BF33" s="3800"/>
      <c r="BG33" s="3800"/>
      <c r="BH33" s="3237"/>
      <c r="BI33" s="3237"/>
      <c r="BJ33" s="3800"/>
      <c r="BK33" s="3237"/>
      <c r="BL33" s="3237"/>
      <c r="BM33" s="3839"/>
      <c r="BN33" s="3800"/>
      <c r="BO33" s="3800"/>
      <c r="BP33" s="3237"/>
      <c r="BQ33" s="3798"/>
      <c r="BR33" s="3798"/>
      <c r="BS33" s="3798"/>
      <c r="BT33" s="3798"/>
      <c r="BU33" s="3831"/>
    </row>
    <row r="34" spans="1:73" s="1716" customFormat="1" ht="64.5" customHeight="1" x14ac:dyDescent="0.25">
      <c r="A34" s="3963"/>
      <c r="B34" s="3964"/>
      <c r="C34" s="1757"/>
      <c r="D34" s="1758"/>
      <c r="E34" s="1759"/>
      <c r="F34" s="1759"/>
      <c r="G34" s="3819"/>
      <c r="H34" s="2426"/>
      <c r="I34" s="3819"/>
      <c r="J34" s="2426"/>
      <c r="K34" s="3469"/>
      <c r="L34" s="2426"/>
      <c r="M34" s="3469"/>
      <c r="N34" s="2426"/>
      <c r="O34" s="3940"/>
      <c r="P34" s="3940"/>
      <c r="Q34" s="2267"/>
      <c r="R34" s="2426"/>
      <c r="S34" s="3954"/>
      <c r="T34" s="3952"/>
      <c r="U34" s="3109"/>
      <c r="V34" s="2298"/>
      <c r="W34" s="2579"/>
      <c r="X34" s="1653">
        <v>62.1</v>
      </c>
      <c r="Y34" s="1653">
        <v>0</v>
      </c>
      <c r="Z34" s="1653">
        <v>0</v>
      </c>
      <c r="AA34" s="1762" t="s">
        <v>2630</v>
      </c>
      <c r="AB34" s="1763">
        <v>186</v>
      </c>
      <c r="AC34" s="1555" t="s">
        <v>2631</v>
      </c>
      <c r="AD34" s="3800"/>
      <c r="AE34" s="3800"/>
      <c r="AF34" s="3800"/>
      <c r="AG34" s="3800"/>
      <c r="AH34" s="3800"/>
      <c r="AI34" s="3800"/>
      <c r="AJ34" s="3800"/>
      <c r="AK34" s="3800"/>
      <c r="AL34" s="3800"/>
      <c r="AM34" s="3800"/>
      <c r="AN34" s="3800"/>
      <c r="AO34" s="3800"/>
      <c r="AP34" s="3800"/>
      <c r="AQ34" s="3800"/>
      <c r="AR34" s="3800"/>
      <c r="AS34" s="3800"/>
      <c r="AT34" s="3800"/>
      <c r="AU34" s="3800"/>
      <c r="AV34" s="3800"/>
      <c r="AW34" s="3800"/>
      <c r="AX34" s="3800"/>
      <c r="AY34" s="3800"/>
      <c r="AZ34" s="3800"/>
      <c r="BA34" s="3800"/>
      <c r="BB34" s="3800"/>
      <c r="BC34" s="3800"/>
      <c r="BD34" s="3800"/>
      <c r="BE34" s="3800"/>
      <c r="BF34" s="3800"/>
      <c r="BG34" s="3800"/>
      <c r="BH34" s="3237"/>
      <c r="BI34" s="3237"/>
      <c r="BJ34" s="3800"/>
      <c r="BK34" s="3237"/>
      <c r="BL34" s="3237"/>
      <c r="BM34" s="3839"/>
      <c r="BN34" s="3800"/>
      <c r="BO34" s="3800"/>
      <c r="BP34" s="3237"/>
      <c r="BQ34" s="3798"/>
      <c r="BR34" s="3798"/>
      <c r="BS34" s="3798"/>
      <c r="BT34" s="3798"/>
      <c r="BU34" s="3831"/>
    </row>
    <row r="35" spans="1:73" s="1716" customFormat="1" ht="64.5" customHeight="1" x14ac:dyDescent="0.25">
      <c r="A35" s="3963"/>
      <c r="B35" s="3964"/>
      <c r="C35" s="1757"/>
      <c r="D35" s="1758"/>
      <c r="E35" s="1759"/>
      <c r="F35" s="1759"/>
      <c r="G35" s="3819"/>
      <c r="H35" s="2426"/>
      <c r="I35" s="3819"/>
      <c r="J35" s="2426"/>
      <c r="K35" s="3469"/>
      <c r="L35" s="2426"/>
      <c r="M35" s="3469"/>
      <c r="N35" s="2426"/>
      <c r="O35" s="3940"/>
      <c r="P35" s="3940"/>
      <c r="Q35" s="2267"/>
      <c r="R35" s="2426"/>
      <c r="S35" s="3954"/>
      <c r="T35" s="3952"/>
      <c r="U35" s="3109"/>
      <c r="V35" s="2298"/>
      <c r="W35" s="2579"/>
      <c r="X35" s="1653">
        <v>1411366447.05</v>
      </c>
      <c r="Y35" s="1653">
        <v>0</v>
      </c>
      <c r="Z35" s="1653">
        <v>0</v>
      </c>
      <c r="AA35" s="1546" t="s">
        <v>2632</v>
      </c>
      <c r="AB35" s="1551">
        <v>137</v>
      </c>
      <c r="AC35" s="1554" t="s">
        <v>2633</v>
      </c>
      <c r="AD35" s="3800"/>
      <c r="AE35" s="3800"/>
      <c r="AF35" s="3800"/>
      <c r="AG35" s="3800"/>
      <c r="AH35" s="3800"/>
      <c r="AI35" s="3800"/>
      <c r="AJ35" s="3800"/>
      <c r="AK35" s="3800"/>
      <c r="AL35" s="3800"/>
      <c r="AM35" s="3800"/>
      <c r="AN35" s="3800"/>
      <c r="AO35" s="3800"/>
      <c r="AP35" s="3800"/>
      <c r="AQ35" s="3800"/>
      <c r="AR35" s="3800"/>
      <c r="AS35" s="3800"/>
      <c r="AT35" s="3800"/>
      <c r="AU35" s="3800"/>
      <c r="AV35" s="3800"/>
      <c r="AW35" s="3800"/>
      <c r="AX35" s="3800"/>
      <c r="AY35" s="3800"/>
      <c r="AZ35" s="3800"/>
      <c r="BA35" s="3800"/>
      <c r="BB35" s="3800"/>
      <c r="BC35" s="3800"/>
      <c r="BD35" s="3800"/>
      <c r="BE35" s="3800"/>
      <c r="BF35" s="3800"/>
      <c r="BG35" s="3800"/>
      <c r="BH35" s="3237"/>
      <c r="BI35" s="3237"/>
      <c r="BJ35" s="3800"/>
      <c r="BK35" s="3237"/>
      <c r="BL35" s="3237"/>
      <c r="BM35" s="3839"/>
      <c r="BN35" s="3800"/>
      <c r="BO35" s="3800"/>
      <c r="BP35" s="3237"/>
      <c r="BQ35" s="3798"/>
      <c r="BR35" s="3798"/>
      <c r="BS35" s="3798"/>
      <c r="BT35" s="3798"/>
      <c r="BU35" s="3831"/>
    </row>
    <row r="36" spans="1:73" s="1716" customFormat="1" ht="51" customHeight="1" x14ac:dyDescent="0.25">
      <c r="A36" s="3963"/>
      <c r="B36" s="3964"/>
      <c r="C36" s="1757"/>
      <c r="D36" s="1758"/>
      <c r="E36" s="1759"/>
      <c r="F36" s="1759"/>
      <c r="G36" s="3814"/>
      <c r="H36" s="2427"/>
      <c r="I36" s="3814"/>
      <c r="J36" s="2427"/>
      <c r="K36" s="3470"/>
      <c r="L36" s="2427"/>
      <c r="M36" s="3470"/>
      <c r="N36" s="2427"/>
      <c r="O36" s="3941"/>
      <c r="P36" s="3941"/>
      <c r="Q36" s="2267"/>
      <c r="R36" s="2426"/>
      <c r="S36" s="3955"/>
      <c r="T36" s="3952"/>
      <c r="U36" s="3109"/>
      <c r="V36" s="2298"/>
      <c r="W36" s="3561"/>
      <c r="X36" s="1653">
        <v>1800000000</v>
      </c>
      <c r="Y36" s="1653">
        <v>1800000000</v>
      </c>
      <c r="Z36" s="1653">
        <v>0</v>
      </c>
      <c r="AA36" s="1546" t="s">
        <v>2634</v>
      </c>
      <c r="AB36" s="1551">
        <v>88</v>
      </c>
      <c r="AC36" s="1555" t="s">
        <v>1919</v>
      </c>
      <c r="AD36" s="3800"/>
      <c r="AE36" s="3800"/>
      <c r="AF36" s="3800"/>
      <c r="AG36" s="3800"/>
      <c r="AH36" s="3800"/>
      <c r="AI36" s="3800"/>
      <c r="AJ36" s="3800"/>
      <c r="AK36" s="3800"/>
      <c r="AL36" s="3800"/>
      <c r="AM36" s="3800"/>
      <c r="AN36" s="3800"/>
      <c r="AO36" s="3800"/>
      <c r="AP36" s="3800"/>
      <c r="AQ36" s="3800"/>
      <c r="AR36" s="3800"/>
      <c r="AS36" s="3800"/>
      <c r="AT36" s="3800"/>
      <c r="AU36" s="3800"/>
      <c r="AV36" s="3800"/>
      <c r="AW36" s="3800"/>
      <c r="AX36" s="3800"/>
      <c r="AY36" s="3800"/>
      <c r="AZ36" s="3800"/>
      <c r="BA36" s="3800"/>
      <c r="BB36" s="3800"/>
      <c r="BC36" s="3800"/>
      <c r="BD36" s="3800"/>
      <c r="BE36" s="3800"/>
      <c r="BF36" s="3800"/>
      <c r="BG36" s="3800"/>
      <c r="BH36" s="3237"/>
      <c r="BI36" s="3237"/>
      <c r="BJ36" s="3800"/>
      <c r="BK36" s="3237"/>
      <c r="BL36" s="3237"/>
      <c r="BM36" s="3839"/>
      <c r="BN36" s="3800"/>
      <c r="BO36" s="3800"/>
      <c r="BP36" s="3237"/>
      <c r="BQ36" s="3798"/>
      <c r="BR36" s="3798"/>
      <c r="BS36" s="3798"/>
      <c r="BT36" s="3798"/>
      <c r="BU36" s="3831"/>
    </row>
    <row r="37" spans="1:73" s="1716" customFormat="1" ht="155.25" customHeight="1" x14ac:dyDescent="0.25">
      <c r="A37" s="3963"/>
      <c r="B37" s="3964"/>
      <c r="C37" s="1757"/>
      <c r="D37" s="1758"/>
      <c r="E37" s="1759"/>
      <c r="F37" s="1759"/>
      <c r="G37" s="1764" t="s">
        <v>2635</v>
      </c>
      <c r="H37" s="1542" t="s">
        <v>2636</v>
      </c>
      <c r="I37" s="1764" t="s">
        <v>2635</v>
      </c>
      <c r="J37" s="1542" t="s">
        <v>2636</v>
      </c>
      <c r="K37" s="1670">
        <v>220102900</v>
      </c>
      <c r="L37" s="1542" t="s">
        <v>2637</v>
      </c>
      <c r="M37" s="1670">
        <v>220102900</v>
      </c>
      <c r="N37" s="1542" t="s">
        <v>2637</v>
      </c>
      <c r="O37" s="1765">
        <v>1000</v>
      </c>
      <c r="P37" s="1765">
        <v>0</v>
      </c>
      <c r="Q37" s="2267"/>
      <c r="R37" s="2426"/>
      <c r="S37" s="1766">
        <f>SUM(X37)/T13</f>
        <v>1.7971531133409126E-2</v>
      </c>
      <c r="T37" s="3952"/>
      <c r="U37" s="3109"/>
      <c r="V37" s="2298"/>
      <c r="W37" s="1541" t="s">
        <v>2638</v>
      </c>
      <c r="X37" s="1653">
        <f>380000000-100000000</f>
        <v>280000000</v>
      </c>
      <c r="Y37" s="1653">
        <v>0</v>
      </c>
      <c r="Z37" s="1653">
        <v>0</v>
      </c>
      <c r="AA37" s="1561" t="s">
        <v>2639</v>
      </c>
      <c r="AB37" s="1767">
        <v>20</v>
      </c>
      <c r="AC37" s="1545" t="s">
        <v>1614</v>
      </c>
      <c r="AD37" s="3800"/>
      <c r="AE37" s="3800"/>
      <c r="AF37" s="3800"/>
      <c r="AG37" s="3800"/>
      <c r="AH37" s="3800"/>
      <c r="AI37" s="3800"/>
      <c r="AJ37" s="3800"/>
      <c r="AK37" s="3800"/>
      <c r="AL37" s="3800"/>
      <c r="AM37" s="3800"/>
      <c r="AN37" s="3800"/>
      <c r="AO37" s="3800"/>
      <c r="AP37" s="3800"/>
      <c r="AQ37" s="3800"/>
      <c r="AR37" s="3800"/>
      <c r="AS37" s="3800"/>
      <c r="AT37" s="3800"/>
      <c r="AU37" s="3800"/>
      <c r="AV37" s="3800"/>
      <c r="AW37" s="3800"/>
      <c r="AX37" s="3800"/>
      <c r="AY37" s="3800"/>
      <c r="AZ37" s="3800"/>
      <c r="BA37" s="3800"/>
      <c r="BB37" s="3800"/>
      <c r="BC37" s="3800"/>
      <c r="BD37" s="3800"/>
      <c r="BE37" s="3800"/>
      <c r="BF37" s="3800"/>
      <c r="BG37" s="3800"/>
      <c r="BH37" s="3237"/>
      <c r="BI37" s="3237"/>
      <c r="BJ37" s="3800"/>
      <c r="BK37" s="3237"/>
      <c r="BL37" s="3237"/>
      <c r="BM37" s="3839"/>
      <c r="BN37" s="3800"/>
      <c r="BO37" s="3800"/>
      <c r="BP37" s="3237"/>
      <c r="BQ37" s="3798"/>
      <c r="BR37" s="3798"/>
      <c r="BS37" s="3798"/>
      <c r="BT37" s="3798"/>
      <c r="BU37" s="3831"/>
    </row>
    <row r="38" spans="1:73" s="1716" customFormat="1" ht="117.75" customHeight="1" x14ac:dyDescent="0.25">
      <c r="A38" s="3963"/>
      <c r="B38" s="3964"/>
      <c r="C38" s="1757"/>
      <c r="D38" s="1758"/>
      <c r="E38" s="1759"/>
      <c r="F38" s="1759"/>
      <c r="G38" s="1764" t="s">
        <v>74</v>
      </c>
      <c r="H38" s="1542" t="s">
        <v>2640</v>
      </c>
      <c r="I38" s="1764">
        <v>2201062</v>
      </c>
      <c r="J38" s="1542" t="s">
        <v>445</v>
      </c>
      <c r="K38" s="1539" t="s">
        <v>74</v>
      </c>
      <c r="L38" s="1542" t="s">
        <v>446</v>
      </c>
      <c r="M38" s="1539">
        <v>220106200</v>
      </c>
      <c r="N38" s="1542" t="s">
        <v>2641</v>
      </c>
      <c r="O38" s="1765">
        <v>15</v>
      </c>
      <c r="P38" s="1765">
        <v>12</v>
      </c>
      <c r="Q38" s="2267"/>
      <c r="R38" s="2426"/>
      <c r="S38" s="1766">
        <f>X38/T13</f>
        <v>8.3439251690828088E-3</v>
      </c>
      <c r="T38" s="3952"/>
      <c r="U38" s="3109"/>
      <c r="V38" s="2298" t="s">
        <v>2642</v>
      </c>
      <c r="W38" s="1541" t="s">
        <v>2643</v>
      </c>
      <c r="X38" s="1653">
        <f>30000000+100000000</f>
        <v>130000000</v>
      </c>
      <c r="Y38" s="1653">
        <v>13200000</v>
      </c>
      <c r="Z38" s="1653">
        <v>6600000</v>
      </c>
      <c r="AA38" s="1546" t="s">
        <v>2644</v>
      </c>
      <c r="AB38" s="1760">
        <v>20</v>
      </c>
      <c r="AC38" s="1542" t="s">
        <v>1614</v>
      </c>
      <c r="AD38" s="3800"/>
      <c r="AE38" s="3800"/>
      <c r="AF38" s="3800"/>
      <c r="AG38" s="3800"/>
      <c r="AH38" s="3800"/>
      <c r="AI38" s="3800"/>
      <c r="AJ38" s="3800"/>
      <c r="AK38" s="3800"/>
      <c r="AL38" s="3800"/>
      <c r="AM38" s="3800"/>
      <c r="AN38" s="3800"/>
      <c r="AO38" s="3800"/>
      <c r="AP38" s="3800"/>
      <c r="AQ38" s="3800"/>
      <c r="AR38" s="3800"/>
      <c r="AS38" s="3800"/>
      <c r="AT38" s="3800"/>
      <c r="AU38" s="3800"/>
      <c r="AV38" s="3800"/>
      <c r="AW38" s="3800"/>
      <c r="AX38" s="3800"/>
      <c r="AY38" s="3800"/>
      <c r="AZ38" s="3800"/>
      <c r="BA38" s="3800"/>
      <c r="BB38" s="3800"/>
      <c r="BC38" s="3800"/>
      <c r="BD38" s="3800"/>
      <c r="BE38" s="3800"/>
      <c r="BF38" s="3800"/>
      <c r="BG38" s="3800"/>
      <c r="BH38" s="3237"/>
      <c r="BI38" s="3237"/>
      <c r="BJ38" s="3800"/>
      <c r="BK38" s="3237"/>
      <c r="BL38" s="3237"/>
      <c r="BM38" s="3839"/>
      <c r="BN38" s="3800"/>
      <c r="BO38" s="3800"/>
      <c r="BP38" s="3237"/>
      <c r="BQ38" s="3798"/>
      <c r="BR38" s="3798"/>
      <c r="BS38" s="3798"/>
      <c r="BT38" s="3798"/>
      <c r="BU38" s="3831"/>
    </row>
    <row r="39" spans="1:73" s="1716" customFormat="1" ht="63.75" customHeight="1" x14ac:dyDescent="0.25">
      <c r="A39" s="3963"/>
      <c r="B39" s="3964"/>
      <c r="C39" s="1757"/>
      <c r="D39" s="1758"/>
      <c r="E39" s="1759"/>
      <c r="F39" s="1759"/>
      <c r="G39" s="1764">
        <v>2201063</v>
      </c>
      <c r="H39" s="1542" t="s">
        <v>2645</v>
      </c>
      <c r="I39" s="1764">
        <v>2201063</v>
      </c>
      <c r="J39" s="1542" t="s">
        <v>2645</v>
      </c>
      <c r="K39" s="1768">
        <v>220106300</v>
      </c>
      <c r="L39" s="1542" t="s">
        <v>2646</v>
      </c>
      <c r="M39" s="1768">
        <v>220106300</v>
      </c>
      <c r="N39" s="1542" t="s">
        <v>2646</v>
      </c>
      <c r="O39" s="1765">
        <v>2</v>
      </c>
      <c r="P39" s="1765">
        <v>0</v>
      </c>
      <c r="Q39" s="2267"/>
      <c r="R39" s="2426"/>
      <c r="S39" s="1766">
        <f>X39/T13</f>
        <v>1.9255211928652634E-3</v>
      </c>
      <c r="T39" s="3952"/>
      <c r="U39" s="3109"/>
      <c r="V39" s="2298"/>
      <c r="W39" s="1541" t="s">
        <v>2647</v>
      </c>
      <c r="X39" s="1653">
        <v>30000000</v>
      </c>
      <c r="Y39" s="1653">
        <v>0</v>
      </c>
      <c r="Z39" s="1653">
        <v>0</v>
      </c>
      <c r="AA39" s="1546" t="s">
        <v>2648</v>
      </c>
      <c r="AB39" s="1760">
        <v>20</v>
      </c>
      <c r="AC39" s="1542" t="s">
        <v>1614</v>
      </c>
      <c r="AD39" s="3800"/>
      <c r="AE39" s="3800"/>
      <c r="AF39" s="3800"/>
      <c r="AG39" s="3800"/>
      <c r="AH39" s="3800"/>
      <c r="AI39" s="3800"/>
      <c r="AJ39" s="3800"/>
      <c r="AK39" s="3800"/>
      <c r="AL39" s="3800"/>
      <c r="AM39" s="3800"/>
      <c r="AN39" s="3800"/>
      <c r="AO39" s="3800"/>
      <c r="AP39" s="3800"/>
      <c r="AQ39" s="3800"/>
      <c r="AR39" s="3800"/>
      <c r="AS39" s="3800"/>
      <c r="AT39" s="3800"/>
      <c r="AU39" s="3800"/>
      <c r="AV39" s="3800"/>
      <c r="AW39" s="3800"/>
      <c r="AX39" s="3800"/>
      <c r="AY39" s="3800"/>
      <c r="AZ39" s="3800"/>
      <c r="BA39" s="3800"/>
      <c r="BB39" s="3800"/>
      <c r="BC39" s="3800"/>
      <c r="BD39" s="3800"/>
      <c r="BE39" s="3800"/>
      <c r="BF39" s="3800"/>
      <c r="BG39" s="3800"/>
      <c r="BH39" s="3237"/>
      <c r="BI39" s="3237"/>
      <c r="BJ39" s="3800"/>
      <c r="BK39" s="3237"/>
      <c r="BL39" s="3237"/>
      <c r="BM39" s="3839"/>
      <c r="BN39" s="3800"/>
      <c r="BO39" s="3800"/>
      <c r="BP39" s="3237"/>
      <c r="BQ39" s="3798"/>
      <c r="BR39" s="3798"/>
      <c r="BS39" s="3798"/>
      <c r="BT39" s="3798"/>
      <c r="BU39" s="3831"/>
    </row>
    <row r="40" spans="1:73" s="1716" customFormat="1" ht="40.5" customHeight="1" x14ac:dyDescent="0.25">
      <c r="A40" s="3963"/>
      <c r="B40" s="3964"/>
      <c r="C40" s="1757"/>
      <c r="D40" s="1758"/>
      <c r="E40" s="1759"/>
      <c r="F40" s="1759"/>
      <c r="G40" s="3827">
        <v>2201069</v>
      </c>
      <c r="H40" s="3945" t="s">
        <v>2649</v>
      </c>
      <c r="I40" s="3827">
        <v>2201069</v>
      </c>
      <c r="J40" s="3945" t="s">
        <v>2649</v>
      </c>
      <c r="K40" s="3827">
        <v>220106900</v>
      </c>
      <c r="L40" s="3945" t="s">
        <v>2650</v>
      </c>
      <c r="M40" s="3827">
        <v>220106900</v>
      </c>
      <c r="N40" s="3945" t="s">
        <v>2650</v>
      </c>
      <c r="O40" s="3938">
        <v>3</v>
      </c>
      <c r="P40" s="3938">
        <v>0</v>
      </c>
      <c r="Q40" s="2267"/>
      <c r="R40" s="2426"/>
      <c r="S40" s="3944">
        <f>SUM(X40:X41)/T13</f>
        <v>4.4928827833522816E-3</v>
      </c>
      <c r="T40" s="3952"/>
      <c r="U40" s="3109"/>
      <c r="V40" s="2298"/>
      <c r="W40" s="3560" t="s">
        <v>2651</v>
      </c>
      <c r="X40" s="1653">
        <v>50000000</v>
      </c>
      <c r="Y40" s="1653">
        <v>0</v>
      </c>
      <c r="Z40" s="1653">
        <v>0</v>
      </c>
      <c r="AA40" s="1546" t="s">
        <v>2652</v>
      </c>
      <c r="AB40" s="1760">
        <v>21</v>
      </c>
      <c r="AC40" s="1542" t="s">
        <v>2653</v>
      </c>
      <c r="AD40" s="3800"/>
      <c r="AE40" s="3800"/>
      <c r="AF40" s="3800"/>
      <c r="AG40" s="3800"/>
      <c r="AH40" s="3800"/>
      <c r="AI40" s="3800"/>
      <c r="AJ40" s="3800"/>
      <c r="AK40" s="3800"/>
      <c r="AL40" s="3800"/>
      <c r="AM40" s="3800"/>
      <c r="AN40" s="3800"/>
      <c r="AO40" s="3800"/>
      <c r="AP40" s="3800"/>
      <c r="AQ40" s="3800"/>
      <c r="AR40" s="3800"/>
      <c r="AS40" s="3800"/>
      <c r="AT40" s="3800"/>
      <c r="AU40" s="3800"/>
      <c r="AV40" s="3800"/>
      <c r="AW40" s="3800"/>
      <c r="AX40" s="3800"/>
      <c r="AY40" s="3800"/>
      <c r="AZ40" s="3800"/>
      <c r="BA40" s="3800"/>
      <c r="BB40" s="3800"/>
      <c r="BC40" s="3800"/>
      <c r="BD40" s="3800"/>
      <c r="BE40" s="3800"/>
      <c r="BF40" s="3800"/>
      <c r="BG40" s="3800"/>
      <c r="BH40" s="3237"/>
      <c r="BI40" s="3237"/>
      <c r="BJ40" s="3800"/>
      <c r="BK40" s="3237"/>
      <c r="BL40" s="3237"/>
      <c r="BM40" s="3839"/>
      <c r="BN40" s="3800"/>
      <c r="BO40" s="3800"/>
      <c r="BP40" s="3237"/>
      <c r="BQ40" s="3798"/>
      <c r="BR40" s="3798"/>
      <c r="BS40" s="3798"/>
      <c r="BT40" s="3798"/>
      <c r="BU40" s="3831"/>
    </row>
    <row r="41" spans="1:73" s="1716" customFormat="1" ht="43.5" customHeight="1" x14ac:dyDescent="0.25">
      <c r="A41" s="3963"/>
      <c r="B41" s="3964"/>
      <c r="C41" s="1757"/>
      <c r="D41" s="1758"/>
      <c r="E41" s="1759"/>
      <c r="F41" s="1759"/>
      <c r="G41" s="3827"/>
      <c r="H41" s="3945"/>
      <c r="I41" s="3827"/>
      <c r="J41" s="3945"/>
      <c r="K41" s="3827"/>
      <c r="L41" s="3945"/>
      <c r="M41" s="3827"/>
      <c r="N41" s="3945"/>
      <c r="O41" s="3938"/>
      <c r="P41" s="3938"/>
      <c r="Q41" s="2267"/>
      <c r="R41" s="2427"/>
      <c r="S41" s="3944"/>
      <c r="T41" s="3952"/>
      <c r="U41" s="3555"/>
      <c r="V41" s="2298"/>
      <c r="W41" s="3561"/>
      <c r="X41" s="1653">
        <v>20000000</v>
      </c>
      <c r="Y41" s="1653">
        <v>0</v>
      </c>
      <c r="Z41" s="1653">
        <v>0</v>
      </c>
      <c r="AA41" s="1546" t="s">
        <v>2654</v>
      </c>
      <c r="AB41" s="1760">
        <v>20</v>
      </c>
      <c r="AC41" s="1542" t="s">
        <v>1614</v>
      </c>
      <c r="AD41" s="3800"/>
      <c r="AE41" s="3800"/>
      <c r="AF41" s="3800"/>
      <c r="AG41" s="3800"/>
      <c r="AH41" s="3800"/>
      <c r="AI41" s="3800"/>
      <c r="AJ41" s="3800"/>
      <c r="AK41" s="3800"/>
      <c r="AL41" s="3800"/>
      <c r="AM41" s="3800"/>
      <c r="AN41" s="3800"/>
      <c r="AO41" s="3800"/>
      <c r="AP41" s="3800"/>
      <c r="AQ41" s="3800"/>
      <c r="AR41" s="3800"/>
      <c r="AS41" s="3800"/>
      <c r="AT41" s="3800"/>
      <c r="AU41" s="3800"/>
      <c r="AV41" s="3800"/>
      <c r="AW41" s="3800"/>
      <c r="AX41" s="3800"/>
      <c r="AY41" s="3800"/>
      <c r="AZ41" s="3800"/>
      <c r="BA41" s="3800"/>
      <c r="BB41" s="3800"/>
      <c r="BC41" s="3800"/>
      <c r="BD41" s="3800"/>
      <c r="BE41" s="3800"/>
      <c r="BF41" s="3800"/>
      <c r="BG41" s="3800"/>
      <c r="BH41" s="3237"/>
      <c r="BI41" s="3237"/>
      <c r="BJ41" s="3794"/>
      <c r="BK41" s="3238"/>
      <c r="BL41" s="3238"/>
      <c r="BM41" s="3915"/>
      <c r="BN41" s="3794"/>
      <c r="BO41" s="3794"/>
      <c r="BP41" s="3238"/>
      <c r="BQ41" s="3795"/>
      <c r="BR41" s="3795"/>
      <c r="BS41" s="3795"/>
      <c r="BT41" s="3795"/>
      <c r="BU41" s="3791"/>
    </row>
    <row r="42" spans="1:73" ht="207" customHeight="1" x14ac:dyDescent="0.25">
      <c r="A42" s="1620"/>
      <c r="B42" s="1769"/>
      <c r="C42" s="1619"/>
      <c r="D42" s="1769"/>
      <c r="G42" s="1770">
        <v>2201018</v>
      </c>
      <c r="H42" s="1554" t="s">
        <v>2655</v>
      </c>
      <c r="I42" s="1770">
        <v>2201018</v>
      </c>
      <c r="J42" s="1554" t="s">
        <v>2655</v>
      </c>
      <c r="K42" s="1771">
        <v>220101802</v>
      </c>
      <c r="L42" s="1554" t="s">
        <v>2656</v>
      </c>
      <c r="M42" s="1771">
        <v>220101802</v>
      </c>
      <c r="N42" s="1554" t="s">
        <v>2656</v>
      </c>
      <c r="O42" s="1772">
        <v>1</v>
      </c>
      <c r="P42" s="1772">
        <v>0</v>
      </c>
      <c r="Q42" s="2438" t="s">
        <v>2657</v>
      </c>
      <c r="R42" s="2397" t="s">
        <v>2658</v>
      </c>
      <c r="S42" s="1773">
        <f>X42/T42</f>
        <v>0.375</v>
      </c>
      <c r="T42" s="3942">
        <f>SUM(X42:X43)</f>
        <v>16000000</v>
      </c>
      <c r="U42" s="2397" t="s">
        <v>2659</v>
      </c>
      <c r="V42" s="1540" t="s">
        <v>2660</v>
      </c>
      <c r="W42" s="1541" t="s">
        <v>2661</v>
      </c>
      <c r="X42" s="1367">
        <v>6000000</v>
      </c>
      <c r="Y42" s="1367">
        <v>0</v>
      </c>
      <c r="Z42" s="1367">
        <v>0</v>
      </c>
      <c r="AA42" s="1546" t="s">
        <v>2662</v>
      </c>
      <c r="AB42" s="1760">
        <v>20</v>
      </c>
      <c r="AC42" s="1542" t="s">
        <v>1614</v>
      </c>
      <c r="AD42" s="3799">
        <v>1263</v>
      </c>
      <c r="AE42" s="3799">
        <v>1263</v>
      </c>
      <c r="AF42" s="3799">
        <v>1364</v>
      </c>
      <c r="AG42" s="3799">
        <v>1364</v>
      </c>
      <c r="AH42" s="3799">
        <v>2622</v>
      </c>
      <c r="AI42" s="3799">
        <v>2622</v>
      </c>
      <c r="AJ42" s="3799">
        <v>4</v>
      </c>
      <c r="AK42" s="3799">
        <v>4</v>
      </c>
      <c r="AL42" s="3799">
        <v>1</v>
      </c>
      <c r="AM42" s="3799">
        <v>1</v>
      </c>
      <c r="AN42" s="3799">
        <v>0</v>
      </c>
      <c r="AO42" s="3799">
        <v>0</v>
      </c>
      <c r="AP42" s="3799">
        <v>14</v>
      </c>
      <c r="AQ42" s="3799">
        <v>14</v>
      </c>
      <c r="AR42" s="3799">
        <v>3</v>
      </c>
      <c r="AS42" s="3799">
        <v>3</v>
      </c>
      <c r="AT42" s="3799">
        <v>0</v>
      </c>
      <c r="AU42" s="3799">
        <v>0</v>
      </c>
      <c r="AV42" s="3799">
        <v>0</v>
      </c>
      <c r="AW42" s="3799">
        <v>0</v>
      </c>
      <c r="AX42" s="3799">
        <v>0</v>
      </c>
      <c r="AY42" s="3799">
        <v>0</v>
      </c>
      <c r="AZ42" s="3799">
        <v>0</v>
      </c>
      <c r="BA42" s="3799">
        <v>0</v>
      </c>
      <c r="BB42" s="3799">
        <v>158</v>
      </c>
      <c r="BC42" s="3799">
        <v>158</v>
      </c>
      <c r="BD42" s="3799">
        <v>31</v>
      </c>
      <c r="BE42" s="3799">
        <v>31</v>
      </c>
      <c r="BF42" s="3799">
        <v>42</v>
      </c>
      <c r="BG42" s="3799">
        <v>42</v>
      </c>
      <c r="BH42" s="3236">
        <f>+AD42+AF42</f>
        <v>2627</v>
      </c>
      <c r="BI42" s="3236">
        <v>2627</v>
      </c>
      <c r="BJ42" s="3799">
        <v>0</v>
      </c>
      <c r="BK42" s="3799">
        <f>SUM(Y42:Y43)</f>
        <v>0</v>
      </c>
      <c r="BL42" s="3799">
        <f>SUM(Z42:Z43)</f>
        <v>0</v>
      </c>
      <c r="BM42" s="3799">
        <v>0</v>
      </c>
      <c r="BN42" s="3799">
        <v>0</v>
      </c>
      <c r="BO42" s="3799">
        <v>0</v>
      </c>
      <c r="BP42" s="3799" t="s">
        <v>2589</v>
      </c>
      <c r="BQ42" s="3829"/>
      <c r="BR42" s="3829"/>
      <c r="BS42" s="3829"/>
      <c r="BT42" s="3829"/>
      <c r="BU42" s="3792" t="s">
        <v>2590</v>
      </c>
    </row>
    <row r="43" spans="1:73" ht="151.5" customHeight="1" x14ac:dyDescent="0.25">
      <c r="A43" s="1620"/>
      <c r="B43" s="1769"/>
      <c r="C43" s="1619"/>
      <c r="D43" s="1769"/>
      <c r="G43" s="1774">
        <v>2201037</v>
      </c>
      <c r="H43" s="1555" t="s">
        <v>2663</v>
      </c>
      <c r="I43" s="1774">
        <v>2201037</v>
      </c>
      <c r="J43" s="1555" t="s">
        <v>2663</v>
      </c>
      <c r="K43" s="1550">
        <v>220103700</v>
      </c>
      <c r="L43" s="1775" t="s">
        <v>2664</v>
      </c>
      <c r="M43" s="1550">
        <v>220103700</v>
      </c>
      <c r="N43" s="1775" t="s">
        <v>2664</v>
      </c>
      <c r="O43" s="1776">
        <v>54</v>
      </c>
      <c r="P43" s="1777">
        <v>0</v>
      </c>
      <c r="Q43" s="2267"/>
      <c r="R43" s="2397"/>
      <c r="S43" s="1778">
        <f>X43/T42</f>
        <v>0.625</v>
      </c>
      <c r="T43" s="3943"/>
      <c r="U43" s="2397"/>
      <c r="V43" s="1540" t="s">
        <v>2665</v>
      </c>
      <c r="W43" s="1541" t="s">
        <v>2666</v>
      </c>
      <c r="X43" s="1367">
        <v>10000000</v>
      </c>
      <c r="Y43" s="1367">
        <v>0</v>
      </c>
      <c r="Z43" s="1367">
        <v>0</v>
      </c>
      <c r="AA43" s="1546" t="s">
        <v>2667</v>
      </c>
      <c r="AB43" s="1761">
        <v>20</v>
      </c>
      <c r="AC43" s="1543" t="s">
        <v>1614</v>
      </c>
      <c r="AD43" s="3800"/>
      <c r="AE43" s="3800"/>
      <c r="AF43" s="3800"/>
      <c r="AG43" s="3800"/>
      <c r="AH43" s="3800"/>
      <c r="AI43" s="3800"/>
      <c r="AJ43" s="3800"/>
      <c r="AK43" s="3800"/>
      <c r="AL43" s="3800"/>
      <c r="AM43" s="3800"/>
      <c r="AN43" s="3800"/>
      <c r="AO43" s="3800"/>
      <c r="AP43" s="3800"/>
      <c r="AQ43" s="3800"/>
      <c r="AR43" s="3800"/>
      <c r="AS43" s="3800"/>
      <c r="AT43" s="3800"/>
      <c r="AU43" s="3800"/>
      <c r="AV43" s="3800"/>
      <c r="AW43" s="3800"/>
      <c r="AX43" s="3800"/>
      <c r="AY43" s="3800"/>
      <c r="AZ43" s="3800"/>
      <c r="BA43" s="3800"/>
      <c r="BB43" s="3800"/>
      <c r="BC43" s="3800"/>
      <c r="BD43" s="3800"/>
      <c r="BE43" s="3800"/>
      <c r="BF43" s="3800"/>
      <c r="BG43" s="3800"/>
      <c r="BH43" s="3237"/>
      <c r="BI43" s="3237"/>
      <c r="BJ43" s="3794"/>
      <c r="BK43" s="3794"/>
      <c r="BL43" s="3794"/>
      <c r="BM43" s="3794"/>
      <c r="BN43" s="3794"/>
      <c r="BO43" s="3794"/>
      <c r="BP43" s="3794"/>
      <c r="BQ43" s="3874"/>
      <c r="BR43" s="3874"/>
      <c r="BS43" s="3874"/>
      <c r="BT43" s="3874"/>
      <c r="BU43" s="3791"/>
    </row>
    <row r="44" spans="1:73" ht="21" customHeight="1" x14ac:dyDescent="0.25">
      <c r="A44" s="1620"/>
      <c r="B44" s="1769"/>
      <c r="C44" s="1619"/>
      <c r="D44" s="1769"/>
      <c r="G44" s="3833">
        <v>2201007</v>
      </c>
      <c r="H44" s="3732" t="s">
        <v>2668</v>
      </c>
      <c r="I44" s="3833">
        <v>2201073</v>
      </c>
      <c r="J44" s="3732" t="s">
        <v>2668</v>
      </c>
      <c r="K44" s="3833">
        <v>2201007</v>
      </c>
      <c r="L44" s="3732" t="s">
        <v>2669</v>
      </c>
      <c r="M44" s="3833">
        <v>220107300</v>
      </c>
      <c r="N44" s="3732" t="s">
        <v>2669</v>
      </c>
      <c r="O44" s="3890">
        <v>7774</v>
      </c>
      <c r="P44" s="3938">
        <v>0</v>
      </c>
      <c r="Q44" s="2438" t="s">
        <v>2670</v>
      </c>
      <c r="R44" s="2397" t="s">
        <v>2671</v>
      </c>
      <c r="S44" s="3919">
        <f>SUM(X44:X48)/T44</f>
        <v>0.20961339683854868</v>
      </c>
      <c r="T44" s="3921">
        <f>SUM(X44:X76)</f>
        <v>161433653.48000002</v>
      </c>
      <c r="U44" s="2397" t="s">
        <v>2672</v>
      </c>
      <c r="V44" s="2299" t="s">
        <v>2673</v>
      </c>
      <c r="W44" s="3905" t="s">
        <v>2674</v>
      </c>
      <c r="X44" s="1653">
        <v>1328898.3899999999</v>
      </c>
      <c r="Y44" s="1653">
        <v>0</v>
      </c>
      <c r="Z44" s="1653">
        <v>0</v>
      </c>
      <c r="AA44" s="1779" t="s">
        <v>2675</v>
      </c>
      <c r="AB44" s="3923">
        <v>20</v>
      </c>
      <c r="AC44" s="3150" t="s">
        <v>1614</v>
      </c>
      <c r="AD44" s="3799">
        <v>19649</v>
      </c>
      <c r="AE44" s="3236">
        <v>19649</v>
      </c>
      <c r="AF44" s="3799">
        <v>20118</v>
      </c>
      <c r="AG44" s="3006">
        <v>20118</v>
      </c>
      <c r="AH44" s="3799">
        <v>28907</v>
      </c>
      <c r="AI44" s="3236">
        <v>28907</v>
      </c>
      <c r="AJ44" s="3799">
        <v>9525</v>
      </c>
      <c r="AK44" s="3236">
        <v>9525</v>
      </c>
      <c r="AL44" s="3799">
        <v>1222</v>
      </c>
      <c r="AM44" s="3236">
        <v>1222</v>
      </c>
      <c r="AN44" s="3799">
        <v>113</v>
      </c>
      <c r="AO44" s="3236">
        <v>113</v>
      </c>
      <c r="AP44" s="3799">
        <v>297</v>
      </c>
      <c r="AQ44" s="3236">
        <v>297</v>
      </c>
      <c r="AR44" s="3236">
        <v>345</v>
      </c>
      <c r="AS44" s="3236">
        <v>345</v>
      </c>
      <c r="AT44" s="3799">
        <v>0</v>
      </c>
      <c r="AU44" s="3799">
        <v>0</v>
      </c>
      <c r="AV44" s="3799">
        <v>0</v>
      </c>
      <c r="AW44" s="3799">
        <v>0</v>
      </c>
      <c r="AX44" s="3799">
        <v>0</v>
      </c>
      <c r="AY44" s="3799">
        <v>0</v>
      </c>
      <c r="AZ44" s="3799">
        <v>0</v>
      </c>
      <c r="BA44" s="3799">
        <v>0</v>
      </c>
      <c r="BB44" s="3799">
        <v>3301</v>
      </c>
      <c r="BC44" s="3236">
        <v>3301</v>
      </c>
      <c r="BD44" s="3799">
        <v>2507</v>
      </c>
      <c r="BE44" s="3236">
        <v>2507</v>
      </c>
      <c r="BF44" s="3799">
        <v>113</v>
      </c>
      <c r="BG44" s="3236">
        <v>113</v>
      </c>
      <c r="BH44" s="3236">
        <f>+AD44+AF44</f>
        <v>39767</v>
      </c>
      <c r="BI44" s="3236">
        <f>+AE44+AG44</f>
        <v>39767</v>
      </c>
      <c r="BJ44" s="3799">
        <v>2</v>
      </c>
      <c r="BK44" s="3799">
        <f>SUM(Y44:Y76)</f>
        <v>34954167</v>
      </c>
      <c r="BL44" s="3799">
        <f>SUM(Z44:Z76)</f>
        <v>7739000</v>
      </c>
      <c r="BM44" s="3838">
        <f>BL44/BK44</f>
        <v>0.22140421770028162</v>
      </c>
      <c r="BN44" s="3799">
        <v>20</v>
      </c>
      <c r="BO44" s="3799" t="s">
        <v>187</v>
      </c>
      <c r="BP44" s="3799" t="s">
        <v>2676</v>
      </c>
      <c r="BQ44" s="3796">
        <v>44266</v>
      </c>
      <c r="BR44" s="3796">
        <v>44266</v>
      </c>
      <c r="BS44" s="3796">
        <v>44360</v>
      </c>
      <c r="BT44" s="3796">
        <v>44362</v>
      </c>
      <c r="BU44" s="3792" t="s">
        <v>2590</v>
      </c>
    </row>
    <row r="45" spans="1:73" ht="21" customHeight="1" x14ac:dyDescent="0.25">
      <c r="A45" s="1620"/>
      <c r="B45" s="1769"/>
      <c r="C45" s="1619"/>
      <c r="D45" s="1769"/>
      <c r="G45" s="3834"/>
      <c r="H45" s="3128"/>
      <c r="I45" s="3834"/>
      <c r="J45" s="3128"/>
      <c r="K45" s="3834"/>
      <c r="L45" s="3128"/>
      <c r="M45" s="3834"/>
      <c r="N45" s="3128"/>
      <c r="O45" s="3891"/>
      <c r="P45" s="3938"/>
      <c r="Q45" s="2267"/>
      <c r="R45" s="2397"/>
      <c r="S45" s="3920"/>
      <c r="T45" s="3921"/>
      <c r="U45" s="2397"/>
      <c r="V45" s="2787"/>
      <c r="W45" s="3857"/>
      <c r="X45" s="1653">
        <v>8252158.0700000003</v>
      </c>
      <c r="Y45" s="1653">
        <v>0</v>
      </c>
      <c r="Z45" s="1653">
        <v>0</v>
      </c>
      <c r="AA45" s="1779" t="s">
        <v>2677</v>
      </c>
      <c r="AB45" s="3923"/>
      <c r="AC45" s="3150"/>
      <c r="AD45" s="3800"/>
      <c r="AE45" s="3237"/>
      <c r="AF45" s="3800"/>
      <c r="AG45" s="3007"/>
      <c r="AH45" s="3800"/>
      <c r="AI45" s="3237"/>
      <c r="AJ45" s="3800"/>
      <c r="AK45" s="3237"/>
      <c r="AL45" s="3800"/>
      <c r="AM45" s="3237"/>
      <c r="AN45" s="3800"/>
      <c r="AO45" s="3237"/>
      <c r="AP45" s="3800"/>
      <c r="AQ45" s="3237"/>
      <c r="AR45" s="3237"/>
      <c r="AS45" s="3237"/>
      <c r="AT45" s="3800"/>
      <c r="AU45" s="3800"/>
      <c r="AV45" s="3800"/>
      <c r="AW45" s="3800"/>
      <c r="AX45" s="3800"/>
      <c r="AY45" s="3800"/>
      <c r="AZ45" s="3800"/>
      <c r="BA45" s="3800"/>
      <c r="BB45" s="3800"/>
      <c r="BC45" s="3237"/>
      <c r="BD45" s="3800"/>
      <c r="BE45" s="3237"/>
      <c r="BF45" s="3800"/>
      <c r="BG45" s="3237"/>
      <c r="BH45" s="3237"/>
      <c r="BI45" s="3237"/>
      <c r="BJ45" s="3800"/>
      <c r="BK45" s="3800"/>
      <c r="BL45" s="3800"/>
      <c r="BM45" s="3839"/>
      <c r="BN45" s="3800"/>
      <c r="BO45" s="3800"/>
      <c r="BP45" s="3800"/>
      <c r="BQ45" s="3798"/>
      <c r="BR45" s="3798"/>
      <c r="BS45" s="3798"/>
      <c r="BT45" s="3798"/>
      <c r="BU45" s="3831"/>
    </row>
    <row r="46" spans="1:73" ht="21" customHeight="1" x14ac:dyDescent="0.25">
      <c r="A46" s="1620"/>
      <c r="B46" s="1769"/>
      <c r="C46" s="1619"/>
      <c r="D46" s="1769"/>
      <c r="G46" s="3834"/>
      <c r="H46" s="3128"/>
      <c r="I46" s="3834"/>
      <c r="J46" s="3128"/>
      <c r="K46" s="3834"/>
      <c r="L46" s="3128"/>
      <c r="M46" s="3834"/>
      <c r="N46" s="3128"/>
      <c r="O46" s="3891"/>
      <c r="P46" s="3938"/>
      <c r="Q46" s="2267"/>
      <c r="R46" s="2397"/>
      <c r="S46" s="3920"/>
      <c r="T46" s="3921"/>
      <c r="U46" s="2397"/>
      <c r="V46" s="2787"/>
      <c r="W46" s="3857"/>
      <c r="X46" s="1653">
        <v>7501385.9199999999</v>
      </c>
      <c r="Y46" s="1653">
        <v>0</v>
      </c>
      <c r="Z46" s="1653">
        <v>0</v>
      </c>
      <c r="AA46" s="1779" t="s">
        <v>2678</v>
      </c>
      <c r="AB46" s="3923"/>
      <c r="AC46" s="3150"/>
      <c r="AD46" s="3800"/>
      <c r="AE46" s="3237"/>
      <c r="AF46" s="3800"/>
      <c r="AG46" s="3007"/>
      <c r="AH46" s="3800"/>
      <c r="AI46" s="3237"/>
      <c r="AJ46" s="3800"/>
      <c r="AK46" s="3237"/>
      <c r="AL46" s="3800"/>
      <c r="AM46" s="3237"/>
      <c r="AN46" s="3800"/>
      <c r="AO46" s="3237"/>
      <c r="AP46" s="3800"/>
      <c r="AQ46" s="3237"/>
      <c r="AR46" s="3237"/>
      <c r="AS46" s="3237"/>
      <c r="AT46" s="3800"/>
      <c r="AU46" s="3800"/>
      <c r="AV46" s="3800"/>
      <c r="AW46" s="3800"/>
      <c r="AX46" s="3800"/>
      <c r="AY46" s="3800"/>
      <c r="AZ46" s="3800"/>
      <c r="BA46" s="3800"/>
      <c r="BB46" s="3800"/>
      <c r="BC46" s="3237"/>
      <c r="BD46" s="3800"/>
      <c r="BE46" s="3237"/>
      <c r="BF46" s="3800"/>
      <c r="BG46" s="3237"/>
      <c r="BH46" s="3237"/>
      <c r="BI46" s="3237"/>
      <c r="BJ46" s="3800"/>
      <c r="BK46" s="3800"/>
      <c r="BL46" s="3800"/>
      <c r="BM46" s="3839"/>
      <c r="BN46" s="3800"/>
      <c r="BO46" s="3800"/>
      <c r="BP46" s="3800"/>
      <c r="BQ46" s="3798"/>
      <c r="BR46" s="3798"/>
      <c r="BS46" s="3798"/>
      <c r="BT46" s="3798"/>
      <c r="BU46" s="3831"/>
    </row>
    <row r="47" spans="1:73" ht="21" customHeight="1" x14ac:dyDescent="0.25">
      <c r="A47" s="1620"/>
      <c r="B47" s="1769"/>
      <c r="C47" s="1619"/>
      <c r="D47" s="1769"/>
      <c r="G47" s="3834"/>
      <c r="H47" s="3128"/>
      <c r="I47" s="3834"/>
      <c r="J47" s="3128"/>
      <c r="K47" s="3834"/>
      <c r="L47" s="3128"/>
      <c r="M47" s="3834"/>
      <c r="N47" s="3128"/>
      <c r="O47" s="3891"/>
      <c r="P47" s="3938"/>
      <c r="Q47" s="2267"/>
      <c r="R47" s="2397"/>
      <c r="S47" s="3920"/>
      <c r="T47" s="3921"/>
      <c r="U47" s="2397"/>
      <c r="V47" s="2787"/>
      <c r="W47" s="3857"/>
      <c r="X47" s="1653">
        <v>2917557.61</v>
      </c>
      <c r="Y47" s="1653">
        <v>0</v>
      </c>
      <c r="Z47" s="1653">
        <v>0</v>
      </c>
      <c r="AA47" s="1779" t="s">
        <v>2679</v>
      </c>
      <c r="AB47" s="3923"/>
      <c r="AC47" s="3150"/>
      <c r="AD47" s="3800"/>
      <c r="AE47" s="3237"/>
      <c r="AF47" s="3800"/>
      <c r="AG47" s="3007"/>
      <c r="AH47" s="3800"/>
      <c r="AI47" s="3237"/>
      <c r="AJ47" s="3800"/>
      <c r="AK47" s="3237"/>
      <c r="AL47" s="3800"/>
      <c r="AM47" s="3237"/>
      <c r="AN47" s="3800"/>
      <c r="AO47" s="3237"/>
      <c r="AP47" s="3800"/>
      <c r="AQ47" s="3237"/>
      <c r="AR47" s="3237"/>
      <c r="AS47" s="3237"/>
      <c r="AT47" s="3800"/>
      <c r="AU47" s="3800"/>
      <c r="AV47" s="3800"/>
      <c r="AW47" s="3800"/>
      <c r="AX47" s="3800"/>
      <c r="AY47" s="3800"/>
      <c r="AZ47" s="3800"/>
      <c r="BA47" s="3800"/>
      <c r="BB47" s="3800"/>
      <c r="BC47" s="3237"/>
      <c r="BD47" s="3800"/>
      <c r="BE47" s="3237"/>
      <c r="BF47" s="3800"/>
      <c r="BG47" s="3237"/>
      <c r="BH47" s="3237"/>
      <c r="BI47" s="3237"/>
      <c r="BJ47" s="3800"/>
      <c r="BK47" s="3800"/>
      <c r="BL47" s="3800"/>
      <c r="BM47" s="3839"/>
      <c r="BN47" s="3800"/>
      <c r="BO47" s="3800"/>
      <c r="BP47" s="3800"/>
      <c r="BQ47" s="3798"/>
      <c r="BR47" s="3798"/>
      <c r="BS47" s="3798"/>
      <c r="BT47" s="3798"/>
      <c r="BU47" s="3831"/>
    </row>
    <row r="48" spans="1:73" ht="66.75" customHeight="1" x14ac:dyDescent="0.25">
      <c r="A48" s="1620"/>
      <c r="B48" s="1769"/>
      <c r="C48" s="1619"/>
      <c r="D48" s="1769"/>
      <c r="G48" s="3834"/>
      <c r="H48" s="3128"/>
      <c r="I48" s="3834"/>
      <c r="J48" s="3128"/>
      <c r="K48" s="3834"/>
      <c r="L48" s="3128"/>
      <c r="M48" s="3834"/>
      <c r="N48" s="3128"/>
      <c r="O48" s="3891"/>
      <c r="P48" s="3938"/>
      <c r="Q48" s="2267"/>
      <c r="R48" s="2397"/>
      <c r="S48" s="3920"/>
      <c r="T48" s="3921"/>
      <c r="U48" s="2397"/>
      <c r="V48" s="2787"/>
      <c r="W48" s="3864"/>
      <c r="X48" s="1653">
        <v>13838656.48</v>
      </c>
      <c r="Y48" s="1653">
        <v>0</v>
      </c>
      <c r="Z48" s="1653">
        <v>0</v>
      </c>
      <c r="AA48" s="1779" t="s">
        <v>2680</v>
      </c>
      <c r="AB48" s="1763">
        <v>189</v>
      </c>
      <c r="AC48" s="1555" t="s">
        <v>2681</v>
      </c>
      <c r="AD48" s="3800"/>
      <c r="AE48" s="3237"/>
      <c r="AF48" s="3800"/>
      <c r="AG48" s="3007"/>
      <c r="AH48" s="3800"/>
      <c r="AI48" s="3237"/>
      <c r="AJ48" s="3800"/>
      <c r="AK48" s="3237"/>
      <c r="AL48" s="3800"/>
      <c r="AM48" s="3237"/>
      <c r="AN48" s="3800"/>
      <c r="AO48" s="3237"/>
      <c r="AP48" s="3800"/>
      <c r="AQ48" s="3237"/>
      <c r="AR48" s="3237"/>
      <c r="AS48" s="3237"/>
      <c r="AT48" s="3800"/>
      <c r="AU48" s="3800"/>
      <c r="AV48" s="3800"/>
      <c r="AW48" s="3800"/>
      <c r="AX48" s="3800"/>
      <c r="AY48" s="3800"/>
      <c r="AZ48" s="3800"/>
      <c r="BA48" s="3800"/>
      <c r="BB48" s="3800"/>
      <c r="BC48" s="3237"/>
      <c r="BD48" s="3800"/>
      <c r="BE48" s="3237"/>
      <c r="BF48" s="3800"/>
      <c r="BG48" s="3237"/>
      <c r="BH48" s="3237"/>
      <c r="BI48" s="3237"/>
      <c r="BJ48" s="3800"/>
      <c r="BK48" s="3800"/>
      <c r="BL48" s="3800"/>
      <c r="BM48" s="3839"/>
      <c r="BN48" s="3800"/>
      <c r="BO48" s="3800"/>
      <c r="BP48" s="3800"/>
      <c r="BQ48" s="3798"/>
      <c r="BR48" s="3798"/>
      <c r="BS48" s="3798"/>
      <c r="BT48" s="3798"/>
      <c r="BU48" s="3831"/>
    </row>
    <row r="49" spans="1:73" ht="37.5" customHeight="1" x14ac:dyDescent="0.25">
      <c r="A49" s="1620"/>
      <c r="B49" s="1769"/>
      <c r="C49" s="1619"/>
      <c r="D49" s="1769"/>
      <c r="G49" s="3827">
        <v>2201068</v>
      </c>
      <c r="H49" s="2397" t="s">
        <v>2682</v>
      </c>
      <c r="I49" s="3827">
        <v>2201068</v>
      </c>
      <c r="J49" s="2397" t="s">
        <v>2682</v>
      </c>
      <c r="K49" s="3914">
        <v>220106800</v>
      </c>
      <c r="L49" s="2469" t="s">
        <v>2683</v>
      </c>
      <c r="M49" s="3914">
        <v>220106800</v>
      </c>
      <c r="N49" s="2469" t="s">
        <v>2683</v>
      </c>
      <c r="O49" s="3269">
        <v>70</v>
      </c>
      <c r="P49" s="3269">
        <v>35</v>
      </c>
      <c r="Q49" s="2267"/>
      <c r="R49" s="2397"/>
      <c r="S49" s="3924">
        <f>SUM(X49:X52)/T44</f>
        <v>0.11150091453657163</v>
      </c>
      <c r="T49" s="3921"/>
      <c r="U49" s="2397"/>
      <c r="V49" s="2787"/>
      <c r="W49" s="3905" t="s">
        <v>2684</v>
      </c>
      <c r="X49" s="1653">
        <v>1196008.55</v>
      </c>
      <c r="Y49" s="1653">
        <v>0</v>
      </c>
      <c r="Z49" s="1653">
        <v>0</v>
      </c>
      <c r="AA49" s="1546" t="s">
        <v>2685</v>
      </c>
      <c r="AB49" s="3925">
        <v>20</v>
      </c>
      <c r="AC49" s="2426" t="s">
        <v>1614</v>
      </c>
      <c r="AD49" s="3800"/>
      <c r="AE49" s="3237"/>
      <c r="AF49" s="3800"/>
      <c r="AG49" s="3007"/>
      <c r="AH49" s="3800"/>
      <c r="AI49" s="3237"/>
      <c r="AJ49" s="3800"/>
      <c r="AK49" s="3237"/>
      <c r="AL49" s="3800"/>
      <c r="AM49" s="3237"/>
      <c r="AN49" s="3800"/>
      <c r="AO49" s="3237"/>
      <c r="AP49" s="3800"/>
      <c r="AQ49" s="3237"/>
      <c r="AR49" s="3237"/>
      <c r="AS49" s="3237"/>
      <c r="AT49" s="3800"/>
      <c r="AU49" s="3800"/>
      <c r="AV49" s="3800"/>
      <c r="AW49" s="3800"/>
      <c r="AX49" s="3800"/>
      <c r="AY49" s="3800"/>
      <c r="AZ49" s="3800"/>
      <c r="BA49" s="3800"/>
      <c r="BB49" s="3800"/>
      <c r="BC49" s="3237"/>
      <c r="BD49" s="3800"/>
      <c r="BE49" s="3237"/>
      <c r="BF49" s="3800"/>
      <c r="BG49" s="3237"/>
      <c r="BH49" s="3237"/>
      <c r="BI49" s="3237"/>
      <c r="BJ49" s="3800"/>
      <c r="BK49" s="3800"/>
      <c r="BL49" s="3800"/>
      <c r="BM49" s="3839"/>
      <c r="BN49" s="3800"/>
      <c r="BO49" s="3800"/>
      <c r="BP49" s="3800"/>
      <c r="BQ49" s="3798"/>
      <c r="BR49" s="3798"/>
      <c r="BS49" s="3798"/>
      <c r="BT49" s="3798"/>
      <c r="BU49" s="3831"/>
    </row>
    <row r="50" spans="1:73" ht="25.5" customHeight="1" x14ac:dyDescent="0.25">
      <c r="A50" s="1620"/>
      <c r="B50" s="1769"/>
      <c r="C50" s="1619"/>
      <c r="D50" s="1769"/>
      <c r="G50" s="3827"/>
      <c r="H50" s="2397"/>
      <c r="I50" s="3827"/>
      <c r="J50" s="2397"/>
      <c r="K50" s="3914"/>
      <c r="L50" s="2469"/>
      <c r="M50" s="3914"/>
      <c r="N50" s="2469"/>
      <c r="O50" s="3269"/>
      <c r="P50" s="3269"/>
      <c r="Q50" s="2267"/>
      <c r="R50" s="2397"/>
      <c r="S50" s="3924"/>
      <c r="T50" s="3921"/>
      <c r="U50" s="2397"/>
      <c r="V50" s="2787"/>
      <c r="W50" s="3857"/>
      <c r="X50" s="1653">
        <v>7426942.2699999996</v>
      </c>
      <c r="Y50" s="1653">
        <v>7426942.2699999996</v>
      </c>
      <c r="Z50" s="1653">
        <v>0</v>
      </c>
      <c r="AA50" s="1546" t="s">
        <v>2686</v>
      </c>
      <c r="AB50" s="3925"/>
      <c r="AC50" s="2426"/>
      <c r="AD50" s="3800"/>
      <c r="AE50" s="3237"/>
      <c r="AF50" s="3800"/>
      <c r="AG50" s="3007"/>
      <c r="AH50" s="3800"/>
      <c r="AI50" s="3237"/>
      <c r="AJ50" s="3800"/>
      <c r="AK50" s="3237"/>
      <c r="AL50" s="3800"/>
      <c r="AM50" s="3237"/>
      <c r="AN50" s="3800"/>
      <c r="AO50" s="3237"/>
      <c r="AP50" s="3800"/>
      <c r="AQ50" s="3237"/>
      <c r="AR50" s="3237"/>
      <c r="AS50" s="3237"/>
      <c r="AT50" s="3800"/>
      <c r="AU50" s="3800"/>
      <c r="AV50" s="3800"/>
      <c r="AW50" s="3800"/>
      <c r="AX50" s="3800"/>
      <c r="AY50" s="3800"/>
      <c r="AZ50" s="3800"/>
      <c r="BA50" s="3800"/>
      <c r="BB50" s="3800"/>
      <c r="BC50" s="3237"/>
      <c r="BD50" s="3800"/>
      <c r="BE50" s="3237"/>
      <c r="BF50" s="3800"/>
      <c r="BG50" s="3237"/>
      <c r="BH50" s="3237"/>
      <c r="BI50" s="3237"/>
      <c r="BJ50" s="3800"/>
      <c r="BK50" s="3800"/>
      <c r="BL50" s="3800"/>
      <c r="BM50" s="3839"/>
      <c r="BN50" s="3800"/>
      <c r="BO50" s="3800"/>
      <c r="BP50" s="3800"/>
      <c r="BQ50" s="3798"/>
      <c r="BR50" s="3798"/>
      <c r="BS50" s="3798"/>
      <c r="BT50" s="3798"/>
      <c r="BU50" s="3831"/>
    </row>
    <row r="51" spans="1:73" ht="25.5" customHeight="1" x14ac:dyDescent="0.25">
      <c r="A51" s="1620"/>
      <c r="B51" s="1769"/>
      <c r="C51" s="1619"/>
      <c r="D51" s="1769"/>
      <c r="G51" s="3827"/>
      <c r="H51" s="2397"/>
      <c r="I51" s="3827"/>
      <c r="J51" s="2397"/>
      <c r="K51" s="3914"/>
      <c r="L51" s="2469"/>
      <c r="M51" s="3914"/>
      <c r="N51" s="2469"/>
      <c r="O51" s="3269"/>
      <c r="P51" s="3269"/>
      <c r="Q51" s="2267"/>
      <c r="R51" s="2397"/>
      <c r="S51" s="3924"/>
      <c r="T51" s="3921"/>
      <c r="U51" s="2397"/>
      <c r="V51" s="2787"/>
      <c r="W51" s="3857"/>
      <c r="X51" s="1653">
        <v>6751247.3300000001</v>
      </c>
      <c r="Y51" s="1653">
        <v>4113057.73</v>
      </c>
      <c r="Z51" s="1653">
        <v>0</v>
      </c>
      <c r="AA51" s="1546" t="s">
        <v>2687</v>
      </c>
      <c r="AB51" s="3925"/>
      <c r="AC51" s="2426"/>
      <c r="AD51" s="3800"/>
      <c r="AE51" s="3237"/>
      <c r="AF51" s="3800"/>
      <c r="AG51" s="3007"/>
      <c r="AH51" s="3800"/>
      <c r="AI51" s="3237"/>
      <c r="AJ51" s="3800"/>
      <c r="AK51" s="3237"/>
      <c r="AL51" s="3800"/>
      <c r="AM51" s="3237"/>
      <c r="AN51" s="3800"/>
      <c r="AO51" s="3237"/>
      <c r="AP51" s="3800"/>
      <c r="AQ51" s="3237"/>
      <c r="AR51" s="3237"/>
      <c r="AS51" s="3237"/>
      <c r="AT51" s="3800"/>
      <c r="AU51" s="3800"/>
      <c r="AV51" s="3800"/>
      <c r="AW51" s="3800"/>
      <c r="AX51" s="3800"/>
      <c r="AY51" s="3800"/>
      <c r="AZ51" s="3800"/>
      <c r="BA51" s="3800"/>
      <c r="BB51" s="3800"/>
      <c r="BC51" s="3237"/>
      <c r="BD51" s="3800"/>
      <c r="BE51" s="3237"/>
      <c r="BF51" s="3800"/>
      <c r="BG51" s="3237"/>
      <c r="BH51" s="3237"/>
      <c r="BI51" s="3237"/>
      <c r="BJ51" s="3800"/>
      <c r="BK51" s="3800"/>
      <c r="BL51" s="3800"/>
      <c r="BM51" s="3839"/>
      <c r="BN51" s="3800"/>
      <c r="BO51" s="3800"/>
      <c r="BP51" s="3800"/>
      <c r="BQ51" s="3798"/>
      <c r="BR51" s="3798"/>
      <c r="BS51" s="3798"/>
      <c r="BT51" s="3798"/>
      <c r="BU51" s="3831"/>
    </row>
    <row r="52" spans="1:73" ht="30.75" customHeight="1" x14ac:dyDescent="0.25">
      <c r="A52" s="1620"/>
      <c r="B52" s="1769"/>
      <c r="C52" s="1619"/>
      <c r="D52" s="1769"/>
      <c r="G52" s="3827"/>
      <c r="H52" s="2397"/>
      <c r="I52" s="3827"/>
      <c r="J52" s="2397"/>
      <c r="K52" s="3914"/>
      <c r="L52" s="2469"/>
      <c r="M52" s="3914"/>
      <c r="N52" s="2469"/>
      <c r="O52" s="3269"/>
      <c r="P52" s="3269"/>
      <c r="Q52" s="2267"/>
      <c r="R52" s="2397"/>
      <c r="S52" s="3924"/>
      <c r="T52" s="3921"/>
      <c r="U52" s="2397"/>
      <c r="V52" s="2787"/>
      <c r="W52" s="3864"/>
      <c r="X52" s="1653">
        <v>2625801.85</v>
      </c>
      <c r="Y52" s="1653">
        <v>0</v>
      </c>
      <c r="Z52" s="1653">
        <v>0</v>
      </c>
      <c r="AA52" s="1546" t="s">
        <v>2688</v>
      </c>
      <c r="AB52" s="3926"/>
      <c r="AC52" s="2427"/>
      <c r="AD52" s="3800"/>
      <c r="AE52" s="3237"/>
      <c r="AF52" s="3800"/>
      <c r="AG52" s="3007"/>
      <c r="AH52" s="3800"/>
      <c r="AI52" s="3237"/>
      <c r="AJ52" s="3800"/>
      <c r="AK52" s="3237"/>
      <c r="AL52" s="3800"/>
      <c r="AM52" s="3237"/>
      <c r="AN52" s="3800"/>
      <c r="AO52" s="3237"/>
      <c r="AP52" s="3800"/>
      <c r="AQ52" s="3237"/>
      <c r="AR52" s="3237"/>
      <c r="AS52" s="3237"/>
      <c r="AT52" s="3800"/>
      <c r="AU52" s="3800"/>
      <c r="AV52" s="3800"/>
      <c r="AW52" s="3800"/>
      <c r="AX52" s="3800"/>
      <c r="AY52" s="3800"/>
      <c r="AZ52" s="3800"/>
      <c r="BA52" s="3800"/>
      <c r="BB52" s="3800"/>
      <c r="BC52" s="3237"/>
      <c r="BD52" s="3800"/>
      <c r="BE52" s="3237"/>
      <c r="BF52" s="3800"/>
      <c r="BG52" s="3237"/>
      <c r="BH52" s="3237"/>
      <c r="BI52" s="3237"/>
      <c r="BJ52" s="3800"/>
      <c r="BK52" s="3800"/>
      <c r="BL52" s="3800"/>
      <c r="BM52" s="3839"/>
      <c r="BN52" s="3800"/>
      <c r="BO52" s="3800"/>
      <c r="BP52" s="3800"/>
      <c r="BQ52" s="3798"/>
      <c r="BR52" s="3798"/>
      <c r="BS52" s="3798"/>
      <c r="BT52" s="3798"/>
      <c r="BU52" s="3831"/>
    </row>
    <row r="53" spans="1:73" ht="38.25" customHeight="1" x14ac:dyDescent="0.25">
      <c r="A53" s="1620"/>
      <c r="B53" s="1769"/>
      <c r="C53" s="1619"/>
      <c r="D53" s="1769"/>
      <c r="G53" s="3815" t="s">
        <v>2689</v>
      </c>
      <c r="H53" s="2425" t="s">
        <v>2690</v>
      </c>
      <c r="I53" s="3815" t="s">
        <v>2689</v>
      </c>
      <c r="J53" s="2425" t="s">
        <v>2690</v>
      </c>
      <c r="K53" s="3468">
        <v>220102600</v>
      </c>
      <c r="L53" s="2425" t="s">
        <v>2691</v>
      </c>
      <c r="M53" s="3468">
        <v>220102600</v>
      </c>
      <c r="N53" s="2425" t="s">
        <v>2691</v>
      </c>
      <c r="O53" s="3939">
        <v>17</v>
      </c>
      <c r="P53" s="3939">
        <v>1</v>
      </c>
      <c r="Q53" s="2267"/>
      <c r="R53" s="2397"/>
      <c r="S53" s="3866">
        <f>SUM(X53:X60)/T44</f>
        <v>0.12138111588007652</v>
      </c>
      <c r="T53" s="3921"/>
      <c r="U53" s="2397"/>
      <c r="V53" s="2787"/>
      <c r="W53" s="3905" t="s">
        <v>2692</v>
      </c>
      <c r="X53" s="1653">
        <f>10000000-8405003</f>
        <v>1594997</v>
      </c>
      <c r="Y53" s="1653">
        <v>0</v>
      </c>
      <c r="Z53" s="1653">
        <v>0</v>
      </c>
      <c r="AA53" s="1546" t="s">
        <v>2693</v>
      </c>
      <c r="AB53" s="3931">
        <v>25</v>
      </c>
      <c r="AC53" s="2425" t="s">
        <v>2586</v>
      </c>
      <c r="AD53" s="3800"/>
      <c r="AE53" s="3237"/>
      <c r="AF53" s="3800"/>
      <c r="AG53" s="3007"/>
      <c r="AH53" s="3800"/>
      <c r="AI53" s="3237"/>
      <c r="AJ53" s="3800"/>
      <c r="AK53" s="3237"/>
      <c r="AL53" s="3800"/>
      <c r="AM53" s="3237"/>
      <c r="AN53" s="3800"/>
      <c r="AO53" s="3237"/>
      <c r="AP53" s="3800"/>
      <c r="AQ53" s="3237"/>
      <c r="AR53" s="3237"/>
      <c r="AS53" s="3237"/>
      <c r="AT53" s="3800"/>
      <c r="AU53" s="3800"/>
      <c r="AV53" s="3800"/>
      <c r="AW53" s="3800"/>
      <c r="AX53" s="3800"/>
      <c r="AY53" s="3800"/>
      <c r="AZ53" s="3800"/>
      <c r="BA53" s="3800"/>
      <c r="BB53" s="3800"/>
      <c r="BC53" s="3237"/>
      <c r="BD53" s="3800"/>
      <c r="BE53" s="3237"/>
      <c r="BF53" s="3800"/>
      <c r="BG53" s="3237"/>
      <c r="BH53" s="3237"/>
      <c r="BI53" s="3237"/>
      <c r="BJ53" s="3800"/>
      <c r="BK53" s="3800"/>
      <c r="BL53" s="3800"/>
      <c r="BM53" s="3839"/>
      <c r="BN53" s="3800"/>
      <c r="BO53" s="3800"/>
      <c r="BP53" s="3800"/>
      <c r="BQ53" s="3798"/>
      <c r="BR53" s="3798"/>
      <c r="BS53" s="3798"/>
      <c r="BT53" s="3798"/>
      <c r="BU53" s="3831"/>
    </row>
    <row r="54" spans="1:73" x14ac:dyDescent="0.25">
      <c r="A54" s="1620"/>
      <c r="B54" s="1769"/>
      <c r="C54" s="1619"/>
      <c r="D54" s="1769"/>
      <c r="G54" s="3819"/>
      <c r="H54" s="2426"/>
      <c r="I54" s="3819"/>
      <c r="J54" s="2426"/>
      <c r="K54" s="3469"/>
      <c r="L54" s="2426"/>
      <c r="M54" s="3469"/>
      <c r="N54" s="2426"/>
      <c r="O54" s="3940"/>
      <c r="P54" s="3940"/>
      <c r="Q54" s="2267"/>
      <c r="R54" s="2397"/>
      <c r="S54" s="3867"/>
      <c r="T54" s="3921"/>
      <c r="U54" s="2397"/>
      <c r="V54" s="2787"/>
      <c r="W54" s="3857"/>
      <c r="X54" s="1653">
        <f>5000000-5000000</f>
        <v>0</v>
      </c>
      <c r="Y54" s="1653"/>
      <c r="Z54" s="1653"/>
      <c r="AA54" s="1546" t="s">
        <v>2694</v>
      </c>
      <c r="AB54" s="3925"/>
      <c r="AC54" s="2426"/>
      <c r="AD54" s="3800"/>
      <c r="AE54" s="3237"/>
      <c r="AF54" s="3800"/>
      <c r="AG54" s="3007"/>
      <c r="AH54" s="3800"/>
      <c r="AI54" s="3237"/>
      <c r="AJ54" s="3800"/>
      <c r="AK54" s="3237"/>
      <c r="AL54" s="3800"/>
      <c r="AM54" s="3237"/>
      <c r="AN54" s="3800"/>
      <c r="AO54" s="3237"/>
      <c r="AP54" s="3800"/>
      <c r="AQ54" s="3237"/>
      <c r="AR54" s="3237"/>
      <c r="AS54" s="3237"/>
      <c r="AT54" s="3800"/>
      <c r="AU54" s="3800"/>
      <c r="AV54" s="3800"/>
      <c r="AW54" s="3800"/>
      <c r="AX54" s="3800"/>
      <c r="AY54" s="3800"/>
      <c r="AZ54" s="3800"/>
      <c r="BA54" s="3800"/>
      <c r="BB54" s="3800"/>
      <c r="BC54" s="3237"/>
      <c r="BD54" s="3800"/>
      <c r="BE54" s="3237"/>
      <c r="BF54" s="3800"/>
      <c r="BG54" s="3237"/>
      <c r="BH54" s="3237"/>
      <c r="BI54" s="3237"/>
      <c r="BJ54" s="3800"/>
      <c r="BK54" s="3800"/>
      <c r="BL54" s="3800"/>
      <c r="BM54" s="3839"/>
      <c r="BN54" s="3800"/>
      <c r="BO54" s="3800"/>
      <c r="BP54" s="3800"/>
      <c r="BQ54" s="3798"/>
      <c r="BR54" s="3798"/>
      <c r="BS54" s="3798"/>
      <c r="BT54" s="3798"/>
      <c r="BU54" s="3831"/>
    </row>
    <row r="55" spans="1:73" x14ac:dyDescent="0.25">
      <c r="A55" s="1620"/>
      <c r="B55" s="1769"/>
      <c r="C55" s="1619"/>
      <c r="D55" s="1769"/>
      <c r="G55" s="3819"/>
      <c r="H55" s="2426"/>
      <c r="I55" s="3819"/>
      <c r="J55" s="2426"/>
      <c r="K55" s="3469"/>
      <c r="L55" s="2426"/>
      <c r="M55" s="3469"/>
      <c r="N55" s="2426"/>
      <c r="O55" s="3940"/>
      <c r="P55" s="3940"/>
      <c r="Q55" s="2267"/>
      <c r="R55" s="2397"/>
      <c r="S55" s="3867"/>
      <c r="T55" s="3921"/>
      <c r="U55" s="2397"/>
      <c r="V55" s="2787"/>
      <c r="W55" s="3857"/>
      <c r="X55" s="1653">
        <f>5000000-5000000</f>
        <v>0</v>
      </c>
      <c r="Y55" s="1653"/>
      <c r="Z55" s="1653"/>
      <c r="AA55" s="1546" t="s">
        <v>2695</v>
      </c>
      <c r="AB55" s="3925"/>
      <c r="AC55" s="2426"/>
      <c r="AD55" s="3800"/>
      <c r="AE55" s="3237"/>
      <c r="AF55" s="3800"/>
      <c r="AG55" s="3007"/>
      <c r="AH55" s="3800"/>
      <c r="AI55" s="3237"/>
      <c r="AJ55" s="3800"/>
      <c r="AK55" s="3237"/>
      <c r="AL55" s="3800"/>
      <c r="AM55" s="3237"/>
      <c r="AN55" s="3800"/>
      <c r="AO55" s="3237"/>
      <c r="AP55" s="3800"/>
      <c r="AQ55" s="3237"/>
      <c r="AR55" s="3237"/>
      <c r="AS55" s="3237"/>
      <c r="AT55" s="3800"/>
      <c r="AU55" s="3800"/>
      <c r="AV55" s="3800"/>
      <c r="AW55" s="3800"/>
      <c r="AX55" s="3800"/>
      <c r="AY55" s="3800"/>
      <c r="AZ55" s="3800"/>
      <c r="BA55" s="3800"/>
      <c r="BB55" s="3800"/>
      <c r="BC55" s="3237"/>
      <c r="BD55" s="3800"/>
      <c r="BE55" s="3237"/>
      <c r="BF55" s="3800"/>
      <c r="BG55" s="3237"/>
      <c r="BH55" s="3237"/>
      <c r="BI55" s="3237"/>
      <c r="BJ55" s="3800"/>
      <c r="BK55" s="3800"/>
      <c r="BL55" s="3800"/>
      <c r="BM55" s="3839"/>
      <c r="BN55" s="3800"/>
      <c r="BO55" s="3800"/>
      <c r="BP55" s="3800"/>
      <c r="BQ55" s="3798"/>
      <c r="BR55" s="3798"/>
      <c r="BS55" s="3798"/>
      <c r="BT55" s="3798"/>
      <c r="BU55" s="3831"/>
    </row>
    <row r="56" spans="1:73" x14ac:dyDescent="0.25">
      <c r="A56" s="1620"/>
      <c r="B56" s="1769"/>
      <c r="C56" s="1619"/>
      <c r="D56" s="1769"/>
      <c r="G56" s="3819"/>
      <c r="H56" s="2426"/>
      <c r="I56" s="3819"/>
      <c r="J56" s="2426"/>
      <c r="K56" s="3469"/>
      <c r="L56" s="2426"/>
      <c r="M56" s="3469"/>
      <c r="N56" s="2426"/>
      <c r="O56" s="3940"/>
      <c r="P56" s="3940"/>
      <c r="Q56" s="2267"/>
      <c r="R56" s="2397"/>
      <c r="S56" s="3867"/>
      <c r="T56" s="3921"/>
      <c r="U56" s="2397"/>
      <c r="V56" s="2787"/>
      <c r="W56" s="3857"/>
      <c r="X56" s="1653">
        <f>5000000-5000000</f>
        <v>0</v>
      </c>
      <c r="Y56" s="1653"/>
      <c r="Z56" s="1653"/>
      <c r="AA56" s="1546" t="s">
        <v>2696</v>
      </c>
      <c r="AB56" s="3926"/>
      <c r="AC56" s="2427"/>
      <c r="AD56" s="3800"/>
      <c r="AE56" s="3237"/>
      <c r="AF56" s="3800"/>
      <c r="AG56" s="3007"/>
      <c r="AH56" s="3800"/>
      <c r="AI56" s="3237"/>
      <c r="AJ56" s="3800"/>
      <c r="AK56" s="3237"/>
      <c r="AL56" s="3800"/>
      <c r="AM56" s="3237"/>
      <c r="AN56" s="3800"/>
      <c r="AO56" s="3237"/>
      <c r="AP56" s="3800"/>
      <c r="AQ56" s="3237"/>
      <c r="AR56" s="3237"/>
      <c r="AS56" s="3237"/>
      <c r="AT56" s="3800"/>
      <c r="AU56" s="3800"/>
      <c r="AV56" s="3800"/>
      <c r="AW56" s="3800"/>
      <c r="AX56" s="3800"/>
      <c r="AY56" s="3800"/>
      <c r="AZ56" s="3800"/>
      <c r="BA56" s="3800"/>
      <c r="BB56" s="3800"/>
      <c r="BC56" s="3237"/>
      <c r="BD56" s="3800"/>
      <c r="BE56" s="3237"/>
      <c r="BF56" s="3800"/>
      <c r="BG56" s="3237"/>
      <c r="BH56" s="3237"/>
      <c r="BI56" s="3237"/>
      <c r="BJ56" s="3800"/>
      <c r="BK56" s="3800"/>
      <c r="BL56" s="3800"/>
      <c r="BM56" s="3839"/>
      <c r="BN56" s="3800"/>
      <c r="BO56" s="3800"/>
      <c r="BP56" s="3800"/>
      <c r="BQ56" s="3798"/>
      <c r="BR56" s="3798"/>
      <c r="BS56" s="3798"/>
      <c r="BT56" s="3798"/>
      <c r="BU56" s="3831"/>
    </row>
    <row r="57" spans="1:73" x14ac:dyDescent="0.25">
      <c r="A57" s="1620"/>
      <c r="B57" s="1769"/>
      <c r="C57" s="1619"/>
      <c r="D57" s="1769"/>
      <c r="G57" s="3819"/>
      <c r="H57" s="2426"/>
      <c r="I57" s="3819"/>
      <c r="J57" s="2426"/>
      <c r="K57" s="3469"/>
      <c r="L57" s="2426"/>
      <c r="M57" s="3469"/>
      <c r="N57" s="2426"/>
      <c r="O57" s="3940"/>
      <c r="P57" s="3940"/>
      <c r="Q57" s="2267"/>
      <c r="R57" s="2397"/>
      <c r="S57" s="3867"/>
      <c r="T57" s="3921"/>
      <c r="U57" s="2397"/>
      <c r="V57" s="2787"/>
      <c r="W57" s="3857"/>
      <c r="X57" s="1653">
        <v>9000000</v>
      </c>
      <c r="Y57" s="1653">
        <v>0</v>
      </c>
      <c r="Z57" s="1653">
        <v>0</v>
      </c>
      <c r="AA57" s="1546" t="s">
        <v>2697</v>
      </c>
      <c r="AB57" s="3859">
        <v>20</v>
      </c>
      <c r="AC57" s="2425" t="s">
        <v>1614</v>
      </c>
      <c r="AD57" s="3800"/>
      <c r="AE57" s="3237"/>
      <c r="AF57" s="3800"/>
      <c r="AG57" s="3007"/>
      <c r="AH57" s="3800"/>
      <c r="AI57" s="3237"/>
      <c r="AJ57" s="3800"/>
      <c r="AK57" s="3237"/>
      <c r="AL57" s="3800"/>
      <c r="AM57" s="3237"/>
      <c r="AN57" s="3800"/>
      <c r="AO57" s="3237"/>
      <c r="AP57" s="3800"/>
      <c r="AQ57" s="3237"/>
      <c r="AR57" s="3237"/>
      <c r="AS57" s="3237"/>
      <c r="AT57" s="3800"/>
      <c r="AU57" s="3800"/>
      <c r="AV57" s="3800"/>
      <c r="AW57" s="3800"/>
      <c r="AX57" s="3800"/>
      <c r="AY57" s="3800"/>
      <c r="AZ57" s="3800"/>
      <c r="BA57" s="3800"/>
      <c r="BB57" s="3800"/>
      <c r="BC57" s="3237"/>
      <c r="BD57" s="3800"/>
      <c r="BE57" s="3237"/>
      <c r="BF57" s="3800"/>
      <c r="BG57" s="3237"/>
      <c r="BH57" s="3237"/>
      <c r="BI57" s="3237"/>
      <c r="BJ57" s="3800"/>
      <c r="BK57" s="3800"/>
      <c r="BL57" s="3800"/>
      <c r="BM57" s="3839"/>
      <c r="BN57" s="3800"/>
      <c r="BO57" s="3800"/>
      <c r="BP57" s="3800"/>
      <c r="BQ57" s="3798"/>
      <c r="BR57" s="3798"/>
      <c r="BS57" s="3798"/>
      <c r="BT57" s="3798"/>
      <c r="BU57" s="3831"/>
    </row>
    <row r="58" spans="1:73" x14ac:dyDescent="0.25">
      <c r="A58" s="1620"/>
      <c r="B58" s="1769"/>
      <c r="C58" s="1619"/>
      <c r="D58" s="1769"/>
      <c r="G58" s="3819"/>
      <c r="H58" s="2426"/>
      <c r="I58" s="3819"/>
      <c r="J58" s="2426"/>
      <c r="K58" s="3469"/>
      <c r="L58" s="2426"/>
      <c r="M58" s="3469"/>
      <c r="N58" s="2426"/>
      <c r="O58" s="3940"/>
      <c r="P58" s="3940"/>
      <c r="Q58" s="2267"/>
      <c r="R58" s="2397"/>
      <c r="S58" s="3867"/>
      <c r="T58" s="3921"/>
      <c r="U58" s="2397"/>
      <c r="V58" s="2787"/>
      <c r="W58" s="3857"/>
      <c r="X58" s="1653">
        <v>2000000</v>
      </c>
      <c r="Y58" s="1653">
        <v>0</v>
      </c>
      <c r="Z58" s="1653">
        <v>0</v>
      </c>
      <c r="AA58" s="1546" t="s">
        <v>2698</v>
      </c>
      <c r="AB58" s="3816"/>
      <c r="AC58" s="2426"/>
      <c r="AD58" s="3800"/>
      <c r="AE58" s="3237"/>
      <c r="AF58" s="3800"/>
      <c r="AG58" s="3007"/>
      <c r="AH58" s="3800"/>
      <c r="AI58" s="3237"/>
      <c r="AJ58" s="3800"/>
      <c r="AK58" s="3237"/>
      <c r="AL58" s="3800"/>
      <c r="AM58" s="3237"/>
      <c r="AN58" s="3800"/>
      <c r="AO58" s="3237"/>
      <c r="AP58" s="3800"/>
      <c r="AQ58" s="3237"/>
      <c r="AR58" s="3237"/>
      <c r="AS58" s="3237"/>
      <c r="AT58" s="3800"/>
      <c r="AU58" s="3800"/>
      <c r="AV58" s="3800"/>
      <c r="AW58" s="3800"/>
      <c r="AX58" s="3800"/>
      <c r="AY58" s="3800"/>
      <c r="AZ58" s="3800"/>
      <c r="BA58" s="3800"/>
      <c r="BB58" s="3800"/>
      <c r="BC58" s="3237"/>
      <c r="BD58" s="3800"/>
      <c r="BE58" s="3237"/>
      <c r="BF58" s="3800"/>
      <c r="BG58" s="3237"/>
      <c r="BH58" s="3237"/>
      <c r="BI58" s="3237"/>
      <c r="BJ58" s="3800"/>
      <c r="BK58" s="3800"/>
      <c r="BL58" s="3800"/>
      <c r="BM58" s="3839"/>
      <c r="BN58" s="3800"/>
      <c r="BO58" s="3800"/>
      <c r="BP58" s="3800"/>
      <c r="BQ58" s="3798"/>
      <c r="BR58" s="3798"/>
      <c r="BS58" s="3798"/>
      <c r="BT58" s="3798"/>
      <c r="BU58" s="3831"/>
    </row>
    <row r="59" spans="1:73" x14ac:dyDescent="0.25">
      <c r="A59" s="1620"/>
      <c r="B59" s="1769"/>
      <c r="C59" s="1619"/>
      <c r="D59" s="1769"/>
      <c r="G59" s="3819"/>
      <c r="H59" s="2426"/>
      <c r="I59" s="3819"/>
      <c r="J59" s="2426"/>
      <c r="K59" s="3469"/>
      <c r="L59" s="2426"/>
      <c r="M59" s="3469"/>
      <c r="N59" s="2426"/>
      <c r="O59" s="3940"/>
      <c r="P59" s="3940"/>
      <c r="Q59" s="2267"/>
      <c r="R59" s="2397"/>
      <c r="S59" s="3867"/>
      <c r="T59" s="3921"/>
      <c r="U59" s="2397"/>
      <c r="V59" s="2787"/>
      <c r="W59" s="3857"/>
      <c r="X59" s="1653">
        <v>5000000</v>
      </c>
      <c r="Y59" s="1653">
        <v>1969000</v>
      </c>
      <c r="Z59" s="1653">
        <v>1969000</v>
      </c>
      <c r="AA59" s="1546" t="s">
        <v>2699</v>
      </c>
      <c r="AB59" s="3816"/>
      <c r="AC59" s="2426"/>
      <c r="AD59" s="3800"/>
      <c r="AE59" s="3237"/>
      <c r="AF59" s="3800"/>
      <c r="AG59" s="3007"/>
      <c r="AH59" s="3800"/>
      <c r="AI59" s="3237"/>
      <c r="AJ59" s="3800"/>
      <c r="AK59" s="3237"/>
      <c r="AL59" s="3800"/>
      <c r="AM59" s="3237"/>
      <c r="AN59" s="3800"/>
      <c r="AO59" s="3237"/>
      <c r="AP59" s="3800"/>
      <c r="AQ59" s="3237"/>
      <c r="AR59" s="3237"/>
      <c r="AS59" s="3237"/>
      <c r="AT59" s="3800"/>
      <c r="AU59" s="3800"/>
      <c r="AV59" s="3800"/>
      <c r="AW59" s="3800"/>
      <c r="AX59" s="3800"/>
      <c r="AY59" s="3800"/>
      <c r="AZ59" s="3800"/>
      <c r="BA59" s="3800"/>
      <c r="BB59" s="3800"/>
      <c r="BC59" s="3237"/>
      <c r="BD59" s="3800"/>
      <c r="BE59" s="3237"/>
      <c r="BF59" s="3800"/>
      <c r="BG59" s="3237"/>
      <c r="BH59" s="3237"/>
      <c r="BI59" s="3237"/>
      <c r="BJ59" s="3800"/>
      <c r="BK59" s="3800"/>
      <c r="BL59" s="3800"/>
      <c r="BM59" s="3839"/>
      <c r="BN59" s="3800"/>
      <c r="BO59" s="3800"/>
      <c r="BP59" s="3800"/>
      <c r="BQ59" s="3798"/>
      <c r="BR59" s="3798"/>
      <c r="BS59" s="3798"/>
      <c r="BT59" s="3798"/>
      <c r="BU59" s="3831"/>
    </row>
    <row r="60" spans="1:73" x14ac:dyDescent="0.25">
      <c r="A60" s="1620"/>
      <c r="B60" s="1769"/>
      <c r="C60" s="1619"/>
      <c r="D60" s="1769"/>
      <c r="G60" s="3814"/>
      <c r="H60" s="2427"/>
      <c r="I60" s="3814"/>
      <c r="J60" s="2427"/>
      <c r="K60" s="3470"/>
      <c r="L60" s="2427"/>
      <c r="M60" s="3470"/>
      <c r="N60" s="2427"/>
      <c r="O60" s="3941"/>
      <c r="P60" s="3941"/>
      <c r="Q60" s="2267"/>
      <c r="R60" s="2397"/>
      <c r="S60" s="3930"/>
      <c r="T60" s="3921"/>
      <c r="U60" s="2397"/>
      <c r="V60" s="2787"/>
      <c r="W60" s="3864"/>
      <c r="X60" s="1653">
        <v>2000000</v>
      </c>
      <c r="Y60" s="1653">
        <v>0</v>
      </c>
      <c r="Z60" s="1653">
        <v>0</v>
      </c>
      <c r="AA60" s="1546" t="s">
        <v>2700</v>
      </c>
      <c r="AB60" s="3860"/>
      <c r="AC60" s="2427"/>
      <c r="AD60" s="3800"/>
      <c r="AE60" s="3237"/>
      <c r="AF60" s="3800"/>
      <c r="AG60" s="3007"/>
      <c r="AH60" s="3800"/>
      <c r="AI60" s="3237"/>
      <c r="AJ60" s="3800"/>
      <c r="AK60" s="3237"/>
      <c r="AL60" s="3800"/>
      <c r="AM60" s="3237"/>
      <c r="AN60" s="3800"/>
      <c r="AO60" s="3237"/>
      <c r="AP60" s="3800"/>
      <c r="AQ60" s="3237"/>
      <c r="AR60" s="3237"/>
      <c r="AS60" s="3237"/>
      <c r="AT60" s="3800"/>
      <c r="AU60" s="3800"/>
      <c r="AV60" s="3800"/>
      <c r="AW60" s="3800"/>
      <c r="AX60" s="3800"/>
      <c r="AY60" s="3800"/>
      <c r="AZ60" s="3800"/>
      <c r="BA60" s="3800"/>
      <c r="BB60" s="3800"/>
      <c r="BC60" s="3237"/>
      <c r="BD60" s="3800"/>
      <c r="BE60" s="3237"/>
      <c r="BF60" s="3800"/>
      <c r="BG60" s="3237"/>
      <c r="BH60" s="3237"/>
      <c r="BI60" s="3237"/>
      <c r="BJ60" s="3800"/>
      <c r="BK60" s="3800"/>
      <c r="BL60" s="3800"/>
      <c r="BM60" s="3839"/>
      <c r="BN60" s="3800"/>
      <c r="BO60" s="3800"/>
      <c r="BP60" s="3800"/>
      <c r="BQ60" s="3798"/>
      <c r="BR60" s="3798"/>
      <c r="BS60" s="3798"/>
      <c r="BT60" s="3798"/>
      <c r="BU60" s="3831"/>
    </row>
    <row r="61" spans="1:73" ht="35.25" customHeight="1" x14ac:dyDescent="0.25">
      <c r="A61" s="1620"/>
      <c r="B61" s="1769"/>
      <c r="C61" s="1619"/>
      <c r="D61" s="1769"/>
      <c r="G61" s="3895">
        <v>2201009</v>
      </c>
      <c r="H61" s="3896" t="s">
        <v>2701</v>
      </c>
      <c r="I61" s="3895">
        <v>2201074</v>
      </c>
      <c r="J61" s="3896" t="s">
        <v>2701</v>
      </c>
      <c r="K61" s="3897">
        <v>220100900</v>
      </c>
      <c r="L61" s="3896" t="s">
        <v>2702</v>
      </c>
      <c r="M61" s="3897">
        <v>220107400</v>
      </c>
      <c r="N61" s="3896" t="s">
        <v>2703</v>
      </c>
      <c r="O61" s="3906">
        <v>606</v>
      </c>
      <c r="P61" s="3906">
        <v>0</v>
      </c>
      <c r="Q61" s="2267"/>
      <c r="R61" s="2397"/>
      <c r="S61" s="3932">
        <f>SUM(X61:X64)/T44</f>
        <v>0.12388990497869019</v>
      </c>
      <c r="T61" s="3921"/>
      <c r="U61" s="2397"/>
      <c r="V61" s="2787"/>
      <c r="W61" s="3905" t="s">
        <v>2704</v>
      </c>
      <c r="X61" s="1653">
        <v>1328898.3899999999</v>
      </c>
      <c r="Y61" s="1653">
        <v>0</v>
      </c>
      <c r="Z61" s="1653">
        <v>0</v>
      </c>
      <c r="AA61" s="1546" t="s">
        <v>2705</v>
      </c>
      <c r="AB61" s="3927">
        <v>20</v>
      </c>
      <c r="AC61" s="3916" t="s">
        <v>1614</v>
      </c>
      <c r="AD61" s="3800"/>
      <c r="AE61" s="3237"/>
      <c r="AF61" s="3800"/>
      <c r="AG61" s="3007"/>
      <c r="AH61" s="3800"/>
      <c r="AI61" s="3237"/>
      <c r="AJ61" s="3800"/>
      <c r="AK61" s="3237"/>
      <c r="AL61" s="3800"/>
      <c r="AM61" s="3237"/>
      <c r="AN61" s="3800"/>
      <c r="AO61" s="3237"/>
      <c r="AP61" s="3800"/>
      <c r="AQ61" s="3237"/>
      <c r="AR61" s="3237"/>
      <c r="AS61" s="3237"/>
      <c r="AT61" s="3800"/>
      <c r="AU61" s="3800"/>
      <c r="AV61" s="3800"/>
      <c r="AW61" s="3800"/>
      <c r="AX61" s="3800"/>
      <c r="AY61" s="3800"/>
      <c r="AZ61" s="3800"/>
      <c r="BA61" s="3800"/>
      <c r="BB61" s="3800"/>
      <c r="BC61" s="3237"/>
      <c r="BD61" s="3800"/>
      <c r="BE61" s="3237"/>
      <c r="BF61" s="3800"/>
      <c r="BG61" s="3237"/>
      <c r="BH61" s="3237"/>
      <c r="BI61" s="3237"/>
      <c r="BJ61" s="3800"/>
      <c r="BK61" s="3800"/>
      <c r="BL61" s="3800"/>
      <c r="BM61" s="3839"/>
      <c r="BN61" s="3800"/>
      <c r="BO61" s="3800"/>
      <c r="BP61" s="3800"/>
      <c r="BQ61" s="3798"/>
      <c r="BR61" s="3798"/>
      <c r="BS61" s="3798"/>
      <c r="BT61" s="3798"/>
      <c r="BU61" s="3831"/>
    </row>
    <row r="62" spans="1:73" ht="47.25" customHeight="1" x14ac:dyDescent="0.25">
      <c r="A62" s="1620"/>
      <c r="B62" s="1769"/>
      <c r="C62" s="1619"/>
      <c r="D62" s="1769"/>
      <c r="G62" s="3834"/>
      <c r="H62" s="3128"/>
      <c r="I62" s="3834"/>
      <c r="J62" s="3128"/>
      <c r="K62" s="3875"/>
      <c r="L62" s="3128"/>
      <c r="M62" s="3875"/>
      <c r="N62" s="3128"/>
      <c r="O62" s="3891"/>
      <c r="P62" s="3891"/>
      <c r="Q62" s="2267"/>
      <c r="R62" s="2397"/>
      <c r="S62" s="3920"/>
      <c r="T62" s="3921"/>
      <c r="U62" s="2397"/>
      <c r="V62" s="2787"/>
      <c r="W62" s="3857"/>
      <c r="X62" s="1653">
        <v>8252158.0700000003</v>
      </c>
      <c r="Y62" s="1653">
        <v>0</v>
      </c>
      <c r="Z62" s="1653">
        <v>0</v>
      </c>
      <c r="AA62" s="1546" t="s">
        <v>2706</v>
      </c>
      <c r="AB62" s="3928"/>
      <c r="AC62" s="3917"/>
      <c r="AD62" s="3800"/>
      <c r="AE62" s="3237"/>
      <c r="AF62" s="3800"/>
      <c r="AG62" s="3007"/>
      <c r="AH62" s="3800"/>
      <c r="AI62" s="3237"/>
      <c r="AJ62" s="3800"/>
      <c r="AK62" s="3237"/>
      <c r="AL62" s="3800"/>
      <c r="AM62" s="3237"/>
      <c r="AN62" s="3800"/>
      <c r="AO62" s="3237"/>
      <c r="AP62" s="3800"/>
      <c r="AQ62" s="3237"/>
      <c r="AR62" s="3237"/>
      <c r="AS62" s="3237"/>
      <c r="AT62" s="3800"/>
      <c r="AU62" s="3800"/>
      <c r="AV62" s="3800"/>
      <c r="AW62" s="3800"/>
      <c r="AX62" s="3800"/>
      <c r="AY62" s="3800"/>
      <c r="AZ62" s="3800"/>
      <c r="BA62" s="3800"/>
      <c r="BB62" s="3800"/>
      <c r="BC62" s="3237"/>
      <c r="BD62" s="3800"/>
      <c r="BE62" s="3237"/>
      <c r="BF62" s="3800"/>
      <c r="BG62" s="3237"/>
      <c r="BH62" s="3237"/>
      <c r="BI62" s="3237"/>
      <c r="BJ62" s="3800"/>
      <c r="BK62" s="3800"/>
      <c r="BL62" s="3800"/>
      <c r="BM62" s="3839"/>
      <c r="BN62" s="3800"/>
      <c r="BO62" s="3800"/>
      <c r="BP62" s="3800"/>
      <c r="BQ62" s="3798"/>
      <c r="BR62" s="3798"/>
      <c r="BS62" s="3798"/>
      <c r="BT62" s="3798"/>
      <c r="BU62" s="3831"/>
    </row>
    <row r="63" spans="1:73" ht="47.25" customHeight="1" x14ac:dyDescent="0.25">
      <c r="A63" s="1620"/>
      <c r="B63" s="1769"/>
      <c r="C63" s="1619"/>
      <c r="D63" s="1769"/>
      <c r="G63" s="3834"/>
      <c r="H63" s="3128"/>
      <c r="I63" s="3834"/>
      <c r="J63" s="3128"/>
      <c r="K63" s="3875"/>
      <c r="L63" s="3128"/>
      <c r="M63" s="3875"/>
      <c r="N63" s="3128"/>
      <c r="O63" s="3891"/>
      <c r="P63" s="3891"/>
      <c r="Q63" s="2267"/>
      <c r="R63" s="2397"/>
      <c r="S63" s="3920"/>
      <c r="T63" s="3921"/>
      <c r="U63" s="2397"/>
      <c r="V63" s="2787"/>
      <c r="W63" s="3857"/>
      <c r="X63" s="1653">
        <v>7501385.9199999999</v>
      </c>
      <c r="Y63" s="1653">
        <v>0</v>
      </c>
      <c r="Z63" s="1653">
        <v>0</v>
      </c>
      <c r="AA63" s="1546" t="s">
        <v>2707</v>
      </c>
      <c r="AB63" s="3928"/>
      <c r="AC63" s="3917"/>
      <c r="AD63" s="3800"/>
      <c r="AE63" s="3237"/>
      <c r="AF63" s="3800"/>
      <c r="AG63" s="3007"/>
      <c r="AH63" s="3800"/>
      <c r="AI63" s="3237"/>
      <c r="AJ63" s="3800"/>
      <c r="AK63" s="3237"/>
      <c r="AL63" s="3800"/>
      <c r="AM63" s="3237"/>
      <c r="AN63" s="3800"/>
      <c r="AO63" s="3237"/>
      <c r="AP63" s="3800"/>
      <c r="AQ63" s="3237"/>
      <c r="AR63" s="3237"/>
      <c r="AS63" s="3237"/>
      <c r="AT63" s="3800"/>
      <c r="AU63" s="3800"/>
      <c r="AV63" s="3800"/>
      <c r="AW63" s="3800"/>
      <c r="AX63" s="3800"/>
      <c r="AY63" s="3800"/>
      <c r="AZ63" s="3800"/>
      <c r="BA63" s="3800"/>
      <c r="BB63" s="3800"/>
      <c r="BC63" s="3237"/>
      <c r="BD63" s="3800"/>
      <c r="BE63" s="3237"/>
      <c r="BF63" s="3800"/>
      <c r="BG63" s="3237"/>
      <c r="BH63" s="3237"/>
      <c r="BI63" s="3237"/>
      <c r="BJ63" s="3800"/>
      <c r="BK63" s="3800"/>
      <c r="BL63" s="3800"/>
      <c r="BM63" s="3839"/>
      <c r="BN63" s="3800"/>
      <c r="BO63" s="3800"/>
      <c r="BP63" s="3800"/>
      <c r="BQ63" s="3798"/>
      <c r="BR63" s="3798"/>
      <c r="BS63" s="3798"/>
      <c r="BT63" s="3798"/>
      <c r="BU63" s="3831"/>
    </row>
    <row r="64" spans="1:73" ht="84" customHeight="1" x14ac:dyDescent="0.25">
      <c r="A64" s="1620"/>
      <c r="B64" s="1769"/>
      <c r="C64" s="1619"/>
      <c r="D64" s="1769"/>
      <c r="G64" s="3868"/>
      <c r="H64" s="3129"/>
      <c r="I64" s="3868"/>
      <c r="J64" s="3129"/>
      <c r="K64" s="3876"/>
      <c r="L64" s="3129"/>
      <c r="M64" s="3876"/>
      <c r="N64" s="3129"/>
      <c r="O64" s="3892"/>
      <c r="P64" s="3892"/>
      <c r="Q64" s="2267"/>
      <c r="R64" s="2397"/>
      <c r="S64" s="3933"/>
      <c r="T64" s="3921"/>
      <c r="U64" s="2397"/>
      <c r="V64" s="2787"/>
      <c r="W64" s="3858"/>
      <c r="X64" s="1653">
        <v>2917557.61</v>
      </c>
      <c r="Y64" s="1653">
        <v>0</v>
      </c>
      <c r="Z64" s="1653">
        <v>0</v>
      </c>
      <c r="AA64" s="1546" t="s">
        <v>2708</v>
      </c>
      <c r="AB64" s="3929"/>
      <c r="AC64" s="3918"/>
      <c r="AD64" s="3800"/>
      <c r="AE64" s="3237"/>
      <c r="AF64" s="3800"/>
      <c r="AG64" s="3007"/>
      <c r="AH64" s="3800"/>
      <c r="AI64" s="3237"/>
      <c r="AJ64" s="3800"/>
      <c r="AK64" s="3237"/>
      <c r="AL64" s="3800"/>
      <c r="AM64" s="3237"/>
      <c r="AN64" s="3800"/>
      <c r="AO64" s="3237"/>
      <c r="AP64" s="3800"/>
      <c r="AQ64" s="3237"/>
      <c r="AR64" s="3237"/>
      <c r="AS64" s="3237"/>
      <c r="AT64" s="3800"/>
      <c r="AU64" s="3800"/>
      <c r="AV64" s="3800"/>
      <c r="AW64" s="3800"/>
      <c r="AX64" s="3800"/>
      <c r="AY64" s="3800"/>
      <c r="AZ64" s="3800"/>
      <c r="BA64" s="3800"/>
      <c r="BB64" s="3800"/>
      <c r="BC64" s="3237"/>
      <c r="BD64" s="3800"/>
      <c r="BE64" s="3237"/>
      <c r="BF64" s="3800"/>
      <c r="BG64" s="3237"/>
      <c r="BH64" s="3237"/>
      <c r="BI64" s="3237"/>
      <c r="BJ64" s="3800"/>
      <c r="BK64" s="3800"/>
      <c r="BL64" s="3800"/>
      <c r="BM64" s="3839"/>
      <c r="BN64" s="3800"/>
      <c r="BO64" s="3800"/>
      <c r="BP64" s="3800"/>
      <c r="BQ64" s="3798"/>
      <c r="BR64" s="3798"/>
      <c r="BS64" s="3798"/>
      <c r="BT64" s="3798"/>
      <c r="BU64" s="3831"/>
    </row>
    <row r="65" spans="1:73" ht="117" customHeight="1" x14ac:dyDescent="0.25">
      <c r="A65" s="1620"/>
      <c r="B65" s="1769"/>
      <c r="C65" s="1619"/>
      <c r="D65" s="1769"/>
      <c r="G65" s="1538">
        <v>2201010</v>
      </c>
      <c r="H65" s="1555" t="s">
        <v>2709</v>
      </c>
      <c r="I65" s="1770">
        <v>2201074</v>
      </c>
      <c r="J65" s="1555" t="s">
        <v>2710</v>
      </c>
      <c r="K65" s="1538">
        <v>220101000</v>
      </c>
      <c r="L65" s="1555" t="s">
        <v>2703</v>
      </c>
      <c r="M65" s="1552">
        <v>220107400</v>
      </c>
      <c r="N65" s="1555" t="s">
        <v>2703</v>
      </c>
      <c r="O65" s="1776">
        <v>94</v>
      </c>
      <c r="P65" s="1776">
        <v>0</v>
      </c>
      <c r="Q65" s="2267"/>
      <c r="R65" s="2397"/>
      <c r="S65" s="1778">
        <f>X65/T44</f>
        <v>0.12388990504063513</v>
      </c>
      <c r="T65" s="3921"/>
      <c r="U65" s="2397"/>
      <c r="V65" s="2504"/>
      <c r="W65" s="1780" t="s">
        <v>2711</v>
      </c>
      <c r="X65" s="1367">
        <v>20000000</v>
      </c>
      <c r="Y65" s="1367">
        <v>0</v>
      </c>
      <c r="Z65" s="1367">
        <v>0</v>
      </c>
      <c r="AA65" s="1546" t="s">
        <v>2712</v>
      </c>
      <c r="AB65" s="1781">
        <v>20</v>
      </c>
      <c r="AC65" s="1542" t="s">
        <v>1614</v>
      </c>
      <c r="AD65" s="3800"/>
      <c r="AE65" s="3237"/>
      <c r="AF65" s="3800"/>
      <c r="AG65" s="3007"/>
      <c r="AH65" s="3800"/>
      <c r="AI65" s="3237"/>
      <c r="AJ65" s="3800"/>
      <c r="AK65" s="3237"/>
      <c r="AL65" s="3800"/>
      <c r="AM65" s="3237"/>
      <c r="AN65" s="3800"/>
      <c r="AO65" s="3237"/>
      <c r="AP65" s="3800"/>
      <c r="AQ65" s="3237"/>
      <c r="AR65" s="3237"/>
      <c r="AS65" s="3237"/>
      <c r="AT65" s="3800"/>
      <c r="AU65" s="3800"/>
      <c r="AV65" s="3800"/>
      <c r="AW65" s="3800"/>
      <c r="AX65" s="3800"/>
      <c r="AY65" s="3800"/>
      <c r="AZ65" s="3800"/>
      <c r="BA65" s="3800"/>
      <c r="BB65" s="3800"/>
      <c r="BC65" s="3237"/>
      <c r="BD65" s="3800"/>
      <c r="BE65" s="3237"/>
      <c r="BF65" s="3800"/>
      <c r="BG65" s="3237"/>
      <c r="BH65" s="3237"/>
      <c r="BI65" s="3237"/>
      <c r="BJ65" s="3800"/>
      <c r="BK65" s="3800"/>
      <c r="BL65" s="3800"/>
      <c r="BM65" s="3839"/>
      <c r="BN65" s="3800"/>
      <c r="BO65" s="3800"/>
      <c r="BP65" s="3800"/>
      <c r="BQ65" s="3798"/>
      <c r="BR65" s="3798"/>
      <c r="BS65" s="3798"/>
      <c r="BT65" s="3798"/>
      <c r="BU65" s="3831"/>
    </row>
    <row r="66" spans="1:73" ht="86.25" customHeight="1" x14ac:dyDescent="0.25">
      <c r="A66" s="1620"/>
      <c r="B66" s="1769"/>
      <c r="C66" s="1619"/>
      <c r="D66" s="1769"/>
      <c r="G66" s="1774">
        <v>2201035</v>
      </c>
      <c r="H66" s="1555" t="s">
        <v>2713</v>
      </c>
      <c r="I66" s="1774">
        <v>2201035</v>
      </c>
      <c r="J66" s="1555" t="s">
        <v>2713</v>
      </c>
      <c r="K66" s="1552">
        <v>220103500</v>
      </c>
      <c r="L66" s="1555" t="s">
        <v>2714</v>
      </c>
      <c r="M66" s="1552">
        <v>220103500</v>
      </c>
      <c r="N66" s="1555" t="s">
        <v>2714</v>
      </c>
      <c r="O66" s="1776">
        <v>8</v>
      </c>
      <c r="P66" s="1776">
        <v>11</v>
      </c>
      <c r="Q66" s="2267"/>
      <c r="R66" s="2397"/>
      <c r="S66" s="1778">
        <f>X66/T44</f>
        <v>6.1944952520317564E-2</v>
      </c>
      <c r="T66" s="3921"/>
      <c r="U66" s="2397"/>
      <c r="V66" s="2299" t="s">
        <v>2715</v>
      </c>
      <c r="W66" s="1782" t="s">
        <v>2716</v>
      </c>
      <c r="X66" s="1367">
        <v>10000000</v>
      </c>
      <c r="Y66" s="1367">
        <v>10000000</v>
      </c>
      <c r="Z66" s="1367">
        <v>5770000</v>
      </c>
      <c r="AA66" s="1546" t="s">
        <v>2717</v>
      </c>
      <c r="AB66" s="1781">
        <v>20</v>
      </c>
      <c r="AC66" s="1542" t="s">
        <v>1614</v>
      </c>
      <c r="AD66" s="3800"/>
      <c r="AE66" s="3237"/>
      <c r="AF66" s="3800"/>
      <c r="AG66" s="3007"/>
      <c r="AH66" s="3800"/>
      <c r="AI66" s="3237"/>
      <c r="AJ66" s="3800"/>
      <c r="AK66" s="3237"/>
      <c r="AL66" s="3800"/>
      <c r="AM66" s="3237"/>
      <c r="AN66" s="3800"/>
      <c r="AO66" s="3237"/>
      <c r="AP66" s="3800"/>
      <c r="AQ66" s="3237"/>
      <c r="AR66" s="3237"/>
      <c r="AS66" s="3237"/>
      <c r="AT66" s="3800"/>
      <c r="AU66" s="3800"/>
      <c r="AV66" s="3800"/>
      <c r="AW66" s="3800"/>
      <c r="AX66" s="3800"/>
      <c r="AY66" s="3800"/>
      <c r="AZ66" s="3800"/>
      <c r="BA66" s="3800"/>
      <c r="BB66" s="3800"/>
      <c r="BC66" s="3237"/>
      <c r="BD66" s="3800"/>
      <c r="BE66" s="3237"/>
      <c r="BF66" s="3800"/>
      <c r="BG66" s="3237"/>
      <c r="BH66" s="3237"/>
      <c r="BI66" s="3237"/>
      <c r="BJ66" s="3800"/>
      <c r="BK66" s="3800"/>
      <c r="BL66" s="3800"/>
      <c r="BM66" s="3839"/>
      <c r="BN66" s="3800"/>
      <c r="BO66" s="3800"/>
      <c r="BP66" s="3800"/>
      <c r="BQ66" s="3798"/>
      <c r="BR66" s="3798"/>
      <c r="BS66" s="3798"/>
      <c r="BT66" s="3798"/>
      <c r="BU66" s="3831"/>
    </row>
    <row r="67" spans="1:73" ht="26.25" customHeight="1" x14ac:dyDescent="0.25">
      <c r="A67" s="1620"/>
      <c r="B67" s="1769"/>
      <c r="C67" s="1619"/>
      <c r="D67" s="1769"/>
      <c r="G67" s="3895">
        <v>2201046</v>
      </c>
      <c r="H67" s="3896" t="s">
        <v>2718</v>
      </c>
      <c r="I67" s="3895">
        <v>2201046</v>
      </c>
      <c r="J67" s="3896" t="s">
        <v>2718</v>
      </c>
      <c r="K67" s="3897">
        <v>220104602</v>
      </c>
      <c r="L67" s="3896" t="s">
        <v>2719</v>
      </c>
      <c r="M67" s="3897">
        <v>220104602</v>
      </c>
      <c r="N67" s="3896" t="s">
        <v>2719</v>
      </c>
      <c r="O67" s="3906">
        <v>13</v>
      </c>
      <c r="P67" s="3906">
        <v>0</v>
      </c>
      <c r="Q67" s="2267"/>
      <c r="R67" s="2397"/>
      <c r="S67" s="3932">
        <f>SUM(X67:X70)/T44</f>
        <v>6.194495258226252E-2</v>
      </c>
      <c r="T67" s="3921"/>
      <c r="U67" s="2397"/>
      <c r="V67" s="2787"/>
      <c r="W67" s="3905" t="s">
        <v>2720</v>
      </c>
      <c r="X67" s="1653">
        <v>664449.19999999995</v>
      </c>
      <c r="Y67" s="1653">
        <v>0</v>
      </c>
      <c r="Z67" s="1653">
        <v>0</v>
      </c>
      <c r="AA67" s="1546" t="s">
        <v>2721</v>
      </c>
      <c r="AB67" s="3859">
        <v>20</v>
      </c>
      <c r="AC67" s="2425" t="s">
        <v>1614</v>
      </c>
      <c r="AD67" s="3800"/>
      <c r="AE67" s="3237"/>
      <c r="AF67" s="3800"/>
      <c r="AG67" s="3007"/>
      <c r="AH67" s="3800"/>
      <c r="AI67" s="3237"/>
      <c r="AJ67" s="3800"/>
      <c r="AK67" s="3237"/>
      <c r="AL67" s="3800"/>
      <c r="AM67" s="3237"/>
      <c r="AN67" s="3800"/>
      <c r="AO67" s="3237"/>
      <c r="AP67" s="3800"/>
      <c r="AQ67" s="3237"/>
      <c r="AR67" s="3237"/>
      <c r="AS67" s="3237"/>
      <c r="AT67" s="3800"/>
      <c r="AU67" s="3800"/>
      <c r="AV67" s="3800"/>
      <c r="AW67" s="3800"/>
      <c r="AX67" s="3800"/>
      <c r="AY67" s="3800"/>
      <c r="AZ67" s="3800"/>
      <c r="BA67" s="3800"/>
      <c r="BB67" s="3800"/>
      <c r="BC67" s="3237"/>
      <c r="BD67" s="3800"/>
      <c r="BE67" s="3237"/>
      <c r="BF67" s="3800"/>
      <c r="BG67" s="3237"/>
      <c r="BH67" s="3237"/>
      <c r="BI67" s="3237"/>
      <c r="BJ67" s="3800"/>
      <c r="BK67" s="3800"/>
      <c r="BL67" s="3800"/>
      <c r="BM67" s="3839"/>
      <c r="BN67" s="3800"/>
      <c r="BO67" s="3800"/>
      <c r="BP67" s="3800"/>
      <c r="BQ67" s="3798"/>
      <c r="BR67" s="3798"/>
      <c r="BS67" s="3798"/>
      <c r="BT67" s="3798"/>
      <c r="BU67" s="3831"/>
    </row>
    <row r="68" spans="1:73" ht="39.75" customHeight="1" x14ac:dyDescent="0.25">
      <c r="A68" s="1620"/>
      <c r="B68" s="1769"/>
      <c r="C68" s="1619"/>
      <c r="D68" s="1769"/>
      <c r="G68" s="3834"/>
      <c r="H68" s="3128"/>
      <c r="I68" s="3834"/>
      <c r="J68" s="3128"/>
      <c r="K68" s="3875"/>
      <c r="L68" s="3128"/>
      <c r="M68" s="3875"/>
      <c r="N68" s="3128"/>
      <c r="O68" s="3891"/>
      <c r="P68" s="3891"/>
      <c r="Q68" s="2267"/>
      <c r="R68" s="2397"/>
      <c r="S68" s="3920"/>
      <c r="T68" s="3921"/>
      <c r="U68" s="2397"/>
      <c r="V68" s="2787"/>
      <c r="W68" s="3857"/>
      <c r="X68" s="1653">
        <v>4126079.04</v>
      </c>
      <c r="Y68" s="1653">
        <v>0</v>
      </c>
      <c r="Z68" s="1653">
        <v>0</v>
      </c>
      <c r="AA68" s="1546" t="s">
        <v>2722</v>
      </c>
      <c r="AB68" s="3816"/>
      <c r="AC68" s="2426"/>
      <c r="AD68" s="3800"/>
      <c r="AE68" s="3237"/>
      <c r="AF68" s="3800"/>
      <c r="AG68" s="3007"/>
      <c r="AH68" s="3800"/>
      <c r="AI68" s="3237"/>
      <c r="AJ68" s="3800"/>
      <c r="AK68" s="3237"/>
      <c r="AL68" s="3800"/>
      <c r="AM68" s="3237"/>
      <c r="AN68" s="3800"/>
      <c r="AO68" s="3237"/>
      <c r="AP68" s="3800"/>
      <c r="AQ68" s="3237"/>
      <c r="AR68" s="3237"/>
      <c r="AS68" s="3237"/>
      <c r="AT68" s="3800"/>
      <c r="AU68" s="3800"/>
      <c r="AV68" s="3800"/>
      <c r="AW68" s="3800"/>
      <c r="AX68" s="3800"/>
      <c r="AY68" s="3800"/>
      <c r="AZ68" s="3800"/>
      <c r="BA68" s="3800"/>
      <c r="BB68" s="3800"/>
      <c r="BC68" s="3237"/>
      <c r="BD68" s="3800"/>
      <c r="BE68" s="3237"/>
      <c r="BF68" s="3800"/>
      <c r="BG68" s="3237"/>
      <c r="BH68" s="3237"/>
      <c r="BI68" s="3237"/>
      <c r="BJ68" s="3800"/>
      <c r="BK68" s="3800"/>
      <c r="BL68" s="3800"/>
      <c r="BM68" s="3839"/>
      <c r="BN68" s="3800"/>
      <c r="BO68" s="3800"/>
      <c r="BP68" s="3800"/>
      <c r="BQ68" s="3798"/>
      <c r="BR68" s="3798"/>
      <c r="BS68" s="3798"/>
      <c r="BT68" s="3798"/>
      <c r="BU68" s="3831"/>
    </row>
    <row r="69" spans="1:73" ht="23.25" customHeight="1" x14ac:dyDescent="0.25">
      <c r="A69" s="1620"/>
      <c r="B69" s="1769"/>
      <c r="C69" s="1619"/>
      <c r="D69" s="1769"/>
      <c r="G69" s="3834"/>
      <c r="H69" s="3128"/>
      <c r="I69" s="3834"/>
      <c r="J69" s="3128"/>
      <c r="K69" s="3875"/>
      <c r="L69" s="3128"/>
      <c r="M69" s="3875"/>
      <c r="N69" s="3128"/>
      <c r="O69" s="3891"/>
      <c r="P69" s="3891"/>
      <c r="Q69" s="2267"/>
      <c r="R69" s="2397"/>
      <c r="S69" s="3920"/>
      <c r="T69" s="3921"/>
      <c r="U69" s="2397"/>
      <c r="V69" s="2787"/>
      <c r="W69" s="3857"/>
      <c r="X69" s="1653">
        <v>3750692.96</v>
      </c>
      <c r="Y69" s="1653">
        <v>0</v>
      </c>
      <c r="Z69" s="1653">
        <v>0</v>
      </c>
      <c r="AA69" s="1546" t="s">
        <v>2723</v>
      </c>
      <c r="AB69" s="3816"/>
      <c r="AC69" s="2426"/>
      <c r="AD69" s="3800"/>
      <c r="AE69" s="3237"/>
      <c r="AF69" s="3800"/>
      <c r="AG69" s="3007"/>
      <c r="AH69" s="3800"/>
      <c r="AI69" s="3237"/>
      <c r="AJ69" s="3800"/>
      <c r="AK69" s="3237"/>
      <c r="AL69" s="3800"/>
      <c r="AM69" s="3237"/>
      <c r="AN69" s="3800"/>
      <c r="AO69" s="3237"/>
      <c r="AP69" s="3800"/>
      <c r="AQ69" s="3237"/>
      <c r="AR69" s="3237"/>
      <c r="AS69" s="3237"/>
      <c r="AT69" s="3800"/>
      <c r="AU69" s="3800"/>
      <c r="AV69" s="3800"/>
      <c r="AW69" s="3800"/>
      <c r="AX69" s="3800"/>
      <c r="AY69" s="3800"/>
      <c r="AZ69" s="3800"/>
      <c r="BA69" s="3800"/>
      <c r="BB69" s="3800"/>
      <c r="BC69" s="3237"/>
      <c r="BD69" s="3800"/>
      <c r="BE69" s="3237"/>
      <c r="BF69" s="3800"/>
      <c r="BG69" s="3237"/>
      <c r="BH69" s="3237"/>
      <c r="BI69" s="3237"/>
      <c r="BJ69" s="3800"/>
      <c r="BK69" s="3800"/>
      <c r="BL69" s="3800"/>
      <c r="BM69" s="3839"/>
      <c r="BN69" s="3800"/>
      <c r="BO69" s="3800"/>
      <c r="BP69" s="3800"/>
      <c r="BQ69" s="3798"/>
      <c r="BR69" s="3798"/>
      <c r="BS69" s="3798"/>
      <c r="BT69" s="3798"/>
      <c r="BU69" s="3831"/>
    </row>
    <row r="70" spans="1:73" ht="25.5" customHeight="1" x14ac:dyDescent="0.25">
      <c r="A70" s="1620"/>
      <c r="B70" s="1769"/>
      <c r="C70" s="1619"/>
      <c r="D70" s="1769"/>
      <c r="G70" s="3868"/>
      <c r="H70" s="3129"/>
      <c r="I70" s="3868"/>
      <c r="J70" s="3129"/>
      <c r="K70" s="3876"/>
      <c r="L70" s="3129"/>
      <c r="M70" s="3876"/>
      <c r="N70" s="3129"/>
      <c r="O70" s="3892"/>
      <c r="P70" s="3892"/>
      <c r="Q70" s="2267"/>
      <c r="R70" s="2397"/>
      <c r="S70" s="3933"/>
      <c r="T70" s="3921"/>
      <c r="U70" s="2397"/>
      <c r="V70" s="2504"/>
      <c r="W70" s="3857"/>
      <c r="X70" s="1653">
        <v>1458778.81</v>
      </c>
      <c r="Y70" s="1653">
        <v>0</v>
      </c>
      <c r="Z70" s="1653">
        <v>0</v>
      </c>
      <c r="AA70" s="1546" t="s">
        <v>2724</v>
      </c>
      <c r="AB70" s="3860"/>
      <c r="AC70" s="2427"/>
      <c r="AD70" s="3800"/>
      <c r="AE70" s="3237"/>
      <c r="AF70" s="3800"/>
      <c r="AG70" s="3007"/>
      <c r="AH70" s="3800"/>
      <c r="AI70" s="3237"/>
      <c r="AJ70" s="3800"/>
      <c r="AK70" s="3237"/>
      <c r="AL70" s="3800"/>
      <c r="AM70" s="3237"/>
      <c r="AN70" s="3800"/>
      <c r="AO70" s="3237"/>
      <c r="AP70" s="3800"/>
      <c r="AQ70" s="3237"/>
      <c r="AR70" s="3237"/>
      <c r="AS70" s="3237"/>
      <c r="AT70" s="3800"/>
      <c r="AU70" s="3800"/>
      <c r="AV70" s="3800"/>
      <c r="AW70" s="3800"/>
      <c r="AX70" s="3800"/>
      <c r="AY70" s="3800"/>
      <c r="AZ70" s="3800"/>
      <c r="BA70" s="3800"/>
      <c r="BB70" s="3800"/>
      <c r="BC70" s="3237"/>
      <c r="BD70" s="3800"/>
      <c r="BE70" s="3237"/>
      <c r="BF70" s="3800"/>
      <c r="BG70" s="3237"/>
      <c r="BH70" s="3237"/>
      <c r="BI70" s="3237"/>
      <c r="BJ70" s="3800"/>
      <c r="BK70" s="3800"/>
      <c r="BL70" s="3800"/>
      <c r="BM70" s="3839"/>
      <c r="BN70" s="3800"/>
      <c r="BO70" s="3800"/>
      <c r="BP70" s="3800"/>
      <c r="BQ70" s="3798"/>
      <c r="BR70" s="3798"/>
      <c r="BS70" s="3798"/>
      <c r="BT70" s="3798"/>
      <c r="BU70" s="3831"/>
    </row>
    <row r="71" spans="1:73" ht="33.75" customHeight="1" x14ac:dyDescent="0.25">
      <c r="A71" s="1620"/>
      <c r="B71" s="1769"/>
      <c r="C71" s="1619"/>
      <c r="D71" s="1769"/>
      <c r="G71" s="3895">
        <v>2201054</v>
      </c>
      <c r="H71" s="3896" t="s">
        <v>2725</v>
      </c>
      <c r="I71" s="3895">
        <v>2201054</v>
      </c>
      <c r="J71" s="3896" t="s">
        <v>2725</v>
      </c>
      <c r="K71" s="3897">
        <v>220105400</v>
      </c>
      <c r="L71" s="3896" t="s">
        <v>2726</v>
      </c>
      <c r="M71" s="3897">
        <v>220105400</v>
      </c>
      <c r="N71" s="3896" t="s">
        <v>2726</v>
      </c>
      <c r="O71" s="3906">
        <v>11</v>
      </c>
      <c r="P71" s="3906">
        <v>3</v>
      </c>
      <c r="Q71" s="2267"/>
      <c r="R71" s="2397"/>
      <c r="S71" s="3935">
        <f>SUM(X71:X74)/T44</f>
        <v>6.194495258226252E-2</v>
      </c>
      <c r="T71" s="3921"/>
      <c r="U71" s="2397"/>
      <c r="V71" s="3934" t="s">
        <v>2673</v>
      </c>
      <c r="W71" s="3154" t="s">
        <v>2727</v>
      </c>
      <c r="X71" s="1653">
        <v>664449.19999999995</v>
      </c>
      <c r="Y71" s="1653">
        <v>658149</v>
      </c>
      <c r="Z71" s="1653">
        <v>0</v>
      </c>
      <c r="AA71" s="1546" t="s">
        <v>2728</v>
      </c>
      <c r="AB71" s="3859">
        <v>20</v>
      </c>
      <c r="AC71" s="2425" t="s">
        <v>1614</v>
      </c>
      <c r="AD71" s="3800"/>
      <c r="AE71" s="3237"/>
      <c r="AF71" s="3800"/>
      <c r="AG71" s="3007"/>
      <c r="AH71" s="3800"/>
      <c r="AI71" s="3237"/>
      <c r="AJ71" s="3800"/>
      <c r="AK71" s="3237"/>
      <c r="AL71" s="3800"/>
      <c r="AM71" s="3237"/>
      <c r="AN71" s="3800"/>
      <c r="AO71" s="3237"/>
      <c r="AP71" s="3800"/>
      <c r="AQ71" s="3237"/>
      <c r="AR71" s="3237"/>
      <c r="AS71" s="3237"/>
      <c r="AT71" s="3800"/>
      <c r="AU71" s="3800"/>
      <c r="AV71" s="3800"/>
      <c r="AW71" s="3800"/>
      <c r="AX71" s="3800"/>
      <c r="AY71" s="3800"/>
      <c r="AZ71" s="3800"/>
      <c r="BA71" s="3800"/>
      <c r="BB71" s="3800"/>
      <c r="BC71" s="3237"/>
      <c r="BD71" s="3800"/>
      <c r="BE71" s="3237"/>
      <c r="BF71" s="3800"/>
      <c r="BG71" s="3237"/>
      <c r="BH71" s="3237"/>
      <c r="BI71" s="3237"/>
      <c r="BJ71" s="3800"/>
      <c r="BK71" s="3800"/>
      <c r="BL71" s="3800"/>
      <c r="BM71" s="3839"/>
      <c r="BN71" s="3800"/>
      <c r="BO71" s="3800"/>
      <c r="BP71" s="3800"/>
      <c r="BQ71" s="3798"/>
      <c r="BR71" s="3798"/>
      <c r="BS71" s="3798"/>
      <c r="BT71" s="3798"/>
      <c r="BU71" s="3831"/>
    </row>
    <row r="72" spans="1:73" ht="27" customHeight="1" x14ac:dyDescent="0.25">
      <c r="A72" s="1620"/>
      <c r="B72" s="1769"/>
      <c r="C72" s="1619"/>
      <c r="D72" s="1769"/>
      <c r="G72" s="3834"/>
      <c r="H72" s="3128"/>
      <c r="I72" s="3834"/>
      <c r="J72" s="3128"/>
      <c r="K72" s="3875"/>
      <c r="L72" s="3128"/>
      <c r="M72" s="3875"/>
      <c r="N72" s="3128"/>
      <c r="O72" s="3891"/>
      <c r="P72" s="3891"/>
      <c r="Q72" s="2267"/>
      <c r="R72" s="2397"/>
      <c r="S72" s="3936"/>
      <c r="T72" s="3921"/>
      <c r="U72" s="2397"/>
      <c r="V72" s="3934"/>
      <c r="W72" s="3154"/>
      <c r="X72" s="1653">
        <v>4126079.04</v>
      </c>
      <c r="Y72" s="1653">
        <v>4086950</v>
      </c>
      <c r="Z72" s="1653">
        <v>0</v>
      </c>
      <c r="AA72" s="1546" t="s">
        <v>2729</v>
      </c>
      <c r="AB72" s="3816"/>
      <c r="AC72" s="2426"/>
      <c r="AD72" s="3800"/>
      <c r="AE72" s="3237"/>
      <c r="AF72" s="3800"/>
      <c r="AG72" s="3007"/>
      <c r="AH72" s="3800"/>
      <c r="AI72" s="3237"/>
      <c r="AJ72" s="3800"/>
      <c r="AK72" s="3237"/>
      <c r="AL72" s="3800"/>
      <c r="AM72" s="3237"/>
      <c r="AN72" s="3800"/>
      <c r="AO72" s="3237"/>
      <c r="AP72" s="3800"/>
      <c r="AQ72" s="3237"/>
      <c r="AR72" s="3237"/>
      <c r="AS72" s="3237"/>
      <c r="AT72" s="3800"/>
      <c r="AU72" s="3800"/>
      <c r="AV72" s="3800"/>
      <c r="AW72" s="3800"/>
      <c r="AX72" s="3800"/>
      <c r="AY72" s="3800"/>
      <c r="AZ72" s="3800"/>
      <c r="BA72" s="3800"/>
      <c r="BB72" s="3800"/>
      <c r="BC72" s="3237"/>
      <c r="BD72" s="3800"/>
      <c r="BE72" s="3237"/>
      <c r="BF72" s="3800"/>
      <c r="BG72" s="3237"/>
      <c r="BH72" s="3237"/>
      <c r="BI72" s="3237"/>
      <c r="BJ72" s="3800"/>
      <c r="BK72" s="3800"/>
      <c r="BL72" s="3800"/>
      <c r="BM72" s="3839"/>
      <c r="BN72" s="3800"/>
      <c r="BO72" s="3800"/>
      <c r="BP72" s="3800"/>
      <c r="BQ72" s="3798"/>
      <c r="BR72" s="3798"/>
      <c r="BS72" s="3798"/>
      <c r="BT72" s="3798"/>
      <c r="BU72" s="3831"/>
    </row>
    <row r="73" spans="1:73" ht="39" customHeight="1" x14ac:dyDescent="0.25">
      <c r="A73" s="1620"/>
      <c r="B73" s="1769"/>
      <c r="C73" s="1619"/>
      <c r="D73" s="1769"/>
      <c r="G73" s="3834"/>
      <c r="H73" s="3128"/>
      <c r="I73" s="3834"/>
      <c r="J73" s="3128"/>
      <c r="K73" s="3875"/>
      <c r="L73" s="3128"/>
      <c r="M73" s="3875"/>
      <c r="N73" s="3128"/>
      <c r="O73" s="3891"/>
      <c r="P73" s="3891"/>
      <c r="Q73" s="2267"/>
      <c r="R73" s="2397"/>
      <c r="S73" s="3936"/>
      <c r="T73" s="3921"/>
      <c r="U73" s="2397"/>
      <c r="V73" s="3934"/>
      <c r="W73" s="3154"/>
      <c r="X73" s="1653">
        <v>3750692.96</v>
      </c>
      <c r="Y73" s="1653">
        <v>3715124</v>
      </c>
      <c r="Z73" s="1653">
        <v>0</v>
      </c>
      <c r="AA73" s="1546" t="s">
        <v>2730</v>
      </c>
      <c r="AB73" s="3816"/>
      <c r="AC73" s="2426"/>
      <c r="AD73" s="3800"/>
      <c r="AE73" s="3237"/>
      <c r="AF73" s="3800"/>
      <c r="AG73" s="3007"/>
      <c r="AH73" s="3800"/>
      <c r="AI73" s="3237"/>
      <c r="AJ73" s="3800"/>
      <c r="AK73" s="3237"/>
      <c r="AL73" s="3800"/>
      <c r="AM73" s="3237"/>
      <c r="AN73" s="3800"/>
      <c r="AO73" s="3237"/>
      <c r="AP73" s="3800"/>
      <c r="AQ73" s="3237"/>
      <c r="AR73" s="3237"/>
      <c r="AS73" s="3237"/>
      <c r="AT73" s="3800"/>
      <c r="AU73" s="3800"/>
      <c r="AV73" s="3800"/>
      <c r="AW73" s="3800"/>
      <c r="AX73" s="3800"/>
      <c r="AY73" s="3800"/>
      <c r="AZ73" s="3800"/>
      <c r="BA73" s="3800"/>
      <c r="BB73" s="3800"/>
      <c r="BC73" s="3237"/>
      <c r="BD73" s="3800"/>
      <c r="BE73" s="3237"/>
      <c r="BF73" s="3800"/>
      <c r="BG73" s="3237"/>
      <c r="BH73" s="3237"/>
      <c r="BI73" s="3237"/>
      <c r="BJ73" s="3800"/>
      <c r="BK73" s="3800"/>
      <c r="BL73" s="3800"/>
      <c r="BM73" s="3839"/>
      <c r="BN73" s="3800"/>
      <c r="BO73" s="3800"/>
      <c r="BP73" s="3800"/>
      <c r="BQ73" s="3798"/>
      <c r="BR73" s="3798"/>
      <c r="BS73" s="3798"/>
      <c r="BT73" s="3798"/>
      <c r="BU73" s="3831"/>
    </row>
    <row r="74" spans="1:73" ht="39.75" customHeight="1" x14ac:dyDescent="0.25">
      <c r="A74" s="1620"/>
      <c r="B74" s="1769"/>
      <c r="C74" s="1619"/>
      <c r="D74" s="1769"/>
      <c r="G74" s="3868"/>
      <c r="H74" s="3129"/>
      <c r="I74" s="3868"/>
      <c r="J74" s="3129"/>
      <c r="K74" s="3876"/>
      <c r="L74" s="3129"/>
      <c r="M74" s="3876"/>
      <c r="N74" s="3129"/>
      <c r="O74" s="3891"/>
      <c r="P74" s="3892"/>
      <c r="Q74" s="2267"/>
      <c r="R74" s="2397"/>
      <c r="S74" s="3937"/>
      <c r="T74" s="3921"/>
      <c r="U74" s="2397"/>
      <c r="V74" s="3934"/>
      <c r="W74" s="3154"/>
      <c r="X74" s="1653">
        <v>1458778.81</v>
      </c>
      <c r="Y74" s="1653">
        <v>1444944</v>
      </c>
      <c r="Z74" s="1653">
        <v>0</v>
      </c>
      <c r="AA74" s="1546" t="s">
        <v>2731</v>
      </c>
      <c r="AB74" s="3860"/>
      <c r="AC74" s="2427"/>
      <c r="AD74" s="3800"/>
      <c r="AE74" s="3237"/>
      <c r="AF74" s="3800"/>
      <c r="AG74" s="3007"/>
      <c r="AH74" s="3800"/>
      <c r="AI74" s="3237"/>
      <c r="AJ74" s="3800"/>
      <c r="AK74" s="3237"/>
      <c r="AL74" s="3800"/>
      <c r="AM74" s="3237"/>
      <c r="AN74" s="3800"/>
      <c r="AO74" s="3237"/>
      <c r="AP74" s="3800"/>
      <c r="AQ74" s="3237"/>
      <c r="AR74" s="3237"/>
      <c r="AS74" s="3237"/>
      <c r="AT74" s="3800"/>
      <c r="AU74" s="3800"/>
      <c r="AV74" s="3800"/>
      <c r="AW74" s="3800"/>
      <c r="AX74" s="3800"/>
      <c r="AY74" s="3800"/>
      <c r="AZ74" s="3800"/>
      <c r="BA74" s="3800"/>
      <c r="BB74" s="3800"/>
      <c r="BC74" s="3237"/>
      <c r="BD74" s="3800"/>
      <c r="BE74" s="3237"/>
      <c r="BF74" s="3800"/>
      <c r="BG74" s="3237"/>
      <c r="BH74" s="3237"/>
      <c r="BI74" s="3237"/>
      <c r="BJ74" s="3800"/>
      <c r="BK74" s="3800"/>
      <c r="BL74" s="3800"/>
      <c r="BM74" s="3839"/>
      <c r="BN74" s="3800"/>
      <c r="BO74" s="3800"/>
      <c r="BP74" s="3800"/>
      <c r="BQ74" s="3798"/>
      <c r="BR74" s="3798"/>
      <c r="BS74" s="3798"/>
      <c r="BT74" s="3798"/>
      <c r="BU74" s="3831"/>
    </row>
    <row r="75" spans="1:73" ht="83.25" customHeight="1" x14ac:dyDescent="0.25">
      <c r="A75" s="1620"/>
      <c r="B75" s="1769"/>
      <c r="C75" s="1619"/>
      <c r="D75" s="1769"/>
      <c r="G75" s="1783">
        <v>2201061</v>
      </c>
      <c r="H75" s="1558" t="s">
        <v>2732</v>
      </c>
      <c r="I75" s="1783">
        <v>2201061</v>
      </c>
      <c r="J75" s="1558" t="s">
        <v>2732</v>
      </c>
      <c r="K75" s="1553">
        <v>220106102</v>
      </c>
      <c r="L75" s="1558" t="s">
        <v>2733</v>
      </c>
      <c r="M75" s="1553">
        <v>220106102</v>
      </c>
      <c r="N75" s="1547" t="s">
        <v>2733</v>
      </c>
      <c r="O75" s="1765">
        <v>12</v>
      </c>
      <c r="P75" s="1765">
        <v>0</v>
      </c>
      <c r="Q75" s="2267"/>
      <c r="R75" s="2397"/>
      <c r="S75" s="1784">
        <f>X75/T44</f>
        <v>6.1944952520317564E-2</v>
      </c>
      <c r="T75" s="3921"/>
      <c r="U75" s="2397"/>
      <c r="V75" s="1540" t="s">
        <v>2715</v>
      </c>
      <c r="W75" s="1785" t="s">
        <v>2734</v>
      </c>
      <c r="X75" s="1367">
        <v>10000000</v>
      </c>
      <c r="Y75" s="1367">
        <v>0</v>
      </c>
      <c r="Z75" s="1367">
        <v>0</v>
      </c>
      <c r="AA75" s="1546" t="s">
        <v>2735</v>
      </c>
      <c r="AB75" s="1781">
        <v>20</v>
      </c>
      <c r="AC75" s="1542" t="s">
        <v>1614</v>
      </c>
      <c r="AD75" s="3800"/>
      <c r="AE75" s="3237"/>
      <c r="AF75" s="3800"/>
      <c r="AG75" s="3007"/>
      <c r="AH75" s="3800"/>
      <c r="AI75" s="3237"/>
      <c r="AJ75" s="3800"/>
      <c r="AK75" s="3237"/>
      <c r="AL75" s="3800"/>
      <c r="AM75" s="3237"/>
      <c r="AN75" s="3800"/>
      <c r="AO75" s="3237"/>
      <c r="AP75" s="3800"/>
      <c r="AQ75" s="3237"/>
      <c r="AR75" s="3237"/>
      <c r="AS75" s="3237"/>
      <c r="AT75" s="3800"/>
      <c r="AU75" s="3800"/>
      <c r="AV75" s="3800"/>
      <c r="AW75" s="3800"/>
      <c r="AX75" s="3800"/>
      <c r="AY75" s="3800"/>
      <c r="AZ75" s="3800"/>
      <c r="BA75" s="3800"/>
      <c r="BB75" s="3800"/>
      <c r="BC75" s="3237"/>
      <c r="BD75" s="3800"/>
      <c r="BE75" s="3237"/>
      <c r="BF75" s="3800"/>
      <c r="BG75" s="3237"/>
      <c r="BH75" s="3237"/>
      <c r="BI75" s="3237"/>
      <c r="BJ75" s="3800"/>
      <c r="BK75" s="3800"/>
      <c r="BL75" s="3800"/>
      <c r="BM75" s="3839"/>
      <c r="BN75" s="3800"/>
      <c r="BO75" s="3800"/>
      <c r="BP75" s="3800"/>
      <c r="BQ75" s="3798"/>
      <c r="BR75" s="3798"/>
      <c r="BS75" s="3798"/>
      <c r="BT75" s="3798"/>
      <c r="BU75" s="3831"/>
    </row>
    <row r="76" spans="1:73" ht="95.25" customHeight="1" x14ac:dyDescent="0.25">
      <c r="A76" s="1620"/>
      <c r="B76" s="1769"/>
      <c r="C76" s="1619"/>
      <c r="D76" s="1769"/>
      <c r="G76" s="1764">
        <v>2201066</v>
      </c>
      <c r="H76" s="1542" t="s">
        <v>2736</v>
      </c>
      <c r="I76" s="1764">
        <v>2201066</v>
      </c>
      <c r="J76" s="1542" t="s">
        <v>2736</v>
      </c>
      <c r="K76" s="1768">
        <v>220106600</v>
      </c>
      <c r="L76" s="1542" t="s">
        <v>2737</v>
      </c>
      <c r="M76" s="1768">
        <v>220106600</v>
      </c>
      <c r="N76" s="1542" t="s">
        <v>2737</v>
      </c>
      <c r="O76" s="1765">
        <v>10000</v>
      </c>
      <c r="P76" s="1765">
        <v>0</v>
      </c>
      <c r="Q76" s="2267"/>
      <c r="R76" s="2425"/>
      <c r="S76" s="1786">
        <f>X76/T44</f>
        <v>6.1944952520317564E-2</v>
      </c>
      <c r="T76" s="3922"/>
      <c r="U76" s="2425"/>
      <c r="V76" s="1540" t="s">
        <v>2673</v>
      </c>
      <c r="W76" s="1787" t="s">
        <v>2738</v>
      </c>
      <c r="X76" s="1367">
        <v>10000000</v>
      </c>
      <c r="Y76" s="1367">
        <v>1540000</v>
      </c>
      <c r="Z76" s="1367">
        <v>0</v>
      </c>
      <c r="AA76" s="1546" t="s">
        <v>2739</v>
      </c>
      <c r="AB76" s="1788">
        <v>20</v>
      </c>
      <c r="AC76" s="1543" t="s">
        <v>1614</v>
      </c>
      <c r="AD76" s="3800"/>
      <c r="AE76" s="3237"/>
      <c r="AF76" s="3800"/>
      <c r="AG76" s="3008"/>
      <c r="AH76" s="3800"/>
      <c r="AI76" s="3237"/>
      <c r="AJ76" s="3800"/>
      <c r="AK76" s="3237"/>
      <c r="AL76" s="3800"/>
      <c r="AM76" s="3237"/>
      <c r="AN76" s="3800"/>
      <c r="AO76" s="3237"/>
      <c r="AP76" s="3800"/>
      <c r="AQ76" s="3237"/>
      <c r="AR76" s="3237"/>
      <c r="AS76" s="3237"/>
      <c r="AT76" s="3800"/>
      <c r="AU76" s="3800"/>
      <c r="AV76" s="3800"/>
      <c r="AW76" s="3800"/>
      <c r="AX76" s="3800"/>
      <c r="AY76" s="3800"/>
      <c r="AZ76" s="3800"/>
      <c r="BA76" s="3800"/>
      <c r="BB76" s="3800"/>
      <c r="BC76" s="3237"/>
      <c r="BD76" s="3800"/>
      <c r="BE76" s="3237"/>
      <c r="BF76" s="3800"/>
      <c r="BG76" s="3237"/>
      <c r="BH76" s="3237"/>
      <c r="BI76" s="3237"/>
      <c r="BJ76" s="3794"/>
      <c r="BK76" s="3794"/>
      <c r="BL76" s="3794"/>
      <c r="BM76" s="3915"/>
      <c r="BN76" s="3794"/>
      <c r="BO76" s="3794"/>
      <c r="BP76" s="3794"/>
      <c r="BQ76" s="3795"/>
      <c r="BR76" s="3795"/>
      <c r="BS76" s="3795"/>
      <c r="BT76" s="3795"/>
      <c r="BU76" s="3791"/>
    </row>
    <row r="77" spans="1:73" ht="21.75" customHeight="1" x14ac:dyDescent="0.25">
      <c r="A77" s="1620"/>
      <c r="B77" s="1769"/>
      <c r="C77" s="1619"/>
      <c r="D77" s="1769"/>
      <c r="G77" s="3895">
        <v>2201050</v>
      </c>
      <c r="H77" s="3896" t="s">
        <v>2740</v>
      </c>
      <c r="I77" s="3895">
        <v>2201050</v>
      </c>
      <c r="J77" s="3896" t="s">
        <v>2740</v>
      </c>
      <c r="K77" s="3897">
        <v>220105000</v>
      </c>
      <c r="L77" s="3896" t="s">
        <v>2741</v>
      </c>
      <c r="M77" s="3897">
        <v>220105000</v>
      </c>
      <c r="N77" s="3896" t="s">
        <v>2741</v>
      </c>
      <c r="O77" s="3906">
        <v>8000</v>
      </c>
      <c r="P77" s="3906">
        <v>4000</v>
      </c>
      <c r="Q77" s="2438" t="s">
        <v>2742</v>
      </c>
      <c r="R77" s="2396" t="s">
        <v>2743</v>
      </c>
      <c r="S77" s="3907">
        <f>SUM(X77:X80)/T77</f>
        <v>1.6341321671867436E-2</v>
      </c>
      <c r="T77" s="3854">
        <f>SUM(X77:X88)</f>
        <v>611945607.01999998</v>
      </c>
      <c r="U77" s="2425" t="s">
        <v>2744</v>
      </c>
      <c r="V77" s="2396" t="s">
        <v>2745</v>
      </c>
      <c r="W77" s="3154" t="s">
        <v>2746</v>
      </c>
      <c r="X77" s="1653">
        <v>664449.19999999995</v>
      </c>
      <c r="Y77" s="1653">
        <v>664449.19999999995</v>
      </c>
      <c r="Z77" s="1653">
        <v>0</v>
      </c>
      <c r="AA77" s="1546" t="s">
        <v>2747</v>
      </c>
      <c r="AB77" s="3909">
        <v>20</v>
      </c>
      <c r="AC77" s="3150" t="s">
        <v>1614</v>
      </c>
      <c r="AD77" s="3842">
        <v>19649</v>
      </c>
      <c r="AE77" s="3842">
        <v>19649</v>
      </c>
      <c r="AF77" s="3842">
        <v>20118</v>
      </c>
      <c r="AG77" s="3006">
        <v>20118</v>
      </c>
      <c r="AH77" s="3765">
        <v>28907</v>
      </c>
      <c r="AI77" s="3842">
        <v>28907</v>
      </c>
      <c r="AJ77" s="3848">
        <v>9525</v>
      </c>
      <c r="AK77" s="3842">
        <v>9525</v>
      </c>
      <c r="AL77" s="3848">
        <v>1222</v>
      </c>
      <c r="AM77" s="3842">
        <v>1222</v>
      </c>
      <c r="AN77" s="3848">
        <v>113</v>
      </c>
      <c r="AO77" s="3842">
        <v>113</v>
      </c>
      <c r="AP77" s="3848">
        <v>297</v>
      </c>
      <c r="AQ77" s="3842">
        <v>297</v>
      </c>
      <c r="AR77" s="3842">
        <v>345</v>
      </c>
      <c r="AS77" s="3842">
        <v>345</v>
      </c>
      <c r="AT77" s="3848">
        <v>0</v>
      </c>
      <c r="AU77" s="3848"/>
      <c r="AV77" s="3848">
        <v>0</v>
      </c>
      <c r="AW77" s="3848"/>
      <c r="AX77" s="3848">
        <v>0</v>
      </c>
      <c r="AY77" s="3848"/>
      <c r="AZ77" s="3848">
        <v>0</v>
      </c>
      <c r="BA77" s="3848"/>
      <c r="BB77" s="3848">
        <v>3301</v>
      </c>
      <c r="BC77" s="3842">
        <v>3301</v>
      </c>
      <c r="BD77" s="3848">
        <v>2507</v>
      </c>
      <c r="BE77" s="3842">
        <v>2507</v>
      </c>
      <c r="BF77" s="3842">
        <v>113</v>
      </c>
      <c r="BG77" s="3842">
        <v>113</v>
      </c>
      <c r="BH77" s="3842">
        <f>+AD77+AF77</f>
        <v>39767</v>
      </c>
      <c r="BI77" s="3842">
        <f>AE77+AG77</f>
        <v>39767</v>
      </c>
      <c r="BJ77" s="3799"/>
      <c r="BK77" s="3799">
        <f>SUM(Y77:Y88)</f>
        <v>573083382</v>
      </c>
      <c r="BL77" s="3799">
        <f>SUM(Z77:Z88)</f>
        <v>561083382</v>
      </c>
      <c r="BM77" s="3799"/>
      <c r="BN77" s="3799"/>
      <c r="BO77" s="3799"/>
      <c r="BP77" s="3799"/>
      <c r="BQ77" s="3796">
        <v>44198</v>
      </c>
      <c r="BR77" s="3796"/>
      <c r="BS77" s="3796">
        <v>44560</v>
      </c>
      <c r="BT77" s="3829"/>
      <c r="BU77" s="3792" t="s">
        <v>2590</v>
      </c>
    </row>
    <row r="78" spans="1:73" ht="29.25" customHeight="1" x14ac:dyDescent="0.25">
      <c r="A78" s="1620"/>
      <c r="B78" s="1769"/>
      <c r="C78" s="1619"/>
      <c r="D78" s="1769"/>
      <c r="G78" s="3834"/>
      <c r="H78" s="3128"/>
      <c r="I78" s="3834"/>
      <c r="J78" s="3128"/>
      <c r="K78" s="3875"/>
      <c r="L78" s="3128"/>
      <c r="M78" s="3875"/>
      <c r="N78" s="3128"/>
      <c r="O78" s="3891"/>
      <c r="P78" s="3891"/>
      <c r="Q78" s="2267"/>
      <c r="R78" s="2396"/>
      <c r="S78" s="3907"/>
      <c r="T78" s="3855"/>
      <c r="U78" s="2426"/>
      <c r="V78" s="2396"/>
      <c r="W78" s="3154"/>
      <c r="X78" s="1653">
        <v>4126079.04</v>
      </c>
      <c r="Y78" s="1653">
        <v>4126079.04</v>
      </c>
      <c r="Z78" s="1653">
        <v>0</v>
      </c>
      <c r="AA78" s="1546" t="s">
        <v>2748</v>
      </c>
      <c r="AB78" s="3909"/>
      <c r="AC78" s="3150"/>
      <c r="AD78" s="3843"/>
      <c r="AE78" s="3843"/>
      <c r="AF78" s="3843"/>
      <c r="AG78" s="3007"/>
      <c r="AH78" s="3765"/>
      <c r="AI78" s="3843"/>
      <c r="AJ78" s="3849"/>
      <c r="AK78" s="3843"/>
      <c r="AL78" s="3849"/>
      <c r="AM78" s="3843"/>
      <c r="AN78" s="3849"/>
      <c r="AO78" s="3843"/>
      <c r="AP78" s="3849"/>
      <c r="AQ78" s="3843"/>
      <c r="AR78" s="3843"/>
      <c r="AS78" s="3843"/>
      <c r="AT78" s="3849"/>
      <c r="AU78" s="3849"/>
      <c r="AV78" s="3849"/>
      <c r="AW78" s="3849"/>
      <c r="AX78" s="3849"/>
      <c r="AY78" s="3849"/>
      <c r="AZ78" s="3849"/>
      <c r="BA78" s="3849"/>
      <c r="BB78" s="3849"/>
      <c r="BC78" s="3843"/>
      <c r="BD78" s="3849"/>
      <c r="BE78" s="3843"/>
      <c r="BF78" s="3843"/>
      <c r="BG78" s="3843"/>
      <c r="BH78" s="3843"/>
      <c r="BI78" s="3843"/>
      <c r="BJ78" s="3800"/>
      <c r="BK78" s="3800"/>
      <c r="BL78" s="3800"/>
      <c r="BM78" s="3800"/>
      <c r="BN78" s="3800"/>
      <c r="BO78" s="3800"/>
      <c r="BP78" s="3800"/>
      <c r="BQ78" s="3798"/>
      <c r="BR78" s="3798"/>
      <c r="BS78" s="3798"/>
      <c r="BT78" s="3790"/>
      <c r="BU78" s="3831"/>
    </row>
    <row r="79" spans="1:73" ht="27" customHeight="1" x14ac:dyDescent="0.25">
      <c r="A79" s="1620"/>
      <c r="B79" s="1769"/>
      <c r="C79" s="1619"/>
      <c r="D79" s="1769"/>
      <c r="G79" s="3834"/>
      <c r="H79" s="3128"/>
      <c r="I79" s="3834"/>
      <c r="J79" s="3128"/>
      <c r="K79" s="3875"/>
      <c r="L79" s="3128"/>
      <c r="M79" s="3875"/>
      <c r="N79" s="3128"/>
      <c r="O79" s="3891"/>
      <c r="P79" s="3891"/>
      <c r="Q79" s="2267"/>
      <c r="R79" s="2396"/>
      <c r="S79" s="3907"/>
      <c r="T79" s="3855"/>
      <c r="U79" s="2426"/>
      <c r="V79" s="2396"/>
      <c r="W79" s="3154"/>
      <c r="X79" s="1653">
        <v>3750692.96</v>
      </c>
      <c r="Y79" s="1653">
        <v>3750692.96</v>
      </c>
      <c r="Z79" s="1653">
        <v>0</v>
      </c>
      <c r="AA79" s="1546" t="s">
        <v>2749</v>
      </c>
      <c r="AB79" s="3909"/>
      <c r="AC79" s="3150"/>
      <c r="AD79" s="3843"/>
      <c r="AE79" s="3843"/>
      <c r="AF79" s="3843"/>
      <c r="AG79" s="3007"/>
      <c r="AH79" s="3765"/>
      <c r="AI79" s="3843"/>
      <c r="AJ79" s="3849"/>
      <c r="AK79" s="3843"/>
      <c r="AL79" s="3849"/>
      <c r="AM79" s="3843"/>
      <c r="AN79" s="3849"/>
      <c r="AO79" s="3843"/>
      <c r="AP79" s="3849"/>
      <c r="AQ79" s="3843"/>
      <c r="AR79" s="3843"/>
      <c r="AS79" s="3843"/>
      <c r="AT79" s="3849"/>
      <c r="AU79" s="3849"/>
      <c r="AV79" s="3849"/>
      <c r="AW79" s="3849"/>
      <c r="AX79" s="3849"/>
      <c r="AY79" s="3849"/>
      <c r="AZ79" s="3849"/>
      <c r="BA79" s="3849"/>
      <c r="BB79" s="3849"/>
      <c r="BC79" s="3843"/>
      <c r="BD79" s="3849"/>
      <c r="BE79" s="3843"/>
      <c r="BF79" s="3843"/>
      <c r="BG79" s="3843"/>
      <c r="BH79" s="3843"/>
      <c r="BI79" s="3843"/>
      <c r="BJ79" s="3800"/>
      <c r="BK79" s="3800"/>
      <c r="BL79" s="3800"/>
      <c r="BM79" s="3800"/>
      <c r="BN79" s="3800"/>
      <c r="BO79" s="3800"/>
      <c r="BP79" s="3800"/>
      <c r="BQ79" s="3798"/>
      <c r="BR79" s="3798"/>
      <c r="BS79" s="3798"/>
      <c r="BT79" s="3790"/>
      <c r="BU79" s="3831"/>
    </row>
    <row r="80" spans="1:73" ht="30.75" customHeight="1" x14ac:dyDescent="0.25">
      <c r="A80" s="1620"/>
      <c r="B80" s="1769"/>
      <c r="C80" s="1619"/>
      <c r="D80" s="1769"/>
      <c r="G80" s="3868"/>
      <c r="H80" s="3129"/>
      <c r="I80" s="3868"/>
      <c r="J80" s="3129"/>
      <c r="K80" s="3876"/>
      <c r="L80" s="3129"/>
      <c r="M80" s="3876"/>
      <c r="N80" s="3129"/>
      <c r="O80" s="3892"/>
      <c r="P80" s="3892"/>
      <c r="Q80" s="2267"/>
      <c r="R80" s="2396"/>
      <c r="S80" s="3907"/>
      <c r="T80" s="3855"/>
      <c r="U80" s="2426"/>
      <c r="V80" s="2396"/>
      <c r="W80" s="3154"/>
      <c r="X80" s="1653">
        <v>1458778.81</v>
      </c>
      <c r="Y80" s="1653">
        <v>1458778.8</v>
      </c>
      <c r="Z80" s="1653">
        <v>0</v>
      </c>
      <c r="AA80" s="1546" t="s">
        <v>2750</v>
      </c>
      <c r="AB80" s="3909"/>
      <c r="AC80" s="3150"/>
      <c r="AD80" s="3843"/>
      <c r="AE80" s="3843"/>
      <c r="AF80" s="3843"/>
      <c r="AG80" s="3007"/>
      <c r="AH80" s="3765"/>
      <c r="AI80" s="3843"/>
      <c r="AJ80" s="3849"/>
      <c r="AK80" s="3843"/>
      <c r="AL80" s="3849"/>
      <c r="AM80" s="3843"/>
      <c r="AN80" s="3849"/>
      <c r="AO80" s="3843"/>
      <c r="AP80" s="3849"/>
      <c r="AQ80" s="3843"/>
      <c r="AR80" s="3843"/>
      <c r="AS80" s="3843"/>
      <c r="AT80" s="3849"/>
      <c r="AU80" s="3849"/>
      <c r="AV80" s="3849"/>
      <c r="AW80" s="3849"/>
      <c r="AX80" s="3849"/>
      <c r="AY80" s="3849"/>
      <c r="AZ80" s="3849"/>
      <c r="BA80" s="3849"/>
      <c r="BB80" s="3849"/>
      <c r="BC80" s="3843"/>
      <c r="BD80" s="3849"/>
      <c r="BE80" s="3843"/>
      <c r="BF80" s="3843"/>
      <c r="BG80" s="3843"/>
      <c r="BH80" s="3843"/>
      <c r="BI80" s="3843"/>
      <c r="BJ80" s="3800"/>
      <c r="BK80" s="3800"/>
      <c r="BL80" s="3800"/>
      <c r="BM80" s="3800"/>
      <c r="BN80" s="3800"/>
      <c r="BO80" s="3800"/>
      <c r="BP80" s="3800"/>
      <c r="BQ80" s="3798"/>
      <c r="BR80" s="3798"/>
      <c r="BS80" s="3798"/>
      <c r="BT80" s="3790"/>
      <c r="BU80" s="3831"/>
    </row>
    <row r="81" spans="1:73" ht="35.25" customHeight="1" x14ac:dyDescent="0.25">
      <c r="A81" s="1620"/>
      <c r="B81" s="1769"/>
      <c r="C81" s="1619"/>
      <c r="D81" s="1769"/>
      <c r="G81" s="3895">
        <v>2201050</v>
      </c>
      <c r="H81" s="3896" t="s">
        <v>2740</v>
      </c>
      <c r="I81" s="3895">
        <v>2201050</v>
      </c>
      <c r="J81" s="3896" t="s">
        <v>2740</v>
      </c>
      <c r="K81" s="3897">
        <v>220105001</v>
      </c>
      <c r="L81" s="3896" t="s">
        <v>2751</v>
      </c>
      <c r="M81" s="3897">
        <v>220105001</v>
      </c>
      <c r="N81" s="3896" t="s">
        <v>2751</v>
      </c>
      <c r="O81" s="3906">
        <v>150</v>
      </c>
      <c r="P81" s="3906">
        <v>0</v>
      </c>
      <c r="Q81" s="2267"/>
      <c r="R81" s="2396"/>
      <c r="S81" s="3910">
        <f>SUM(X81:X84)/T77</f>
        <v>0.96731735665626517</v>
      </c>
      <c r="T81" s="3855"/>
      <c r="U81" s="2426"/>
      <c r="V81" s="2396"/>
      <c r="W81" s="3154" t="s">
        <v>2752</v>
      </c>
      <c r="X81" s="1367">
        <f>49767245-10435466</f>
        <v>39331779</v>
      </c>
      <c r="Y81" s="1367">
        <v>37255928</v>
      </c>
      <c r="Z81" s="1367">
        <v>37255928</v>
      </c>
      <c r="AA81" s="1546" t="s">
        <v>2753</v>
      </c>
      <c r="AB81" s="3909">
        <v>25</v>
      </c>
      <c r="AC81" s="3150" t="s">
        <v>2586</v>
      </c>
      <c r="AD81" s="3843"/>
      <c r="AE81" s="3843"/>
      <c r="AF81" s="3843"/>
      <c r="AG81" s="3007"/>
      <c r="AH81" s="3765"/>
      <c r="AI81" s="3843"/>
      <c r="AJ81" s="3849"/>
      <c r="AK81" s="3843"/>
      <c r="AL81" s="3849"/>
      <c r="AM81" s="3843"/>
      <c r="AN81" s="3849"/>
      <c r="AO81" s="3843"/>
      <c r="AP81" s="3849"/>
      <c r="AQ81" s="3843"/>
      <c r="AR81" s="3843"/>
      <c r="AS81" s="3843"/>
      <c r="AT81" s="3849"/>
      <c r="AU81" s="3849"/>
      <c r="AV81" s="3849"/>
      <c r="AW81" s="3849"/>
      <c r="AX81" s="3849"/>
      <c r="AY81" s="3849"/>
      <c r="AZ81" s="3849"/>
      <c r="BA81" s="3849"/>
      <c r="BB81" s="3849"/>
      <c r="BC81" s="3843"/>
      <c r="BD81" s="3849"/>
      <c r="BE81" s="3843"/>
      <c r="BF81" s="3843"/>
      <c r="BG81" s="3843"/>
      <c r="BH81" s="3843"/>
      <c r="BI81" s="3843"/>
      <c r="BJ81" s="3800"/>
      <c r="BK81" s="3800"/>
      <c r="BL81" s="3800"/>
      <c r="BM81" s="3800"/>
      <c r="BN81" s="3800"/>
      <c r="BO81" s="3800"/>
      <c r="BP81" s="3800"/>
      <c r="BQ81" s="3798"/>
      <c r="BR81" s="3798"/>
      <c r="BS81" s="3798"/>
      <c r="BT81" s="3790"/>
      <c r="BU81" s="3831"/>
    </row>
    <row r="82" spans="1:73" ht="26.25" customHeight="1" x14ac:dyDescent="0.25">
      <c r="A82" s="1620"/>
      <c r="B82" s="1769"/>
      <c r="C82" s="1619"/>
      <c r="D82" s="1769"/>
      <c r="G82" s="3834"/>
      <c r="H82" s="3128"/>
      <c r="I82" s="3834"/>
      <c r="J82" s="3128"/>
      <c r="K82" s="3875"/>
      <c r="L82" s="3128"/>
      <c r="M82" s="3875"/>
      <c r="N82" s="3128"/>
      <c r="O82" s="3891"/>
      <c r="P82" s="3891"/>
      <c r="Q82" s="2267"/>
      <c r="R82" s="2396"/>
      <c r="S82" s="3910"/>
      <c r="T82" s="3855"/>
      <c r="U82" s="2426"/>
      <c r="V82" s="2396"/>
      <c r="W82" s="3154"/>
      <c r="X82" s="1367">
        <f>309043320-64801884</f>
        <v>244241436</v>
      </c>
      <c r="Y82" s="1367">
        <v>231503006</v>
      </c>
      <c r="Z82" s="1367">
        <v>231503006</v>
      </c>
      <c r="AA82" s="1546" t="s">
        <v>2754</v>
      </c>
      <c r="AB82" s="3909"/>
      <c r="AC82" s="3150"/>
      <c r="AD82" s="3843"/>
      <c r="AE82" s="3843"/>
      <c r="AF82" s="3843"/>
      <c r="AG82" s="3007"/>
      <c r="AH82" s="3765"/>
      <c r="AI82" s="3843"/>
      <c r="AJ82" s="3849"/>
      <c r="AK82" s="3843"/>
      <c r="AL82" s="3849"/>
      <c r="AM82" s="3843"/>
      <c r="AN82" s="3849"/>
      <c r="AO82" s="3843"/>
      <c r="AP82" s="3849"/>
      <c r="AQ82" s="3843"/>
      <c r="AR82" s="3843"/>
      <c r="AS82" s="3843"/>
      <c r="AT82" s="3849"/>
      <c r="AU82" s="3849"/>
      <c r="AV82" s="3849"/>
      <c r="AW82" s="3849"/>
      <c r="AX82" s="3849"/>
      <c r="AY82" s="3849"/>
      <c r="AZ82" s="3849"/>
      <c r="BA82" s="3849"/>
      <c r="BB82" s="3849"/>
      <c r="BC82" s="3843"/>
      <c r="BD82" s="3849"/>
      <c r="BE82" s="3843"/>
      <c r="BF82" s="3843"/>
      <c r="BG82" s="3843"/>
      <c r="BH82" s="3843"/>
      <c r="BI82" s="3843"/>
      <c r="BJ82" s="3800"/>
      <c r="BK82" s="3800"/>
      <c r="BL82" s="3800"/>
      <c r="BM82" s="3800"/>
      <c r="BN82" s="3800"/>
      <c r="BO82" s="3800"/>
      <c r="BP82" s="3800"/>
      <c r="BQ82" s="3798"/>
      <c r="BR82" s="3798"/>
      <c r="BS82" s="3798"/>
      <c r="BT82" s="3790"/>
      <c r="BU82" s="3831"/>
    </row>
    <row r="83" spans="1:73" ht="30.75" customHeight="1" x14ac:dyDescent="0.25">
      <c r="A83" s="1620"/>
      <c r="B83" s="1769"/>
      <c r="C83" s="1619"/>
      <c r="D83" s="1769"/>
      <c r="G83" s="3834"/>
      <c r="H83" s="3128"/>
      <c r="I83" s="3834"/>
      <c r="J83" s="3128"/>
      <c r="K83" s="3875"/>
      <c r="L83" s="3128"/>
      <c r="M83" s="3875"/>
      <c r="N83" s="3128"/>
      <c r="O83" s="3891"/>
      <c r="P83" s="3891"/>
      <c r="Q83" s="2267"/>
      <c r="R83" s="2396"/>
      <c r="S83" s="3910"/>
      <c r="T83" s="3855"/>
      <c r="U83" s="2426"/>
      <c r="V83" s="2396"/>
      <c r="W83" s="3154"/>
      <c r="X83" s="1367">
        <f>280926903-58906281</f>
        <v>222020622</v>
      </c>
      <c r="Y83" s="1367">
        <v>210462378</v>
      </c>
      <c r="Z83" s="1367">
        <v>210462378</v>
      </c>
      <c r="AA83" s="1546" t="s">
        <v>2755</v>
      </c>
      <c r="AB83" s="3909"/>
      <c r="AC83" s="3150"/>
      <c r="AD83" s="3843"/>
      <c r="AE83" s="3843"/>
      <c r="AF83" s="3843"/>
      <c r="AG83" s="3007"/>
      <c r="AH83" s="3765"/>
      <c r="AI83" s="3843"/>
      <c r="AJ83" s="3849"/>
      <c r="AK83" s="3843"/>
      <c r="AL83" s="3849"/>
      <c r="AM83" s="3843"/>
      <c r="AN83" s="3849"/>
      <c r="AO83" s="3843"/>
      <c r="AP83" s="3849"/>
      <c r="AQ83" s="3843"/>
      <c r="AR83" s="3843"/>
      <c r="AS83" s="3843"/>
      <c r="AT83" s="3849"/>
      <c r="AU83" s="3849"/>
      <c r="AV83" s="3849"/>
      <c r="AW83" s="3849"/>
      <c r="AX83" s="3849"/>
      <c r="AY83" s="3849"/>
      <c r="AZ83" s="3849"/>
      <c r="BA83" s="3849"/>
      <c r="BB83" s="3849"/>
      <c r="BC83" s="3843"/>
      <c r="BD83" s="3849"/>
      <c r="BE83" s="3843"/>
      <c r="BF83" s="3843"/>
      <c r="BG83" s="3843"/>
      <c r="BH83" s="3843"/>
      <c r="BI83" s="3843"/>
      <c r="BJ83" s="3800"/>
      <c r="BK83" s="3800"/>
      <c r="BL83" s="3800"/>
      <c r="BM83" s="3800"/>
      <c r="BN83" s="3800"/>
      <c r="BO83" s="3800"/>
      <c r="BP83" s="3800"/>
      <c r="BQ83" s="3798"/>
      <c r="BR83" s="3798"/>
      <c r="BS83" s="3798"/>
      <c r="BT83" s="3790"/>
      <c r="BU83" s="3831"/>
    </row>
    <row r="84" spans="1:73" ht="27.75" customHeight="1" x14ac:dyDescent="0.25">
      <c r="A84" s="1620"/>
      <c r="B84" s="1769"/>
      <c r="C84" s="1619"/>
      <c r="D84" s="1769"/>
      <c r="G84" s="3868"/>
      <c r="H84" s="3129"/>
      <c r="I84" s="3868"/>
      <c r="J84" s="3129"/>
      <c r="K84" s="3876"/>
      <c r="L84" s="3129"/>
      <c r="M84" s="3876"/>
      <c r="N84" s="3129"/>
      <c r="O84" s="3892"/>
      <c r="P84" s="3892"/>
      <c r="Q84" s="2267"/>
      <c r="R84" s="2396"/>
      <c r="S84" s="3910"/>
      <c r="T84" s="3855"/>
      <c r="U84" s="2426"/>
      <c r="V84" s="2396"/>
      <c r="W84" s="3154"/>
      <c r="X84" s="1367">
        <f>109262532-22910762</f>
        <v>86351770</v>
      </c>
      <c r="Y84" s="1367">
        <v>81862070</v>
      </c>
      <c r="Z84" s="1367">
        <v>81862070</v>
      </c>
      <c r="AA84" s="1546" t="s">
        <v>2756</v>
      </c>
      <c r="AB84" s="3909"/>
      <c r="AC84" s="3150"/>
      <c r="AD84" s="3843"/>
      <c r="AE84" s="3843"/>
      <c r="AF84" s="3843"/>
      <c r="AG84" s="3007"/>
      <c r="AH84" s="3765"/>
      <c r="AI84" s="3843"/>
      <c r="AJ84" s="3849"/>
      <c r="AK84" s="3843"/>
      <c r="AL84" s="3849"/>
      <c r="AM84" s="3843"/>
      <c r="AN84" s="3849"/>
      <c r="AO84" s="3843"/>
      <c r="AP84" s="3849"/>
      <c r="AQ84" s="3843"/>
      <c r="AR84" s="3843"/>
      <c r="AS84" s="3843"/>
      <c r="AT84" s="3849"/>
      <c r="AU84" s="3849"/>
      <c r="AV84" s="3849"/>
      <c r="AW84" s="3849"/>
      <c r="AX84" s="3849"/>
      <c r="AY84" s="3849"/>
      <c r="AZ84" s="3849"/>
      <c r="BA84" s="3849"/>
      <c r="BB84" s="3849"/>
      <c r="BC84" s="3843"/>
      <c r="BD84" s="3849"/>
      <c r="BE84" s="3843"/>
      <c r="BF84" s="3843"/>
      <c r="BG84" s="3843"/>
      <c r="BH84" s="3843"/>
      <c r="BI84" s="3843"/>
      <c r="BJ84" s="3800"/>
      <c r="BK84" s="3800"/>
      <c r="BL84" s="3800"/>
      <c r="BM84" s="3800"/>
      <c r="BN84" s="3800"/>
      <c r="BO84" s="3800"/>
      <c r="BP84" s="3800"/>
      <c r="BQ84" s="3798"/>
      <c r="BR84" s="3798"/>
      <c r="BS84" s="3798"/>
      <c r="BT84" s="3790"/>
      <c r="BU84" s="3831"/>
    </row>
    <row r="85" spans="1:73" ht="28.5" customHeight="1" x14ac:dyDescent="0.25">
      <c r="A85" s="1620"/>
      <c r="B85" s="1769"/>
      <c r="C85" s="1619"/>
      <c r="D85" s="1769"/>
      <c r="G85" s="3895" t="s">
        <v>74</v>
      </c>
      <c r="H85" s="3896" t="s">
        <v>2757</v>
      </c>
      <c r="I85" s="3895">
        <v>2201001</v>
      </c>
      <c r="J85" s="3896" t="s">
        <v>791</v>
      </c>
      <c r="K85" s="3897" t="s">
        <v>74</v>
      </c>
      <c r="L85" s="3896" t="s">
        <v>2758</v>
      </c>
      <c r="M85" s="3897">
        <v>220100100</v>
      </c>
      <c r="N85" s="3896" t="s">
        <v>2759</v>
      </c>
      <c r="O85" s="3906">
        <v>2</v>
      </c>
      <c r="P85" s="3911">
        <v>0.5</v>
      </c>
      <c r="Q85" s="2267"/>
      <c r="R85" s="2396"/>
      <c r="S85" s="3907">
        <f>SUM(X85:X88)/T77</f>
        <v>1.6341321671867436E-2</v>
      </c>
      <c r="T85" s="3855"/>
      <c r="U85" s="2426"/>
      <c r="V85" s="2396" t="s">
        <v>2760</v>
      </c>
      <c r="W85" s="2576" t="s">
        <v>2761</v>
      </c>
      <c r="X85" s="1653">
        <v>664449.19999999995</v>
      </c>
      <c r="Y85" s="1653">
        <v>0</v>
      </c>
      <c r="Z85" s="1653">
        <v>0</v>
      </c>
      <c r="AA85" s="1546" t="s">
        <v>2762</v>
      </c>
      <c r="AB85" s="3816">
        <v>20</v>
      </c>
      <c r="AC85" s="2426" t="s">
        <v>1614</v>
      </c>
      <c r="AD85" s="3237"/>
      <c r="AE85" s="3237"/>
      <c r="AF85" s="3237"/>
      <c r="AG85" s="3007"/>
      <c r="AH85" s="3765"/>
      <c r="AI85" s="3237"/>
      <c r="AJ85" s="3800"/>
      <c r="AK85" s="3237"/>
      <c r="AL85" s="3800"/>
      <c r="AM85" s="3237"/>
      <c r="AN85" s="3800"/>
      <c r="AO85" s="3237"/>
      <c r="AP85" s="3800"/>
      <c r="AQ85" s="3237"/>
      <c r="AR85" s="3237"/>
      <c r="AS85" s="3237"/>
      <c r="AT85" s="3800"/>
      <c r="AU85" s="3800"/>
      <c r="AV85" s="3800"/>
      <c r="AW85" s="3800"/>
      <c r="AX85" s="3800"/>
      <c r="AY85" s="3800"/>
      <c r="AZ85" s="3800"/>
      <c r="BA85" s="3800"/>
      <c r="BB85" s="3800"/>
      <c r="BC85" s="3237"/>
      <c r="BD85" s="3800"/>
      <c r="BE85" s="3237"/>
      <c r="BF85" s="3237"/>
      <c r="BG85" s="3237"/>
      <c r="BH85" s="3237"/>
      <c r="BI85" s="3237"/>
      <c r="BJ85" s="3800"/>
      <c r="BK85" s="3800"/>
      <c r="BL85" s="3800"/>
      <c r="BM85" s="3800"/>
      <c r="BN85" s="3800"/>
      <c r="BO85" s="3800"/>
      <c r="BP85" s="3800"/>
      <c r="BQ85" s="3798"/>
      <c r="BR85" s="3798"/>
      <c r="BS85" s="3798"/>
      <c r="BT85" s="3790"/>
      <c r="BU85" s="3831"/>
    </row>
    <row r="86" spans="1:73" ht="25.5" customHeight="1" x14ac:dyDescent="0.25">
      <c r="A86" s="1620"/>
      <c r="B86" s="1769"/>
      <c r="C86" s="1619"/>
      <c r="D86" s="1769"/>
      <c r="G86" s="3834"/>
      <c r="H86" s="3128"/>
      <c r="I86" s="3834"/>
      <c r="J86" s="3128"/>
      <c r="K86" s="3875"/>
      <c r="L86" s="3128"/>
      <c r="M86" s="3875"/>
      <c r="N86" s="3128"/>
      <c r="O86" s="3891"/>
      <c r="P86" s="3912"/>
      <c r="Q86" s="2267"/>
      <c r="R86" s="2396"/>
      <c r="S86" s="3907"/>
      <c r="T86" s="3855"/>
      <c r="U86" s="2426"/>
      <c r="V86" s="2396"/>
      <c r="W86" s="3154"/>
      <c r="X86" s="1653">
        <v>4126079.04</v>
      </c>
      <c r="Y86" s="1653">
        <v>0</v>
      </c>
      <c r="Z86" s="1653">
        <v>0</v>
      </c>
      <c r="AA86" s="1546" t="s">
        <v>2763</v>
      </c>
      <c r="AB86" s="3816"/>
      <c r="AC86" s="2426"/>
      <c r="AD86" s="3237"/>
      <c r="AE86" s="3237"/>
      <c r="AF86" s="3237"/>
      <c r="AG86" s="3007"/>
      <c r="AH86" s="3765"/>
      <c r="AI86" s="3237"/>
      <c r="AJ86" s="3800"/>
      <c r="AK86" s="3237"/>
      <c r="AL86" s="3800"/>
      <c r="AM86" s="3237"/>
      <c r="AN86" s="3800"/>
      <c r="AO86" s="3237"/>
      <c r="AP86" s="3800"/>
      <c r="AQ86" s="3237"/>
      <c r="AR86" s="3237"/>
      <c r="AS86" s="3237"/>
      <c r="AT86" s="3800"/>
      <c r="AU86" s="3800"/>
      <c r="AV86" s="3800"/>
      <c r="AW86" s="3800"/>
      <c r="AX86" s="3800"/>
      <c r="AY86" s="3800"/>
      <c r="AZ86" s="3800"/>
      <c r="BA86" s="3800"/>
      <c r="BB86" s="3800"/>
      <c r="BC86" s="3237"/>
      <c r="BD86" s="3800"/>
      <c r="BE86" s="3237"/>
      <c r="BF86" s="3237"/>
      <c r="BG86" s="3237"/>
      <c r="BH86" s="3237"/>
      <c r="BI86" s="3237"/>
      <c r="BJ86" s="3800"/>
      <c r="BK86" s="3800"/>
      <c r="BL86" s="3800"/>
      <c r="BM86" s="3800"/>
      <c r="BN86" s="3800"/>
      <c r="BO86" s="3800"/>
      <c r="BP86" s="3800"/>
      <c r="BQ86" s="3798"/>
      <c r="BR86" s="3798"/>
      <c r="BS86" s="3798"/>
      <c r="BT86" s="3790"/>
      <c r="BU86" s="3831"/>
    </row>
    <row r="87" spans="1:73" ht="27" customHeight="1" x14ac:dyDescent="0.25">
      <c r="A87" s="1620"/>
      <c r="B87" s="1769"/>
      <c r="C87" s="1619"/>
      <c r="D87" s="1769"/>
      <c r="G87" s="3834"/>
      <c r="H87" s="3128"/>
      <c r="I87" s="3834"/>
      <c r="J87" s="3128"/>
      <c r="K87" s="3875"/>
      <c r="L87" s="3128"/>
      <c r="M87" s="3875"/>
      <c r="N87" s="3128"/>
      <c r="O87" s="3891"/>
      <c r="P87" s="3912"/>
      <c r="Q87" s="2267"/>
      <c r="R87" s="2396"/>
      <c r="S87" s="3907"/>
      <c r="T87" s="3855"/>
      <c r="U87" s="2426"/>
      <c r="V87" s="2396"/>
      <c r="W87" s="3154"/>
      <c r="X87" s="1653">
        <v>3750692.96</v>
      </c>
      <c r="Y87" s="1653">
        <v>2000000</v>
      </c>
      <c r="Z87" s="1653">
        <v>0</v>
      </c>
      <c r="AA87" s="1546" t="s">
        <v>2764</v>
      </c>
      <c r="AB87" s="3816"/>
      <c r="AC87" s="2426"/>
      <c r="AD87" s="3237"/>
      <c r="AE87" s="3237"/>
      <c r="AF87" s="3237"/>
      <c r="AG87" s="3007"/>
      <c r="AH87" s="3765"/>
      <c r="AI87" s="3237"/>
      <c r="AJ87" s="3800"/>
      <c r="AK87" s="3237"/>
      <c r="AL87" s="3800"/>
      <c r="AM87" s="3237"/>
      <c r="AN87" s="3800"/>
      <c r="AO87" s="3237"/>
      <c r="AP87" s="3800"/>
      <c r="AQ87" s="3237"/>
      <c r="AR87" s="3237"/>
      <c r="AS87" s="3237"/>
      <c r="AT87" s="3800"/>
      <c r="AU87" s="3800"/>
      <c r="AV87" s="3800"/>
      <c r="AW87" s="3800"/>
      <c r="AX87" s="3800"/>
      <c r="AY87" s="3800"/>
      <c r="AZ87" s="3800"/>
      <c r="BA87" s="3800"/>
      <c r="BB87" s="3800"/>
      <c r="BC87" s="3237"/>
      <c r="BD87" s="3800"/>
      <c r="BE87" s="3237"/>
      <c r="BF87" s="3237"/>
      <c r="BG87" s="3237"/>
      <c r="BH87" s="3237"/>
      <c r="BI87" s="3237"/>
      <c r="BJ87" s="3800"/>
      <c r="BK87" s="3800"/>
      <c r="BL87" s="3800"/>
      <c r="BM87" s="3800"/>
      <c r="BN87" s="3800"/>
      <c r="BO87" s="3800"/>
      <c r="BP87" s="3800"/>
      <c r="BQ87" s="3798"/>
      <c r="BR87" s="3798"/>
      <c r="BS87" s="3798"/>
      <c r="BT87" s="3790"/>
      <c r="BU87" s="3831"/>
    </row>
    <row r="88" spans="1:73" ht="34.5" customHeight="1" x14ac:dyDescent="0.25">
      <c r="A88" s="1620"/>
      <c r="B88" s="1769"/>
      <c r="C88" s="1619"/>
      <c r="D88" s="1769"/>
      <c r="G88" s="3868"/>
      <c r="H88" s="3129"/>
      <c r="I88" s="3868"/>
      <c r="J88" s="3129"/>
      <c r="K88" s="3876"/>
      <c r="L88" s="3129"/>
      <c r="M88" s="3876"/>
      <c r="N88" s="3129"/>
      <c r="O88" s="3892"/>
      <c r="P88" s="3913"/>
      <c r="Q88" s="2439"/>
      <c r="R88" s="2396"/>
      <c r="S88" s="3907"/>
      <c r="T88" s="3908"/>
      <c r="U88" s="2427"/>
      <c r="V88" s="2396"/>
      <c r="W88" s="3154"/>
      <c r="X88" s="1653">
        <v>1458778.81</v>
      </c>
      <c r="Y88" s="1653">
        <v>0</v>
      </c>
      <c r="Z88" s="1653">
        <v>0</v>
      </c>
      <c r="AA88" s="1546" t="s">
        <v>2765</v>
      </c>
      <c r="AB88" s="3860"/>
      <c r="AC88" s="2427"/>
      <c r="AD88" s="3238"/>
      <c r="AE88" s="3238"/>
      <c r="AF88" s="3238"/>
      <c r="AG88" s="3008"/>
      <c r="AH88" s="3765"/>
      <c r="AI88" s="3238"/>
      <c r="AJ88" s="3794"/>
      <c r="AK88" s="3238"/>
      <c r="AL88" s="3794"/>
      <c r="AM88" s="3238"/>
      <c r="AN88" s="3794"/>
      <c r="AO88" s="3238"/>
      <c r="AP88" s="3794"/>
      <c r="AQ88" s="3238"/>
      <c r="AR88" s="3238"/>
      <c r="AS88" s="3238"/>
      <c r="AT88" s="3794"/>
      <c r="AU88" s="3794"/>
      <c r="AV88" s="3794"/>
      <c r="AW88" s="3794"/>
      <c r="AX88" s="3794"/>
      <c r="AY88" s="3794"/>
      <c r="AZ88" s="3794"/>
      <c r="BA88" s="3794"/>
      <c r="BB88" s="3794"/>
      <c r="BC88" s="3238"/>
      <c r="BD88" s="3794"/>
      <c r="BE88" s="3238"/>
      <c r="BF88" s="3238"/>
      <c r="BG88" s="3238"/>
      <c r="BH88" s="3238"/>
      <c r="BI88" s="3238"/>
      <c r="BJ88" s="3794"/>
      <c r="BK88" s="3794"/>
      <c r="BL88" s="3794"/>
      <c r="BM88" s="3794"/>
      <c r="BN88" s="3794"/>
      <c r="BO88" s="3794"/>
      <c r="BP88" s="3794"/>
      <c r="BQ88" s="3795"/>
      <c r="BR88" s="3795"/>
      <c r="BS88" s="3795"/>
      <c r="BT88" s="3874"/>
      <c r="BU88" s="3791"/>
    </row>
    <row r="89" spans="1:73" ht="35.25" customHeight="1" x14ac:dyDescent="0.25">
      <c r="A89" s="1620"/>
      <c r="B89" s="1769"/>
      <c r="C89" s="1619"/>
      <c r="D89" s="1769"/>
      <c r="G89" s="3895">
        <v>2201001</v>
      </c>
      <c r="H89" s="3896" t="s">
        <v>791</v>
      </c>
      <c r="I89" s="3895">
        <v>2201001</v>
      </c>
      <c r="J89" s="3896" t="s">
        <v>791</v>
      </c>
      <c r="K89" s="3897">
        <v>220100100</v>
      </c>
      <c r="L89" s="3896" t="s">
        <v>2759</v>
      </c>
      <c r="M89" s="3897">
        <v>220100100</v>
      </c>
      <c r="N89" s="3896" t="s">
        <v>2759</v>
      </c>
      <c r="O89" s="3906">
        <v>5</v>
      </c>
      <c r="P89" s="3906">
        <v>0</v>
      </c>
      <c r="Q89" s="2438" t="s">
        <v>2766</v>
      </c>
      <c r="R89" s="3887" t="s">
        <v>2767</v>
      </c>
      <c r="S89" s="3899">
        <f>SUM(X89:X92)/T89</f>
        <v>0.5</v>
      </c>
      <c r="T89" s="3901">
        <f>SUM(X89:X96)</f>
        <v>18000000</v>
      </c>
      <c r="U89" s="2425" t="s">
        <v>2768</v>
      </c>
      <c r="V89" s="2298" t="s">
        <v>2769</v>
      </c>
      <c r="W89" s="3857" t="s">
        <v>2761</v>
      </c>
      <c r="X89" s="1653">
        <v>598004.28</v>
      </c>
      <c r="Y89" s="1653">
        <v>0</v>
      </c>
      <c r="Z89" s="1653">
        <v>0</v>
      </c>
      <c r="AA89" s="1546" t="s">
        <v>2770</v>
      </c>
      <c r="AB89" s="3859">
        <v>20</v>
      </c>
      <c r="AC89" s="2425" t="s">
        <v>1614</v>
      </c>
      <c r="AD89" s="3799">
        <v>19649</v>
      </c>
      <c r="AE89" s="3799">
        <v>19649</v>
      </c>
      <c r="AF89" s="3799">
        <v>20118</v>
      </c>
      <c r="AG89" s="3111">
        <v>20118</v>
      </c>
      <c r="AH89" s="3799">
        <v>28907</v>
      </c>
      <c r="AI89" s="3799">
        <v>28907</v>
      </c>
      <c r="AJ89" s="3799">
        <v>9525</v>
      </c>
      <c r="AK89" s="3799">
        <v>9525</v>
      </c>
      <c r="AL89" s="3799">
        <v>1222</v>
      </c>
      <c r="AM89" s="3799">
        <v>1222</v>
      </c>
      <c r="AN89" s="3799">
        <v>113</v>
      </c>
      <c r="AO89" s="3799">
        <v>113</v>
      </c>
      <c r="AP89" s="3799">
        <v>297</v>
      </c>
      <c r="AQ89" s="3799">
        <v>297</v>
      </c>
      <c r="AR89" s="3799">
        <v>345</v>
      </c>
      <c r="AS89" s="3799">
        <v>345</v>
      </c>
      <c r="AT89" s="3799">
        <v>0</v>
      </c>
      <c r="AU89" s="3799"/>
      <c r="AV89" s="3799">
        <v>0</v>
      </c>
      <c r="AW89" s="3799"/>
      <c r="AX89" s="3799">
        <v>0</v>
      </c>
      <c r="AY89" s="3799"/>
      <c r="AZ89" s="3799">
        <v>0</v>
      </c>
      <c r="BA89" s="3799"/>
      <c r="BB89" s="3799">
        <v>3301</v>
      </c>
      <c r="BC89" s="3799">
        <v>3301</v>
      </c>
      <c r="BD89" s="3799">
        <v>2507</v>
      </c>
      <c r="BE89" s="3799">
        <v>2507</v>
      </c>
      <c r="BF89" s="3799">
        <v>113</v>
      </c>
      <c r="BG89" s="3799">
        <v>113</v>
      </c>
      <c r="BH89" s="3236">
        <f>+AD89+AF89</f>
        <v>39767</v>
      </c>
      <c r="BI89" s="3799">
        <v>39767</v>
      </c>
      <c r="BJ89" s="3799"/>
      <c r="BK89" s="3799">
        <f>SUM(Y89:Y96)</f>
        <v>0</v>
      </c>
      <c r="BL89" s="3799">
        <f>SUM(Z89:Z96)</f>
        <v>0</v>
      </c>
      <c r="BM89" s="3799"/>
      <c r="BN89" s="3799"/>
      <c r="BO89" s="3799"/>
      <c r="BP89" s="3799"/>
      <c r="BQ89" s="3796">
        <v>44198</v>
      </c>
      <c r="BR89" s="3796"/>
      <c r="BS89" s="3796">
        <v>44560</v>
      </c>
      <c r="BT89" s="3829"/>
      <c r="BU89" s="3792" t="s">
        <v>2590</v>
      </c>
    </row>
    <row r="90" spans="1:73" ht="35.25" customHeight="1" x14ac:dyDescent="0.25">
      <c r="A90" s="1620"/>
      <c r="B90" s="1769"/>
      <c r="C90" s="1619"/>
      <c r="D90" s="1769"/>
      <c r="G90" s="3834"/>
      <c r="H90" s="3128"/>
      <c r="I90" s="3834"/>
      <c r="J90" s="3128"/>
      <c r="K90" s="3875"/>
      <c r="L90" s="3128"/>
      <c r="M90" s="3875"/>
      <c r="N90" s="3128"/>
      <c r="O90" s="3891"/>
      <c r="P90" s="3891"/>
      <c r="Q90" s="2267"/>
      <c r="R90" s="3888"/>
      <c r="S90" s="3899"/>
      <c r="T90" s="3902"/>
      <c r="U90" s="2426"/>
      <c r="V90" s="2298"/>
      <c r="W90" s="3857"/>
      <c r="X90" s="1653">
        <v>3713471.13</v>
      </c>
      <c r="Y90" s="1653">
        <v>0</v>
      </c>
      <c r="Z90" s="1653">
        <v>0</v>
      </c>
      <c r="AA90" s="1546" t="s">
        <v>2771</v>
      </c>
      <c r="AB90" s="3816"/>
      <c r="AC90" s="2426"/>
      <c r="AD90" s="3800"/>
      <c r="AE90" s="3800"/>
      <c r="AF90" s="3800"/>
      <c r="AG90" s="3112"/>
      <c r="AH90" s="3800"/>
      <c r="AI90" s="3800"/>
      <c r="AJ90" s="3800"/>
      <c r="AK90" s="3800"/>
      <c r="AL90" s="3800"/>
      <c r="AM90" s="3800"/>
      <c r="AN90" s="3800"/>
      <c r="AO90" s="3800"/>
      <c r="AP90" s="3800"/>
      <c r="AQ90" s="3800"/>
      <c r="AR90" s="3800"/>
      <c r="AS90" s="3800"/>
      <c r="AT90" s="3800"/>
      <c r="AU90" s="3800"/>
      <c r="AV90" s="3800"/>
      <c r="AW90" s="3800"/>
      <c r="AX90" s="3800"/>
      <c r="AY90" s="3800"/>
      <c r="AZ90" s="3800"/>
      <c r="BA90" s="3800"/>
      <c r="BB90" s="3800"/>
      <c r="BC90" s="3800"/>
      <c r="BD90" s="3800"/>
      <c r="BE90" s="3800"/>
      <c r="BF90" s="3800"/>
      <c r="BG90" s="3800"/>
      <c r="BH90" s="3237"/>
      <c r="BI90" s="3800"/>
      <c r="BJ90" s="3800"/>
      <c r="BK90" s="3800"/>
      <c r="BL90" s="3800"/>
      <c r="BM90" s="3800"/>
      <c r="BN90" s="3800"/>
      <c r="BO90" s="3800"/>
      <c r="BP90" s="3800"/>
      <c r="BQ90" s="3798"/>
      <c r="BR90" s="3798"/>
      <c r="BS90" s="3798"/>
      <c r="BT90" s="3790"/>
      <c r="BU90" s="3831"/>
    </row>
    <row r="91" spans="1:73" ht="35.25" customHeight="1" x14ac:dyDescent="0.25">
      <c r="A91" s="1620"/>
      <c r="B91" s="1769"/>
      <c r="C91" s="1619"/>
      <c r="D91" s="1769"/>
      <c r="G91" s="3834"/>
      <c r="H91" s="3128"/>
      <c r="I91" s="3834"/>
      <c r="J91" s="3128"/>
      <c r="K91" s="3875"/>
      <c r="L91" s="3128"/>
      <c r="M91" s="3875"/>
      <c r="N91" s="3128"/>
      <c r="O91" s="3891"/>
      <c r="P91" s="3891"/>
      <c r="Q91" s="2267"/>
      <c r="R91" s="3888"/>
      <c r="S91" s="3899"/>
      <c r="T91" s="3902"/>
      <c r="U91" s="2426"/>
      <c r="V91" s="2298"/>
      <c r="W91" s="3857"/>
      <c r="X91" s="1653">
        <v>3375623.66</v>
      </c>
      <c r="Y91" s="1653">
        <v>0</v>
      </c>
      <c r="Z91" s="1653">
        <v>0</v>
      </c>
      <c r="AA91" s="1546" t="s">
        <v>2772</v>
      </c>
      <c r="AB91" s="3816"/>
      <c r="AC91" s="2426"/>
      <c r="AD91" s="3800"/>
      <c r="AE91" s="3800"/>
      <c r="AF91" s="3800"/>
      <c r="AG91" s="3112"/>
      <c r="AH91" s="3800"/>
      <c r="AI91" s="3800"/>
      <c r="AJ91" s="3800"/>
      <c r="AK91" s="3800"/>
      <c r="AL91" s="3800"/>
      <c r="AM91" s="3800"/>
      <c r="AN91" s="3800"/>
      <c r="AO91" s="3800"/>
      <c r="AP91" s="3800"/>
      <c r="AQ91" s="3800"/>
      <c r="AR91" s="3800"/>
      <c r="AS91" s="3800"/>
      <c r="AT91" s="3800"/>
      <c r="AU91" s="3800"/>
      <c r="AV91" s="3800"/>
      <c r="AW91" s="3800"/>
      <c r="AX91" s="3800"/>
      <c r="AY91" s="3800"/>
      <c r="AZ91" s="3800"/>
      <c r="BA91" s="3800"/>
      <c r="BB91" s="3800"/>
      <c r="BC91" s="3800"/>
      <c r="BD91" s="3800"/>
      <c r="BE91" s="3800"/>
      <c r="BF91" s="3800"/>
      <c r="BG91" s="3800"/>
      <c r="BH91" s="3237"/>
      <c r="BI91" s="3800"/>
      <c r="BJ91" s="3800"/>
      <c r="BK91" s="3800"/>
      <c r="BL91" s="3800"/>
      <c r="BM91" s="3800"/>
      <c r="BN91" s="3800"/>
      <c r="BO91" s="3800"/>
      <c r="BP91" s="3800"/>
      <c r="BQ91" s="3798"/>
      <c r="BR91" s="3798"/>
      <c r="BS91" s="3798"/>
      <c r="BT91" s="3790"/>
      <c r="BU91" s="3831"/>
    </row>
    <row r="92" spans="1:73" ht="35.25" customHeight="1" x14ac:dyDescent="0.25">
      <c r="A92" s="1620"/>
      <c r="B92" s="1769"/>
      <c r="C92" s="1619"/>
      <c r="D92" s="1769"/>
      <c r="G92" s="3868"/>
      <c r="H92" s="3129"/>
      <c r="I92" s="3868"/>
      <c r="J92" s="3129"/>
      <c r="K92" s="3876"/>
      <c r="L92" s="3129"/>
      <c r="M92" s="3876"/>
      <c r="N92" s="3129"/>
      <c r="O92" s="3892"/>
      <c r="P92" s="3892"/>
      <c r="Q92" s="2267"/>
      <c r="R92" s="3888"/>
      <c r="S92" s="3900"/>
      <c r="T92" s="3902"/>
      <c r="U92" s="2426"/>
      <c r="V92" s="2298"/>
      <c r="W92" s="3858"/>
      <c r="X92" s="1789">
        <v>1312900.93</v>
      </c>
      <c r="Y92" s="1789">
        <v>0</v>
      </c>
      <c r="Z92" s="1789">
        <v>0</v>
      </c>
      <c r="AA92" s="1546" t="s">
        <v>2773</v>
      </c>
      <c r="AB92" s="3860"/>
      <c r="AC92" s="2427"/>
      <c r="AD92" s="3800"/>
      <c r="AE92" s="3800"/>
      <c r="AF92" s="3800"/>
      <c r="AG92" s="3112"/>
      <c r="AH92" s="3800"/>
      <c r="AI92" s="3800"/>
      <c r="AJ92" s="3800"/>
      <c r="AK92" s="3800"/>
      <c r="AL92" s="3800"/>
      <c r="AM92" s="3800"/>
      <c r="AN92" s="3800"/>
      <c r="AO92" s="3800"/>
      <c r="AP92" s="3800"/>
      <c r="AQ92" s="3800"/>
      <c r="AR92" s="3800"/>
      <c r="AS92" s="3800"/>
      <c r="AT92" s="3800"/>
      <c r="AU92" s="3800"/>
      <c r="AV92" s="3800"/>
      <c r="AW92" s="3800"/>
      <c r="AX92" s="3800"/>
      <c r="AY92" s="3800"/>
      <c r="AZ92" s="3800"/>
      <c r="BA92" s="3800"/>
      <c r="BB92" s="3800"/>
      <c r="BC92" s="3800"/>
      <c r="BD92" s="3800"/>
      <c r="BE92" s="3800"/>
      <c r="BF92" s="3800"/>
      <c r="BG92" s="3800"/>
      <c r="BH92" s="3237"/>
      <c r="BI92" s="3800"/>
      <c r="BJ92" s="3800"/>
      <c r="BK92" s="3800"/>
      <c r="BL92" s="3800"/>
      <c r="BM92" s="3800"/>
      <c r="BN92" s="3800"/>
      <c r="BO92" s="3800"/>
      <c r="BP92" s="3800"/>
      <c r="BQ92" s="3798"/>
      <c r="BR92" s="3798"/>
      <c r="BS92" s="3798"/>
      <c r="BT92" s="3790"/>
      <c r="BU92" s="3831"/>
    </row>
    <row r="93" spans="1:73" ht="35.25" customHeight="1" x14ac:dyDescent="0.25">
      <c r="A93" s="1620"/>
      <c r="B93" s="1769"/>
      <c r="C93" s="1619"/>
      <c r="D93" s="1769"/>
      <c r="G93" s="3895">
        <v>2201048</v>
      </c>
      <c r="H93" s="3896" t="s">
        <v>2774</v>
      </c>
      <c r="I93" s="3895">
        <v>2201048</v>
      </c>
      <c r="J93" s="3896" t="s">
        <v>2774</v>
      </c>
      <c r="K93" s="3897">
        <v>220104801</v>
      </c>
      <c r="L93" s="3896" t="s">
        <v>2775</v>
      </c>
      <c r="M93" s="3897">
        <v>220104801</v>
      </c>
      <c r="N93" s="3896" t="s">
        <v>2775</v>
      </c>
      <c r="O93" s="3906">
        <v>1</v>
      </c>
      <c r="P93" s="3906">
        <v>0</v>
      </c>
      <c r="Q93" s="2267"/>
      <c r="R93" s="3888"/>
      <c r="S93" s="3904">
        <f>SUM(X93:X96)/T89</f>
        <v>0.5</v>
      </c>
      <c r="T93" s="3902"/>
      <c r="U93" s="2426"/>
      <c r="V93" s="2298" t="s">
        <v>2776</v>
      </c>
      <c r="W93" s="3905" t="s">
        <v>2777</v>
      </c>
      <c r="X93" s="1653">
        <v>598004.28</v>
      </c>
      <c r="Y93" s="1653">
        <v>0</v>
      </c>
      <c r="Z93" s="1653">
        <v>0</v>
      </c>
      <c r="AA93" s="1546" t="s">
        <v>2778</v>
      </c>
      <c r="AB93" s="3859">
        <v>20</v>
      </c>
      <c r="AC93" s="2425" t="s">
        <v>1614</v>
      </c>
      <c r="AD93" s="3800"/>
      <c r="AE93" s="3800"/>
      <c r="AF93" s="3800"/>
      <c r="AG93" s="3112"/>
      <c r="AH93" s="3800"/>
      <c r="AI93" s="3800"/>
      <c r="AJ93" s="3800"/>
      <c r="AK93" s="3800"/>
      <c r="AL93" s="3800"/>
      <c r="AM93" s="3800"/>
      <c r="AN93" s="3800"/>
      <c r="AO93" s="3800"/>
      <c r="AP93" s="3800"/>
      <c r="AQ93" s="3800"/>
      <c r="AR93" s="3800"/>
      <c r="AS93" s="3800"/>
      <c r="AT93" s="3800"/>
      <c r="AU93" s="3800"/>
      <c r="AV93" s="3800"/>
      <c r="AW93" s="3800"/>
      <c r="AX93" s="3800"/>
      <c r="AY93" s="3800"/>
      <c r="AZ93" s="3800"/>
      <c r="BA93" s="3800"/>
      <c r="BB93" s="3800"/>
      <c r="BC93" s="3800"/>
      <c r="BD93" s="3800"/>
      <c r="BE93" s="3800"/>
      <c r="BF93" s="3800"/>
      <c r="BG93" s="3800"/>
      <c r="BH93" s="3237"/>
      <c r="BI93" s="3800"/>
      <c r="BJ93" s="3800"/>
      <c r="BK93" s="3800"/>
      <c r="BL93" s="3800"/>
      <c r="BM93" s="3800"/>
      <c r="BN93" s="3800"/>
      <c r="BO93" s="3800"/>
      <c r="BP93" s="3800"/>
      <c r="BQ93" s="3798"/>
      <c r="BR93" s="3798"/>
      <c r="BS93" s="3798"/>
      <c r="BT93" s="3790"/>
      <c r="BU93" s="3831"/>
    </row>
    <row r="94" spans="1:73" ht="35.25" customHeight="1" x14ac:dyDescent="0.25">
      <c r="A94" s="1620"/>
      <c r="B94" s="1769"/>
      <c r="C94" s="1619"/>
      <c r="D94" s="1769"/>
      <c r="G94" s="3834"/>
      <c r="H94" s="3128"/>
      <c r="I94" s="3834"/>
      <c r="J94" s="3128"/>
      <c r="K94" s="3875"/>
      <c r="L94" s="3128"/>
      <c r="M94" s="3875"/>
      <c r="N94" s="3128"/>
      <c r="O94" s="3891"/>
      <c r="P94" s="3891"/>
      <c r="Q94" s="2267"/>
      <c r="R94" s="3888"/>
      <c r="S94" s="3899"/>
      <c r="T94" s="3902"/>
      <c r="U94" s="2426"/>
      <c r="V94" s="2298"/>
      <c r="W94" s="3857"/>
      <c r="X94" s="1653">
        <v>3713471.13</v>
      </c>
      <c r="Y94" s="1653">
        <v>0</v>
      </c>
      <c r="Z94" s="1653">
        <v>0</v>
      </c>
      <c r="AA94" s="1546" t="s">
        <v>2779</v>
      </c>
      <c r="AB94" s="3816"/>
      <c r="AC94" s="2426"/>
      <c r="AD94" s="3800"/>
      <c r="AE94" s="3800"/>
      <c r="AF94" s="3800"/>
      <c r="AG94" s="3112"/>
      <c r="AH94" s="3800"/>
      <c r="AI94" s="3800"/>
      <c r="AJ94" s="3800"/>
      <c r="AK94" s="3800"/>
      <c r="AL94" s="3800"/>
      <c r="AM94" s="3800"/>
      <c r="AN94" s="3800"/>
      <c r="AO94" s="3800"/>
      <c r="AP94" s="3800"/>
      <c r="AQ94" s="3800"/>
      <c r="AR94" s="3800"/>
      <c r="AS94" s="3800"/>
      <c r="AT94" s="3800"/>
      <c r="AU94" s="3800"/>
      <c r="AV94" s="3800"/>
      <c r="AW94" s="3800"/>
      <c r="AX94" s="3800"/>
      <c r="AY94" s="3800"/>
      <c r="AZ94" s="3800"/>
      <c r="BA94" s="3800"/>
      <c r="BB94" s="3800"/>
      <c r="BC94" s="3800"/>
      <c r="BD94" s="3800"/>
      <c r="BE94" s="3800"/>
      <c r="BF94" s="3800"/>
      <c r="BG94" s="3800"/>
      <c r="BH94" s="3237"/>
      <c r="BI94" s="3800"/>
      <c r="BJ94" s="3800"/>
      <c r="BK94" s="3800"/>
      <c r="BL94" s="3800"/>
      <c r="BM94" s="3800"/>
      <c r="BN94" s="3800"/>
      <c r="BO94" s="3800"/>
      <c r="BP94" s="3800"/>
      <c r="BQ94" s="3798"/>
      <c r="BR94" s="3798"/>
      <c r="BS94" s="3798"/>
      <c r="BT94" s="3790"/>
      <c r="BU94" s="3831"/>
    </row>
    <row r="95" spans="1:73" ht="35.25" customHeight="1" x14ac:dyDescent="0.25">
      <c r="A95" s="1620"/>
      <c r="B95" s="1769"/>
      <c r="C95" s="1619"/>
      <c r="D95" s="1769"/>
      <c r="G95" s="3834"/>
      <c r="H95" s="3128"/>
      <c r="I95" s="3834"/>
      <c r="J95" s="3128"/>
      <c r="K95" s="3875"/>
      <c r="L95" s="3128"/>
      <c r="M95" s="3875"/>
      <c r="N95" s="3128"/>
      <c r="O95" s="3891"/>
      <c r="P95" s="3891"/>
      <c r="Q95" s="2267"/>
      <c r="R95" s="3888"/>
      <c r="S95" s="3899"/>
      <c r="T95" s="3902"/>
      <c r="U95" s="2426"/>
      <c r="V95" s="2298"/>
      <c r="W95" s="3857"/>
      <c r="X95" s="1653">
        <v>3375623.66</v>
      </c>
      <c r="Y95" s="1653">
        <v>0</v>
      </c>
      <c r="Z95" s="1653">
        <v>0</v>
      </c>
      <c r="AA95" s="1546" t="s">
        <v>2780</v>
      </c>
      <c r="AB95" s="3816"/>
      <c r="AC95" s="2426"/>
      <c r="AD95" s="3800"/>
      <c r="AE95" s="3800"/>
      <c r="AF95" s="3800"/>
      <c r="AG95" s="3112"/>
      <c r="AH95" s="3800"/>
      <c r="AI95" s="3800"/>
      <c r="AJ95" s="3800"/>
      <c r="AK95" s="3800"/>
      <c r="AL95" s="3800"/>
      <c r="AM95" s="3800"/>
      <c r="AN95" s="3800"/>
      <c r="AO95" s="3800"/>
      <c r="AP95" s="3800"/>
      <c r="AQ95" s="3800"/>
      <c r="AR95" s="3800"/>
      <c r="AS95" s="3800"/>
      <c r="AT95" s="3800"/>
      <c r="AU95" s="3800"/>
      <c r="AV95" s="3800"/>
      <c r="AW95" s="3800"/>
      <c r="AX95" s="3800"/>
      <c r="AY95" s="3800"/>
      <c r="AZ95" s="3800"/>
      <c r="BA95" s="3800"/>
      <c r="BB95" s="3800"/>
      <c r="BC95" s="3800"/>
      <c r="BD95" s="3800"/>
      <c r="BE95" s="3800"/>
      <c r="BF95" s="3800"/>
      <c r="BG95" s="3800"/>
      <c r="BH95" s="3237"/>
      <c r="BI95" s="3800"/>
      <c r="BJ95" s="3800"/>
      <c r="BK95" s="3800"/>
      <c r="BL95" s="3800"/>
      <c r="BM95" s="3800"/>
      <c r="BN95" s="3800"/>
      <c r="BO95" s="3800"/>
      <c r="BP95" s="3800"/>
      <c r="BQ95" s="3798"/>
      <c r="BR95" s="3798"/>
      <c r="BS95" s="3798"/>
      <c r="BT95" s="3790"/>
      <c r="BU95" s="3831"/>
    </row>
    <row r="96" spans="1:73" ht="35.25" customHeight="1" x14ac:dyDescent="0.25">
      <c r="A96" s="1620"/>
      <c r="B96" s="1769"/>
      <c r="C96" s="1619"/>
      <c r="D96" s="1769"/>
      <c r="G96" s="3868"/>
      <c r="H96" s="3129"/>
      <c r="I96" s="3868"/>
      <c r="J96" s="3129"/>
      <c r="K96" s="3876"/>
      <c r="L96" s="3129"/>
      <c r="M96" s="3876"/>
      <c r="N96" s="3129"/>
      <c r="O96" s="3892"/>
      <c r="P96" s="3892"/>
      <c r="Q96" s="2439"/>
      <c r="R96" s="3889"/>
      <c r="S96" s="3900"/>
      <c r="T96" s="3903"/>
      <c r="U96" s="2427"/>
      <c r="V96" s="2298"/>
      <c r="W96" s="3858"/>
      <c r="X96" s="1653">
        <v>1312900.93</v>
      </c>
      <c r="Y96" s="1653">
        <v>0</v>
      </c>
      <c r="Z96" s="1653">
        <v>0</v>
      </c>
      <c r="AA96" s="1546" t="s">
        <v>2781</v>
      </c>
      <c r="AB96" s="3860"/>
      <c r="AC96" s="2427"/>
      <c r="AD96" s="3794"/>
      <c r="AE96" s="3794"/>
      <c r="AF96" s="3794"/>
      <c r="AG96" s="3898"/>
      <c r="AH96" s="3794"/>
      <c r="AI96" s="3794"/>
      <c r="AJ96" s="3794"/>
      <c r="AK96" s="3794"/>
      <c r="AL96" s="3794"/>
      <c r="AM96" s="3794"/>
      <c r="AN96" s="3794"/>
      <c r="AO96" s="3794"/>
      <c r="AP96" s="3794"/>
      <c r="AQ96" s="3794"/>
      <c r="AR96" s="3794"/>
      <c r="AS96" s="3794"/>
      <c r="AT96" s="3794"/>
      <c r="AU96" s="3794"/>
      <c r="AV96" s="3794"/>
      <c r="AW96" s="3794"/>
      <c r="AX96" s="3794"/>
      <c r="AY96" s="3794"/>
      <c r="AZ96" s="3794"/>
      <c r="BA96" s="3794"/>
      <c r="BB96" s="3794"/>
      <c r="BC96" s="3794"/>
      <c r="BD96" s="3794"/>
      <c r="BE96" s="3794"/>
      <c r="BF96" s="3794"/>
      <c r="BG96" s="3794"/>
      <c r="BH96" s="3238"/>
      <c r="BI96" s="3794"/>
      <c r="BJ96" s="3794"/>
      <c r="BK96" s="3794"/>
      <c r="BL96" s="3794"/>
      <c r="BM96" s="3794"/>
      <c r="BN96" s="3794"/>
      <c r="BO96" s="3794"/>
      <c r="BP96" s="3794"/>
      <c r="BQ96" s="3795"/>
      <c r="BR96" s="3795"/>
      <c r="BS96" s="3795"/>
      <c r="BT96" s="3874"/>
      <c r="BU96" s="3791"/>
    </row>
    <row r="97" spans="1:73" ht="37.5" customHeight="1" x14ac:dyDescent="0.25">
      <c r="A97" s="1620"/>
      <c r="B97" s="1769"/>
      <c r="C97" s="1619"/>
      <c r="D97" s="1769"/>
      <c r="G97" s="3833">
        <v>2201034</v>
      </c>
      <c r="H97" s="3732" t="s">
        <v>2782</v>
      </c>
      <c r="I97" s="3833">
        <v>2201034</v>
      </c>
      <c r="J97" s="3732" t="s">
        <v>2782</v>
      </c>
      <c r="K97" s="3871">
        <v>220103400</v>
      </c>
      <c r="L97" s="2261" t="s">
        <v>2783</v>
      </c>
      <c r="M97" s="3871">
        <v>220103400</v>
      </c>
      <c r="N97" s="2261" t="s">
        <v>2783</v>
      </c>
      <c r="O97" s="3884">
        <v>5500</v>
      </c>
      <c r="P97" s="3884">
        <v>0</v>
      </c>
      <c r="Q97" s="2438" t="s">
        <v>2784</v>
      </c>
      <c r="R97" s="3887" t="s">
        <v>2785</v>
      </c>
      <c r="S97" s="3877">
        <f>SUM(X97:X100)/T97</f>
        <v>0.3333333326666667</v>
      </c>
      <c r="T97" s="3880">
        <f>SUM(X97:X108)</f>
        <v>29999999.999999996</v>
      </c>
      <c r="U97" s="2425" t="s">
        <v>2786</v>
      </c>
      <c r="V97" s="2299" t="s">
        <v>2787</v>
      </c>
      <c r="W97" s="3881" t="s">
        <v>2788</v>
      </c>
      <c r="X97" s="1653">
        <v>664449.17000000004</v>
      </c>
      <c r="Y97" s="1653">
        <v>0</v>
      </c>
      <c r="Z97" s="1653">
        <v>0</v>
      </c>
      <c r="AA97" s="1546" t="s">
        <v>2789</v>
      </c>
      <c r="AB97" s="3859">
        <v>20</v>
      </c>
      <c r="AC97" s="2425" t="s">
        <v>1614</v>
      </c>
      <c r="AD97" s="3799">
        <v>19649</v>
      </c>
      <c r="AE97" s="3799">
        <v>19649</v>
      </c>
      <c r="AF97" s="3799">
        <v>20118</v>
      </c>
      <c r="AG97" s="3148">
        <v>20118</v>
      </c>
      <c r="AH97" s="3799">
        <v>28907</v>
      </c>
      <c r="AI97" s="3799">
        <v>28907</v>
      </c>
      <c r="AJ97" s="3799">
        <v>9525</v>
      </c>
      <c r="AK97" s="3799">
        <v>9525</v>
      </c>
      <c r="AL97" s="3799">
        <v>1222</v>
      </c>
      <c r="AM97" s="3799">
        <v>1222</v>
      </c>
      <c r="AN97" s="3799">
        <v>113</v>
      </c>
      <c r="AO97" s="3799">
        <v>113</v>
      </c>
      <c r="AP97" s="3799">
        <v>297</v>
      </c>
      <c r="AQ97" s="3799">
        <v>297</v>
      </c>
      <c r="AR97" s="3799">
        <v>345</v>
      </c>
      <c r="AS97" s="3799">
        <v>345</v>
      </c>
      <c r="AT97" s="3799">
        <v>0</v>
      </c>
      <c r="AU97" s="3799">
        <v>0</v>
      </c>
      <c r="AV97" s="3799">
        <v>0</v>
      </c>
      <c r="AW97" s="3799">
        <v>0</v>
      </c>
      <c r="AX97" s="3799">
        <v>0</v>
      </c>
      <c r="AY97" s="3799">
        <v>0</v>
      </c>
      <c r="AZ97" s="3799">
        <v>0</v>
      </c>
      <c r="BA97" s="3799">
        <v>0</v>
      </c>
      <c r="BB97" s="3799">
        <v>3301</v>
      </c>
      <c r="BC97" s="3799">
        <v>3301</v>
      </c>
      <c r="BD97" s="3799">
        <v>2507</v>
      </c>
      <c r="BE97" s="3799">
        <v>2507</v>
      </c>
      <c r="BF97" s="3799">
        <v>113</v>
      </c>
      <c r="BG97" s="3799">
        <v>113</v>
      </c>
      <c r="BH97" s="3236">
        <f>+AD97+AF97</f>
        <v>39767</v>
      </c>
      <c r="BI97" s="3236">
        <f>+AE97+AG97</f>
        <v>39767</v>
      </c>
      <c r="BJ97" s="3799"/>
      <c r="BK97" s="3799">
        <f>SUM(Y97:Y108)</f>
        <v>0</v>
      </c>
      <c r="BL97" s="3799">
        <f>SUM(Z97:Z108)</f>
        <v>0</v>
      </c>
      <c r="BM97" s="3799"/>
      <c r="BN97" s="3799"/>
      <c r="BO97" s="3799"/>
      <c r="BP97" s="3799"/>
      <c r="BQ97" s="3796">
        <v>44198</v>
      </c>
      <c r="BR97" s="3796"/>
      <c r="BS97" s="3796">
        <v>44560</v>
      </c>
      <c r="BT97" s="3829"/>
      <c r="BU97" s="3792" t="s">
        <v>2590</v>
      </c>
    </row>
    <row r="98" spans="1:73" ht="47.25" customHeight="1" x14ac:dyDescent="0.25">
      <c r="A98" s="1620"/>
      <c r="B98" s="1769"/>
      <c r="C98" s="1619"/>
      <c r="D98" s="1769"/>
      <c r="G98" s="3834"/>
      <c r="H98" s="3128"/>
      <c r="I98" s="3834"/>
      <c r="J98" s="3128"/>
      <c r="K98" s="3872"/>
      <c r="L98" s="2262"/>
      <c r="M98" s="3872"/>
      <c r="N98" s="2262"/>
      <c r="O98" s="3885"/>
      <c r="P98" s="3885"/>
      <c r="Q98" s="2267"/>
      <c r="R98" s="3888"/>
      <c r="S98" s="3878"/>
      <c r="T98" s="3880"/>
      <c r="U98" s="2426"/>
      <c r="V98" s="2787"/>
      <c r="W98" s="3882"/>
      <c r="X98" s="1653">
        <v>4126079.04</v>
      </c>
      <c r="Y98" s="1653">
        <v>0</v>
      </c>
      <c r="Z98" s="1653">
        <v>0</v>
      </c>
      <c r="AA98" s="1546" t="s">
        <v>2790</v>
      </c>
      <c r="AB98" s="3816"/>
      <c r="AC98" s="2426"/>
      <c r="AD98" s="3800"/>
      <c r="AE98" s="3800"/>
      <c r="AF98" s="3800"/>
      <c r="AG98" s="3148"/>
      <c r="AH98" s="3800"/>
      <c r="AI98" s="3800"/>
      <c r="AJ98" s="3800"/>
      <c r="AK98" s="3800"/>
      <c r="AL98" s="3800"/>
      <c r="AM98" s="3800"/>
      <c r="AN98" s="3800"/>
      <c r="AO98" s="3800"/>
      <c r="AP98" s="3800"/>
      <c r="AQ98" s="3800"/>
      <c r="AR98" s="3800"/>
      <c r="AS98" s="3800"/>
      <c r="AT98" s="3800"/>
      <c r="AU98" s="3800"/>
      <c r="AV98" s="3800"/>
      <c r="AW98" s="3800"/>
      <c r="AX98" s="3800"/>
      <c r="AY98" s="3800"/>
      <c r="AZ98" s="3800"/>
      <c r="BA98" s="3800"/>
      <c r="BB98" s="3800"/>
      <c r="BC98" s="3800"/>
      <c r="BD98" s="3800"/>
      <c r="BE98" s="3800"/>
      <c r="BF98" s="3800"/>
      <c r="BG98" s="3800"/>
      <c r="BH98" s="3237"/>
      <c r="BI98" s="3237"/>
      <c r="BJ98" s="3800"/>
      <c r="BK98" s="3800"/>
      <c r="BL98" s="3800"/>
      <c r="BM98" s="3800"/>
      <c r="BN98" s="3800"/>
      <c r="BO98" s="3800"/>
      <c r="BP98" s="3800"/>
      <c r="BQ98" s="3798"/>
      <c r="BR98" s="3798"/>
      <c r="BS98" s="3798"/>
      <c r="BT98" s="3790"/>
      <c r="BU98" s="3831"/>
    </row>
    <row r="99" spans="1:73" ht="24.75" customHeight="1" x14ac:dyDescent="0.25">
      <c r="A99" s="1620"/>
      <c r="B99" s="1769"/>
      <c r="C99" s="1619"/>
      <c r="D99" s="1769"/>
      <c r="G99" s="3834"/>
      <c r="H99" s="3128"/>
      <c r="I99" s="3834"/>
      <c r="J99" s="3128"/>
      <c r="K99" s="3872"/>
      <c r="L99" s="2262"/>
      <c r="M99" s="3872"/>
      <c r="N99" s="2262"/>
      <c r="O99" s="3885"/>
      <c r="P99" s="3885"/>
      <c r="Q99" s="2267"/>
      <c r="R99" s="3888"/>
      <c r="S99" s="3878"/>
      <c r="T99" s="3880"/>
      <c r="U99" s="2426"/>
      <c r="V99" s="2787"/>
      <c r="W99" s="3882"/>
      <c r="X99" s="1653">
        <v>3750692.96</v>
      </c>
      <c r="Y99" s="1653">
        <v>0</v>
      </c>
      <c r="Z99" s="1653">
        <v>0</v>
      </c>
      <c r="AA99" s="1546" t="s">
        <v>2791</v>
      </c>
      <c r="AB99" s="3816"/>
      <c r="AC99" s="2426"/>
      <c r="AD99" s="3800"/>
      <c r="AE99" s="3800"/>
      <c r="AF99" s="3800"/>
      <c r="AG99" s="3148"/>
      <c r="AH99" s="3800"/>
      <c r="AI99" s="3800"/>
      <c r="AJ99" s="3800"/>
      <c r="AK99" s="3800"/>
      <c r="AL99" s="3800"/>
      <c r="AM99" s="3800"/>
      <c r="AN99" s="3800"/>
      <c r="AO99" s="3800"/>
      <c r="AP99" s="3800"/>
      <c r="AQ99" s="3800"/>
      <c r="AR99" s="3800"/>
      <c r="AS99" s="3800"/>
      <c r="AT99" s="3800"/>
      <c r="AU99" s="3800"/>
      <c r="AV99" s="3800"/>
      <c r="AW99" s="3800"/>
      <c r="AX99" s="3800"/>
      <c r="AY99" s="3800"/>
      <c r="AZ99" s="3800"/>
      <c r="BA99" s="3800"/>
      <c r="BB99" s="3800"/>
      <c r="BC99" s="3800"/>
      <c r="BD99" s="3800"/>
      <c r="BE99" s="3800"/>
      <c r="BF99" s="3800"/>
      <c r="BG99" s="3800"/>
      <c r="BH99" s="3237"/>
      <c r="BI99" s="3237"/>
      <c r="BJ99" s="3800"/>
      <c r="BK99" s="3800"/>
      <c r="BL99" s="3800"/>
      <c r="BM99" s="3800"/>
      <c r="BN99" s="3800"/>
      <c r="BO99" s="3800"/>
      <c r="BP99" s="3800"/>
      <c r="BQ99" s="3798"/>
      <c r="BR99" s="3798"/>
      <c r="BS99" s="3798"/>
      <c r="BT99" s="3790"/>
      <c r="BU99" s="3831"/>
    </row>
    <row r="100" spans="1:73" ht="26.25" customHeight="1" x14ac:dyDescent="0.25">
      <c r="A100" s="1620"/>
      <c r="B100" s="1769"/>
      <c r="C100" s="1619"/>
      <c r="D100" s="1769"/>
      <c r="G100" s="3868"/>
      <c r="H100" s="3129"/>
      <c r="I100" s="3868"/>
      <c r="J100" s="3129"/>
      <c r="K100" s="3873"/>
      <c r="L100" s="3264"/>
      <c r="M100" s="3873"/>
      <c r="N100" s="3264"/>
      <c r="O100" s="3886"/>
      <c r="P100" s="3886"/>
      <c r="Q100" s="2267"/>
      <c r="R100" s="3888"/>
      <c r="S100" s="3879"/>
      <c r="T100" s="3880"/>
      <c r="U100" s="2426"/>
      <c r="V100" s="2787"/>
      <c r="W100" s="3883"/>
      <c r="X100" s="1653">
        <v>1458778.81</v>
      </c>
      <c r="Y100" s="1653">
        <v>0</v>
      </c>
      <c r="Z100" s="1653">
        <v>0</v>
      </c>
      <c r="AA100" s="1546" t="s">
        <v>2792</v>
      </c>
      <c r="AB100" s="3860"/>
      <c r="AC100" s="2427"/>
      <c r="AD100" s="3800"/>
      <c r="AE100" s="3800"/>
      <c r="AF100" s="3800"/>
      <c r="AG100" s="3148"/>
      <c r="AH100" s="3800"/>
      <c r="AI100" s="3800"/>
      <c r="AJ100" s="3800"/>
      <c r="AK100" s="3800"/>
      <c r="AL100" s="3800"/>
      <c r="AM100" s="3800"/>
      <c r="AN100" s="3800"/>
      <c r="AO100" s="3800"/>
      <c r="AP100" s="3800"/>
      <c r="AQ100" s="3800"/>
      <c r="AR100" s="3800"/>
      <c r="AS100" s="3800"/>
      <c r="AT100" s="3800"/>
      <c r="AU100" s="3800"/>
      <c r="AV100" s="3800"/>
      <c r="AW100" s="3800"/>
      <c r="AX100" s="3800"/>
      <c r="AY100" s="3800"/>
      <c r="AZ100" s="3800"/>
      <c r="BA100" s="3800"/>
      <c r="BB100" s="3800"/>
      <c r="BC100" s="3800"/>
      <c r="BD100" s="3800"/>
      <c r="BE100" s="3800"/>
      <c r="BF100" s="3800"/>
      <c r="BG100" s="3800"/>
      <c r="BH100" s="3237"/>
      <c r="BI100" s="3237"/>
      <c r="BJ100" s="3800"/>
      <c r="BK100" s="3800"/>
      <c r="BL100" s="3800"/>
      <c r="BM100" s="3800"/>
      <c r="BN100" s="3800"/>
      <c r="BO100" s="3800"/>
      <c r="BP100" s="3800"/>
      <c r="BQ100" s="3798"/>
      <c r="BR100" s="3798"/>
      <c r="BS100" s="3798"/>
      <c r="BT100" s="3790"/>
      <c r="BU100" s="3831"/>
    </row>
    <row r="101" spans="1:73" ht="30" customHeight="1" x14ac:dyDescent="0.25">
      <c r="A101" s="1620"/>
      <c r="B101" s="1769"/>
      <c r="C101" s="1619"/>
      <c r="D101" s="1769"/>
      <c r="G101" s="3833">
        <v>2201034</v>
      </c>
      <c r="H101" s="3732" t="s">
        <v>2793</v>
      </c>
      <c r="I101" s="3833">
        <v>2201034</v>
      </c>
      <c r="J101" s="3732" t="s">
        <v>2793</v>
      </c>
      <c r="K101" s="3532">
        <v>220103401</v>
      </c>
      <c r="L101" s="3732" t="s">
        <v>2794</v>
      </c>
      <c r="M101" s="3532">
        <v>220103401</v>
      </c>
      <c r="N101" s="3732" t="s">
        <v>2794</v>
      </c>
      <c r="O101" s="3890">
        <v>54</v>
      </c>
      <c r="P101" s="3890">
        <v>0</v>
      </c>
      <c r="Q101" s="2267"/>
      <c r="R101" s="3888"/>
      <c r="S101" s="3877">
        <f>SUM(X101:X104)/T97</f>
        <v>0.33333333366666668</v>
      </c>
      <c r="T101" s="3880"/>
      <c r="U101" s="2426"/>
      <c r="V101" s="2787"/>
      <c r="W101" s="2631" t="s">
        <v>2795</v>
      </c>
      <c r="X101" s="1653">
        <v>664449.19999999995</v>
      </c>
      <c r="Y101" s="1653">
        <v>0</v>
      </c>
      <c r="Z101" s="1653">
        <v>0</v>
      </c>
      <c r="AA101" s="1546" t="s">
        <v>2796</v>
      </c>
      <c r="AB101" s="3859">
        <v>20</v>
      </c>
      <c r="AC101" s="2425" t="s">
        <v>1614</v>
      </c>
      <c r="AD101" s="3800"/>
      <c r="AE101" s="3800"/>
      <c r="AF101" s="3800"/>
      <c r="AG101" s="3148"/>
      <c r="AH101" s="3800"/>
      <c r="AI101" s="3800"/>
      <c r="AJ101" s="3800"/>
      <c r="AK101" s="3800"/>
      <c r="AL101" s="3800"/>
      <c r="AM101" s="3800"/>
      <c r="AN101" s="3800"/>
      <c r="AO101" s="3800"/>
      <c r="AP101" s="3800"/>
      <c r="AQ101" s="3800"/>
      <c r="AR101" s="3800"/>
      <c r="AS101" s="3800"/>
      <c r="AT101" s="3800"/>
      <c r="AU101" s="3800"/>
      <c r="AV101" s="3800"/>
      <c r="AW101" s="3800"/>
      <c r="AX101" s="3800"/>
      <c r="AY101" s="3800"/>
      <c r="AZ101" s="3800"/>
      <c r="BA101" s="3800"/>
      <c r="BB101" s="3800"/>
      <c r="BC101" s="3800"/>
      <c r="BD101" s="3800"/>
      <c r="BE101" s="3800"/>
      <c r="BF101" s="3800"/>
      <c r="BG101" s="3800"/>
      <c r="BH101" s="3237"/>
      <c r="BI101" s="3237"/>
      <c r="BJ101" s="3800"/>
      <c r="BK101" s="3800"/>
      <c r="BL101" s="3800"/>
      <c r="BM101" s="3800"/>
      <c r="BN101" s="3800"/>
      <c r="BO101" s="3800"/>
      <c r="BP101" s="3800"/>
      <c r="BQ101" s="3798"/>
      <c r="BR101" s="3798"/>
      <c r="BS101" s="3798"/>
      <c r="BT101" s="3790"/>
      <c r="BU101" s="3831"/>
    </row>
    <row r="102" spans="1:73" ht="26.25" customHeight="1" x14ac:dyDescent="0.25">
      <c r="A102" s="1620"/>
      <c r="B102" s="1769"/>
      <c r="C102" s="1619"/>
      <c r="D102" s="1769"/>
      <c r="G102" s="3834"/>
      <c r="H102" s="3128"/>
      <c r="I102" s="3834"/>
      <c r="J102" s="3128"/>
      <c r="K102" s="3875"/>
      <c r="L102" s="3128"/>
      <c r="M102" s="3875"/>
      <c r="N102" s="3128"/>
      <c r="O102" s="3891"/>
      <c r="P102" s="3891"/>
      <c r="Q102" s="2267"/>
      <c r="R102" s="3888"/>
      <c r="S102" s="3878"/>
      <c r="T102" s="3880"/>
      <c r="U102" s="2426"/>
      <c r="V102" s="2787"/>
      <c r="W102" s="2632"/>
      <c r="X102" s="1653">
        <v>4126079.04</v>
      </c>
      <c r="Y102" s="1653">
        <v>0</v>
      </c>
      <c r="Z102" s="1653">
        <v>0</v>
      </c>
      <c r="AA102" s="1546" t="s">
        <v>2797</v>
      </c>
      <c r="AB102" s="3816"/>
      <c r="AC102" s="2426"/>
      <c r="AD102" s="3800"/>
      <c r="AE102" s="3800"/>
      <c r="AF102" s="3800"/>
      <c r="AG102" s="3148"/>
      <c r="AH102" s="3800"/>
      <c r="AI102" s="3800"/>
      <c r="AJ102" s="3800"/>
      <c r="AK102" s="3800"/>
      <c r="AL102" s="3800"/>
      <c r="AM102" s="3800"/>
      <c r="AN102" s="3800"/>
      <c r="AO102" s="3800"/>
      <c r="AP102" s="3800"/>
      <c r="AQ102" s="3800"/>
      <c r="AR102" s="3800"/>
      <c r="AS102" s="3800"/>
      <c r="AT102" s="3800"/>
      <c r="AU102" s="3800"/>
      <c r="AV102" s="3800"/>
      <c r="AW102" s="3800"/>
      <c r="AX102" s="3800"/>
      <c r="AY102" s="3800"/>
      <c r="AZ102" s="3800"/>
      <c r="BA102" s="3800"/>
      <c r="BB102" s="3800"/>
      <c r="BC102" s="3800"/>
      <c r="BD102" s="3800"/>
      <c r="BE102" s="3800"/>
      <c r="BF102" s="3800"/>
      <c r="BG102" s="3800"/>
      <c r="BH102" s="3237"/>
      <c r="BI102" s="3237"/>
      <c r="BJ102" s="3800"/>
      <c r="BK102" s="3800"/>
      <c r="BL102" s="3800"/>
      <c r="BM102" s="3800"/>
      <c r="BN102" s="3800"/>
      <c r="BO102" s="3800"/>
      <c r="BP102" s="3800"/>
      <c r="BQ102" s="3798"/>
      <c r="BR102" s="3798"/>
      <c r="BS102" s="3798"/>
      <c r="BT102" s="3790"/>
      <c r="BU102" s="3831"/>
    </row>
    <row r="103" spans="1:73" ht="26.25" customHeight="1" x14ac:dyDescent="0.25">
      <c r="A103" s="1620"/>
      <c r="B103" s="1769"/>
      <c r="C103" s="1619"/>
      <c r="D103" s="1769"/>
      <c r="G103" s="3834"/>
      <c r="H103" s="3128"/>
      <c r="I103" s="3834"/>
      <c r="J103" s="3128"/>
      <c r="K103" s="3875"/>
      <c r="L103" s="3128"/>
      <c r="M103" s="3875"/>
      <c r="N103" s="3128"/>
      <c r="O103" s="3891"/>
      <c r="P103" s="3891"/>
      <c r="Q103" s="2267"/>
      <c r="R103" s="3888"/>
      <c r="S103" s="3878"/>
      <c r="T103" s="3880"/>
      <c r="U103" s="2426"/>
      <c r="V103" s="2787"/>
      <c r="W103" s="2632"/>
      <c r="X103" s="1653">
        <v>3750692.96</v>
      </c>
      <c r="Y103" s="1653">
        <v>0</v>
      </c>
      <c r="Z103" s="1653">
        <v>0</v>
      </c>
      <c r="AA103" s="1546" t="s">
        <v>2798</v>
      </c>
      <c r="AB103" s="3816"/>
      <c r="AC103" s="2426"/>
      <c r="AD103" s="3800"/>
      <c r="AE103" s="3800"/>
      <c r="AF103" s="3800"/>
      <c r="AG103" s="3148"/>
      <c r="AH103" s="3800"/>
      <c r="AI103" s="3800"/>
      <c r="AJ103" s="3800"/>
      <c r="AK103" s="3800"/>
      <c r="AL103" s="3800"/>
      <c r="AM103" s="3800"/>
      <c r="AN103" s="3800"/>
      <c r="AO103" s="3800"/>
      <c r="AP103" s="3800"/>
      <c r="AQ103" s="3800"/>
      <c r="AR103" s="3800"/>
      <c r="AS103" s="3800"/>
      <c r="AT103" s="3800"/>
      <c r="AU103" s="3800"/>
      <c r="AV103" s="3800"/>
      <c r="AW103" s="3800"/>
      <c r="AX103" s="3800"/>
      <c r="AY103" s="3800"/>
      <c r="AZ103" s="3800"/>
      <c r="BA103" s="3800"/>
      <c r="BB103" s="3800"/>
      <c r="BC103" s="3800"/>
      <c r="BD103" s="3800"/>
      <c r="BE103" s="3800"/>
      <c r="BF103" s="3800"/>
      <c r="BG103" s="3800"/>
      <c r="BH103" s="3237"/>
      <c r="BI103" s="3237"/>
      <c r="BJ103" s="3800"/>
      <c r="BK103" s="3800"/>
      <c r="BL103" s="3800"/>
      <c r="BM103" s="3800"/>
      <c r="BN103" s="3800"/>
      <c r="BO103" s="3800"/>
      <c r="BP103" s="3800"/>
      <c r="BQ103" s="3798"/>
      <c r="BR103" s="3798"/>
      <c r="BS103" s="3798"/>
      <c r="BT103" s="3790"/>
      <c r="BU103" s="3831"/>
    </row>
    <row r="104" spans="1:73" ht="30.75" customHeight="1" x14ac:dyDescent="0.25">
      <c r="A104" s="1620"/>
      <c r="B104" s="1769"/>
      <c r="C104" s="1619"/>
      <c r="D104" s="1769"/>
      <c r="G104" s="3868"/>
      <c r="H104" s="3129"/>
      <c r="I104" s="3868"/>
      <c r="J104" s="3129"/>
      <c r="K104" s="3876"/>
      <c r="L104" s="3129"/>
      <c r="M104" s="3876"/>
      <c r="N104" s="3129"/>
      <c r="O104" s="3892"/>
      <c r="P104" s="3892"/>
      <c r="Q104" s="2267"/>
      <c r="R104" s="3888"/>
      <c r="S104" s="3879"/>
      <c r="T104" s="3880"/>
      <c r="U104" s="2426"/>
      <c r="V104" s="2787"/>
      <c r="W104" s="2576"/>
      <c r="X104" s="1653">
        <v>1458778.81</v>
      </c>
      <c r="Y104" s="1653">
        <v>0</v>
      </c>
      <c r="Z104" s="1653">
        <v>0</v>
      </c>
      <c r="AA104" s="1546" t="s">
        <v>2799</v>
      </c>
      <c r="AB104" s="3860"/>
      <c r="AC104" s="2427"/>
      <c r="AD104" s="3800"/>
      <c r="AE104" s="3800"/>
      <c r="AF104" s="3800"/>
      <c r="AG104" s="3148"/>
      <c r="AH104" s="3800"/>
      <c r="AI104" s="3800"/>
      <c r="AJ104" s="3800"/>
      <c r="AK104" s="3800"/>
      <c r="AL104" s="3800"/>
      <c r="AM104" s="3800"/>
      <c r="AN104" s="3800"/>
      <c r="AO104" s="3800"/>
      <c r="AP104" s="3800"/>
      <c r="AQ104" s="3800"/>
      <c r="AR104" s="3800"/>
      <c r="AS104" s="3800"/>
      <c r="AT104" s="3800"/>
      <c r="AU104" s="3800"/>
      <c r="AV104" s="3800"/>
      <c r="AW104" s="3800"/>
      <c r="AX104" s="3800"/>
      <c r="AY104" s="3800"/>
      <c r="AZ104" s="3800"/>
      <c r="BA104" s="3800"/>
      <c r="BB104" s="3800"/>
      <c r="BC104" s="3800"/>
      <c r="BD104" s="3800"/>
      <c r="BE104" s="3800"/>
      <c r="BF104" s="3800"/>
      <c r="BG104" s="3800"/>
      <c r="BH104" s="3237"/>
      <c r="BI104" s="3237"/>
      <c r="BJ104" s="3800"/>
      <c r="BK104" s="3800"/>
      <c r="BL104" s="3800"/>
      <c r="BM104" s="3800"/>
      <c r="BN104" s="3800"/>
      <c r="BO104" s="3800"/>
      <c r="BP104" s="3800"/>
      <c r="BQ104" s="3798"/>
      <c r="BR104" s="3798"/>
      <c r="BS104" s="3798"/>
      <c r="BT104" s="3790"/>
      <c r="BU104" s="3831"/>
    </row>
    <row r="105" spans="1:73" ht="26.25" customHeight="1" x14ac:dyDescent="0.25">
      <c r="A105" s="1620"/>
      <c r="B105" s="1769"/>
      <c r="C105" s="1619"/>
      <c r="D105" s="1769"/>
      <c r="G105" s="3833">
        <v>2201060</v>
      </c>
      <c r="H105" s="3732" t="s">
        <v>2800</v>
      </c>
      <c r="I105" s="3833">
        <v>2201060</v>
      </c>
      <c r="J105" s="3732" t="s">
        <v>2800</v>
      </c>
      <c r="K105" s="3871">
        <v>220106000</v>
      </c>
      <c r="L105" s="3732" t="s">
        <v>2801</v>
      </c>
      <c r="M105" s="3871">
        <v>220106000</v>
      </c>
      <c r="N105" s="3732" t="s">
        <v>2801</v>
      </c>
      <c r="O105" s="3893">
        <v>200</v>
      </c>
      <c r="P105" s="3893">
        <v>0</v>
      </c>
      <c r="Q105" s="2267"/>
      <c r="R105" s="3888"/>
      <c r="S105" s="3877">
        <f>SUM(X105:X108)/T97</f>
        <v>0.33333333366666668</v>
      </c>
      <c r="T105" s="3880"/>
      <c r="U105" s="2426"/>
      <c r="V105" s="2787"/>
      <c r="W105" s="2631" t="s">
        <v>2802</v>
      </c>
      <c r="X105" s="1653">
        <v>664449.19999999995</v>
      </c>
      <c r="Y105" s="1653">
        <v>0</v>
      </c>
      <c r="Z105" s="1653">
        <v>0</v>
      </c>
      <c r="AA105" s="1546" t="s">
        <v>2803</v>
      </c>
      <c r="AB105" s="3859">
        <v>20</v>
      </c>
      <c r="AC105" s="2425" t="s">
        <v>1614</v>
      </c>
      <c r="AD105" s="3800"/>
      <c r="AE105" s="3800"/>
      <c r="AF105" s="3800"/>
      <c r="AG105" s="3148"/>
      <c r="AH105" s="3800"/>
      <c r="AI105" s="3800"/>
      <c r="AJ105" s="3800"/>
      <c r="AK105" s="3800"/>
      <c r="AL105" s="3800"/>
      <c r="AM105" s="3800"/>
      <c r="AN105" s="3800"/>
      <c r="AO105" s="3800"/>
      <c r="AP105" s="3800"/>
      <c r="AQ105" s="3800"/>
      <c r="AR105" s="3800"/>
      <c r="AS105" s="3800"/>
      <c r="AT105" s="3800"/>
      <c r="AU105" s="3800"/>
      <c r="AV105" s="3800"/>
      <c r="AW105" s="3800"/>
      <c r="AX105" s="3800"/>
      <c r="AY105" s="3800"/>
      <c r="AZ105" s="3800"/>
      <c r="BA105" s="3800"/>
      <c r="BB105" s="3800"/>
      <c r="BC105" s="3800"/>
      <c r="BD105" s="3800"/>
      <c r="BE105" s="3800"/>
      <c r="BF105" s="3800"/>
      <c r="BG105" s="3800"/>
      <c r="BH105" s="3237"/>
      <c r="BI105" s="3237"/>
      <c r="BJ105" s="3800"/>
      <c r="BK105" s="3800"/>
      <c r="BL105" s="3800"/>
      <c r="BM105" s="3800"/>
      <c r="BN105" s="3800"/>
      <c r="BO105" s="3800"/>
      <c r="BP105" s="3800"/>
      <c r="BQ105" s="3798"/>
      <c r="BR105" s="3798"/>
      <c r="BS105" s="3798"/>
      <c r="BT105" s="3790"/>
      <c r="BU105" s="3831"/>
    </row>
    <row r="106" spans="1:73" ht="30.75" customHeight="1" x14ac:dyDescent="0.25">
      <c r="A106" s="1620"/>
      <c r="B106" s="1769"/>
      <c r="C106" s="1619"/>
      <c r="D106" s="1769"/>
      <c r="G106" s="3834"/>
      <c r="H106" s="3128"/>
      <c r="I106" s="3834"/>
      <c r="J106" s="3128"/>
      <c r="K106" s="3872"/>
      <c r="L106" s="3128"/>
      <c r="M106" s="3872"/>
      <c r="N106" s="3128"/>
      <c r="O106" s="3894"/>
      <c r="P106" s="3894"/>
      <c r="Q106" s="2267"/>
      <c r="R106" s="3888"/>
      <c r="S106" s="3878"/>
      <c r="T106" s="3880"/>
      <c r="U106" s="2426"/>
      <c r="V106" s="2787"/>
      <c r="W106" s="2632"/>
      <c r="X106" s="1653">
        <v>4126079.04</v>
      </c>
      <c r="Y106" s="1653">
        <v>0</v>
      </c>
      <c r="Z106" s="1653">
        <v>0</v>
      </c>
      <c r="AA106" s="1546" t="s">
        <v>2804</v>
      </c>
      <c r="AB106" s="3816"/>
      <c r="AC106" s="2426"/>
      <c r="AD106" s="3800"/>
      <c r="AE106" s="3800"/>
      <c r="AF106" s="3800"/>
      <c r="AG106" s="3148"/>
      <c r="AH106" s="3800"/>
      <c r="AI106" s="3800"/>
      <c r="AJ106" s="3800"/>
      <c r="AK106" s="3800"/>
      <c r="AL106" s="3800"/>
      <c r="AM106" s="3800"/>
      <c r="AN106" s="3800"/>
      <c r="AO106" s="3800"/>
      <c r="AP106" s="3800"/>
      <c r="AQ106" s="3800"/>
      <c r="AR106" s="3800"/>
      <c r="AS106" s="3800"/>
      <c r="AT106" s="3800"/>
      <c r="AU106" s="3800"/>
      <c r="AV106" s="3800"/>
      <c r="AW106" s="3800"/>
      <c r="AX106" s="3800"/>
      <c r="AY106" s="3800"/>
      <c r="AZ106" s="3800"/>
      <c r="BA106" s="3800"/>
      <c r="BB106" s="3800"/>
      <c r="BC106" s="3800"/>
      <c r="BD106" s="3800"/>
      <c r="BE106" s="3800"/>
      <c r="BF106" s="3800"/>
      <c r="BG106" s="3800"/>
      <c r="BH106" s="3237"/>
      <c r="BI106" s="3237"/>
      <c r="BJ106" s="3800"/>
      <c r="BK106" s="3800"/>
      <c r="BL106" s="3800"/>
      <c r="BM106" s="3800"/>
      <c r="BN106" s="3800"/>
      <c r="BO106" s="3800"/>
      <c r="BP106" s="3800"/>
      <c r="BQ106" s="3798"/>
      <c r="BR106" s="3798"/>
      <c r="BS106" s="3798"/>
      <c r="BT106" s="3790"/>
      <c r="BU106" s="3831"/>
    </row>
    <row r="107" spans="1:73" ht="26.25" customHeight="1" x14ac:dyDescent="0.25">
      <c r="A107" s="1620"/>
      <c r="B107" s="1769"/>
      <c r="C107" s="1619"/>
      <c r="D107" s="1769"/>
      <c r="G107" s="3834"/>
      <c r="H107" s="3128"/>
      <c r="I107" s="3834"/>
      <c r="J107" s="3128"/>
      <c r="K107" s="3872"/>
      <c r="L107" s="3128"/>
      <c r="M107" s="3872"/>
      <c r="N107" s="3128"/>
      <c r="O107" s="3894"/>
      <c r="P107" s="3894"/>
      <c r="Q107" s="2267"/>
      <c r="R107" s="3888"/>
      <c r="S107" s="3878"/>
      <c r="T107" s="3880"/>
      <c r="U107" s="2426"/>
      <c r="V107" s="2787"/>
      <c r="W107" s="2632"/>
      <c r="X107" s="1653">
        <v>3750692.96</v>
      </c>
      <c r="Y107" s="1653">
        <v>0</v>
      </c>
      <c r="Z107" s="1653">
        <v>0</v>
      </c>
      <c r="AA107" s="1546" t="s">
        <v>2805</v>
      </c>
      <c r="AB107" s="3816"/>
      <c r="AC107" s="2426"/>
      <c r="AD107" s="3800"/>
      <c r="AE107" s="3800"/>
      <c r="AF107" s="3800"/>
      <c r="AG107" s="3148"/>
      <c r="AH107" s="3800"/>
      <c r="AI107" s="3800"/>
      <c r="AJ107" s="3800"/>
      <c r="AK107" s="3800"/>
      <c r="AL107" s="3800"/>
      <c r="AM107" s="3800"/>
      <c r="AN107" s="3800"/>
      <c r="AO107" s="3800"/>
      <c r="AP107" s="3800"/>
      <c r="AQ107" s="3800"/>
      <c r="AR107" s="3800"/>
      <c r="AS107" s="3800"/>
      <c r="AT107" s="3800"/>
      <c r="AU107" s="3800"/>
      <c r="AV107" s="3800"/>
      <c r="AW107" s="3800"/>
      <c r="AX107" s="3800"/>
      <c r="AY107" s="3800"/>
      <c r="AZ107" s="3800"/>
      <c r="BA107" s="3800"/>
      <c r="BB107" s="3800"/>
      <c r="BC107" s="3800"/>
      <c r="BD107" s="3800"/>
      <c r="BE107" s="3800"/>
      <c r="BF107" s="3800"/>
      <c r="BG107" s="3800"/>
      <c r="BH107" s="3237"/>
      <c r="BI107" s="3237"/>
      <c r="BJ107" s="3800"/>
      <c r="BK107" s="3800"/>
      <c r="BL107" s="3800"/>
      <c r="BM107" s="3800"/>
      <c r="BN107" s="3800"/>
      <c r="BO107" s="3800"/>
      <c r="BP107" s="3800"/>
      <c r="BQ107" s="3798"/>
      <c r="BR107" s="3798"/>
      <c r="BS107" s="3798"/>
      <c r="BT107" s="3790"/>
      <c r="BU107" s="3831"/>
    </row>
    <row r="108" spans="1:73" ht="27" customHeight="1" x14ac:dyDescent="0.25">
      <c r="A108" s="1620"/>
      <c r="B108" s="1769"/>
      <c r="C108" s="1619"/>
      <c r="D108" s="1769"/>
      <c r="G108" s="3868"/>
      <c r="H108" s="3129"/>
      <c r="I108" s="3868"/>
      <c r="J108" s="3129"/>
      <c r="K108" s="3873"/>
      <c r="L108" s="3129"/>
      <c r="M108" s="3873"/>
      <c r="N108" s="3129"/>
      <c r="O108" s="3894"/>
      <c r="P108" s="3894"/>
      <c r="Q108" s="2267"/>
      <c r="R108" s="3889"/>
      <c r="S108" s="3879"/>
      <c r="T108" s="3880"/>
      <c r="U108" s="2427"/>
      <c r="V108" s="2504"/>
      <c r="W108" s="2576"/>
      <c r="X108" s="1653">
        <v>1458778.81</v>
      </c>
      <c r="Y108" s="1653">
        <v>0</v>
      </c>
      <c r="Z108" s="1653">
        <v>0</v>
      </c>
      <c r="AA108" s="1560" t="s">
        <v>2806</v>
      </c>
      <c r="AB108" s="3860"/>
      <c r="AC108" s="2427"/>
      <c r="AD108" s="3794"/>
      <c r="AE108" s="3794"/>
      <c r="AF108" s="3794"/>
      <c r="AG108" s="3148"/>
      <c r="AH108" s="3794"/>
      <c r="AI108" s="3794"/>
      <c r="AJ108" s="3794"/>
      <c r="AK108" s="3794"/>
      <c r="AL108" s="3794"/>
      <c r="AM108" s="3794"/>
      <c r="AN108" s="3794"/>
      <c r="AO108" s="3794"/>
      <c r="AP108" s="3794"/>
      <c r="AQ108" s="3794"/>
      <c r="AR108" s="3794"/>
      <c r="AS108" s="3794"/>
      <c r="AT108" s="3794"/>
      <c r="AU108" s="3794"/>
      <c r="AV108" s="3794"/>
      <c r="AW108" s="3794"/>
      <c r="AX108" s="3794"/>
      <c r="AY108" s="3794"/>
      <c r="AZ108" s="3794"/>
      <c r="BA108" s="3794"/>
      <c r="BB108" s="3794"/>
      <c r="BC108" s="3794"/>
      <c r="BD108" s="3794"/>
      <c r="BE108" s="3794"/>
      <c r="BF108" s="3794"/>
      <c r="BG108" s="3794"/>
      <c r="BH108" s="3238"/>
      <c r="BI108" s="3238"/>
      <c r="BJ108" s="3794"/>
      <c r="BK108" s="3794"/>
      <c r="BL108" s="3794"/>
      <c r="BM108" s="3794"/>
      <c r="BN108" s="3794"/>
      <c r="BO108" s="3794"/>
      <c r="BP108" s="3794"/>
      <c r="BQ108" s="3795"/>
      <c r="BR108" s="3795"/>
      <c r="BS108" s="3795"/>
      <c r="BT108" s="3874"/>
      <c r="BU108" s="3791"/>
    </row>
    <row r="109" spans="1:73" ht="29.25" customHeight="1" x14ac:dyDescent="0.25">
      <c r="A109" s="1620"/>
      <c r="B109" s="1769"/>
      <c r="C109" s="1619"/>
      <c r="D109" s="1769"/>
      <c r="G109" s="3833">
        <v>2201006</v>
      </c>
      <c r="H109" s="3732" t="s">
        <v>2807</v>
      </c>
      <c r="I109" s="3833">
        <v>2201006</v>
      </c>
      <c r="J109" s="3732" t="s">
        <v>2807</v>
      </c>
      <c r="K109" s="3833">
        <v>220100600</v>
      </c>
      <c r="L109" s="2631" t="s">
        <v>2808</v>
      </c>
      <c r="M109" s="3833">
        <v>220100600</v>
      </c>
      <c r="N109" s="2631" t="s">
        <v>2808</v>
      </c>
      <c r="O109" s="3869">
        <v>54</v>
      </c>
      <c r="P109" s="3869">
        <v>54</v>
      </c>
      <c r="Q109" s="2274" t="s">
        <v>2809</v>
      </c>
      <c r="R109" s="3108" t="s">
        <v>2810</v>
      </c>
      <c r="S109" s="3851">
        <f>SUM(X109:X112)/T109</f>
        <v>1.0908652737378294E-3</v>
      </c>
      <c r="T109" s="3854">
        <f>SUM(X109:X214)</f>
        <v>174173663351.63333</v>
      </c>
      <c r="U109" s="2425" t="s">
        <v>2811</v>
      </c>
      <c r="V109" s="2298" t="s">
        <v>2812</v>
      </c>
      <c r="W109" s="3856" t="s">
        <v>2813</v>
      </c>
      <c r="X109" s="1653">
        <f>664449.2+49287773.25</f>
        <v>49952222.450000003</v>
      </c>
      <c r="Y109" s="1653">
        <v>19438849.199999999</v>
      </c>
      <c r="Z109" s="1653">
        <v>11972249.199999999</v>
      </c>
      <c r="AA109" s="1546" t="s">
        <v>2814</v>
      </c>
      <c r="AB109" s="3859">
        <v>20</v>
      </c>
      <c r="AC109" s="2425" t="s">
        <v>1614</v>
      </c>
      <c r="AD109" s="3848">
        <v>19649</v>
      </c>
      <c r="AE109" s="3842">
        <v>19649</v>
      </c>
      <c r="AF109" s="3842">
        <v>20118</v>
      </c>
      <c r="AG109" s="3006">
        <v>20118</v>
      </c>
      <c r="AH109" s="3269">
        <v>28907</v>
      </c>
      <c r="AI109" s="3842">
        <v>28907</v>
      </c>
      <c r="AJ109" s="3842">
        <v>9525</v>
      </c>
      <c r="AK109" s="3842">
        <v>9525</v>
      </c>
      <c r="AL109" s="3842">
        <v>1222</v>
      </c>
      <c r="AM109" s="3842">
        <v>1222</v>
      </c>
      <c r="AN109" s="3842">
        <v>113</v>
      </c>
      <c r="AO109" s="3842">
        <v>113</v>
      </c>
      <c r="AP109" s="3842">
        <v>297</v>
      </c>
      <c r="AQ109" s="3842">
        <v>297</v>
      </c>
      <c r="AR109" s="3842">
        <v>345</v>
      </c>
      <c r="AS109" s="3842">
        <v>345</v>
      </c>
      <c r="AT109" s="3848">
        <v>0</v>
      </c>
      <c r="AU109" s="3848">
        <v>0</v>
      </c>
      <c r="AV109" s="3848">
        <v>0</v>
      </c>
      <c r="AW109" s="3848">
        <v>0</v>
      </c>
      <c r="AX109" s="3848">
        <v>0</v>
      </c>
      <c r="AY109" s="3848">
        <v>0</v>
      </c>
      <c r="AZ109" s="3848">
        <v>0</v>
      </c>
      <c r="BA109" s="3848">
        <v>0</v>
      </c>
      <c r="BB109" s="3848">
        <v>3301</v>
      </c>
      <c r="BC109" s="3842">
        <v>3301</v>
      </c>
      <c r="BD109" s="3842">
        <v>2507</v>
      </c>
      <c r="BE109" s="3842">
        <v>2507</v>
      </c>
      <c r="BF109" s="3842">
        <v>113</v>
      </c>
      <c r="BG109" s="3842">
        <v>113</v>
      </c>
      <c r="BH109" s="3236">
        <f>+AD109+AF109</f>
        <v>39767</v>
      </c>
      <c r="BI109" s="3236">
        <f>+AE109+AG109</f>
        <v>39767</v>
      </c>
      <c r="BJ109" s="3236">
        <v>4</v>
      </c>
      <c r="BK109" s="3845">
        <f>SUM(Y109:Y214)</f>
        <v>77209092412.089996</v>
      </c>
      <c r="BL109" s="3845">
        <f>SUM(Z109:Z214)</f>
        <v>74166303866.110001</v>
      </c>
      <c r="BM109" s="3838">
        <f>BL109/BK109</f>
        <v>0.96059028216858655</v>
      </c>
      <c r="BN109" s="3799" t="s">
        <v>2815</v>
      </c>
      <c r="BO109" s="3799" t="s">
        <v>2816</v>
      </c>
      <c r="BP109" s="3799" t="s">
        <v>2817</v>
      </c>
      <c r="BQ109" s="3829">
        <v>44250</v>
      </c>
      <c r="BR109" s="3829">
        <v>44250</v>
      </c>
      <c r="BS109" s="3829">
        <v>44482</v>
      </c>
      <c r="BT109" s="3829">
        <v>44482</v>
      </c>
      <c r="BU109" s="3792" t="s">
        <v>2590</v>
      </c>
    </row>
    <row r="110" spans="1:73" ht="26.25" customHeight="1" x14ac:dyDescent="0.25">
      <c r="A110" s="1620"/>
      <c r="B110" s="1769"/>
      <c r="C110" s="1619"/>
      <c r="D110" s="1769"/>
      <c r="G110" s="3834"/>
      <c r="H110" s="3128"/>
      <c r="I110" s="3834"/>
      <c r="J110" s="3128"/>
      <c r="K110" s="3834"/>
      <c r="L110" s="2632"/>
      <c r="M110" s="3834"/>
      <c r="N110" s="2632"/>
      <c r="O110" s="3869"/>
      <c r="P110" s="3869"/>
      <c r="Q110" s="2274"/>
      <c r="R110" s="3109"/>
      <c r="S110" s="3852"/>
      <c r="T110" s="3855"/>
      <c r="U110" s="2426"/>
      <c r="V110" s="2298"/>
      <c r="W110" s="3857"/>
      <c r="X110" s="1653">
        <f>4126079.98+86525649.55</f>
        <v>90651729.530000001</v>
      </c>
      <c r="Y110" s="1653">
        <v>49406679.030000001</v>
      </c>
      <c r="Z110" s="1653">
        <v>12448279.029999999</v>
      </c>
      <c r="AA110" s="1546" t="s">
        <v>2818</v>
      </c>
      <c r="AB110" s="3816"/>
      <c r="AC110" s="2426"/>
      <c r="AD110" s="3849"/>
      <c r="AE110" s="3843"/>
      <c r="AF110" s="3843"/>
      <c r="AG110" s="3007"/>
      <c r="AH110" s="3269"/>
      <c r="AI110" s="3843"/>
      <c r="AJ110" s="3843"/>
      <c r="AK110" s="3843"/>
      <c r="AL110" s="3843"/>
      <c r="AM110" s="3843"/>
      <c r="AN110" s="3843"/>
      <c r="AO110" s="3843"/>
      <c r="AP110" s="3843"/>
      <c r="AQ110" s="3843"/>
      <c r="AR110" s="3843"/>
      <c r="AS110" s="3843"/>
      <c r="AT110" s="3849"/>
      <c r="AU110" s="3849"/>
      <c r="AV110" s="3849"/>
      <c r="AW110" s="3849"/>
      <c r="AX110" s="3849"/>
      <c r="AY110" s="3849"/>
      <c r="AZ110" s="3849"/>
      <c r="BA110" s="3849"/>
      <c r="BB110" s="3849"/>
      <c r="BC110" s="3843"/>
      <c r="BD110" s="3843"/>
      <c r="BE110" s="3843"/>
      <c r="BF110" s="3843"/>
      <c r="BG110" s="3843"/>
      <c r="BH110" s="3237"/>
      <c r="BI110" s="3237"/>
      <c r="BJ110" s="3237"/>
      <c r="BK110" s="3846"/>
      <c r="BL110" s="3846"/>
      <c r="BM110" s="3839"/>
      <c r="BN110" s="3800"/>
      <c r="BO110" s="3800"/>
      <c r="BP110" s="3800"/>
      <c r="BQ110" s="3790"/>
      <c r="BR110" s="3790"/>
      <c r="BS110" s="3790"/>
      <c r="BT110" s="3790"/>
      <c r="BU110" s="3831"/>
    </row>
    <row r="111" spans="1:73" ht="26.25" customHeight="1" x14ac:dyDescent="0.25">
      <c r="A111" s="1620"/>
      <c r="B111" s="1769"/>
      <c r="C111" s="1619"/>
      <c r="D111" s="1769"/>
      <c r="G111" s="3834"/>
      <c r="H111" s="3128"/>
      <c r="I111" s="3834"/>
      <c r="J111" s="3128"/>
      <c r="K111" s="3834"/>
      <c r="L111" s="2632"/>
      <c r="M111" s="3834"/>
      <c r="N111" s="2632"/>
      <c r="O111" s="3869"/>
      <c r="P111" s="3869"/>
      <c r="Q111" s="2274"/>
      <c r="R111" s="3109"/>
      <c r="S111" s="3852"/>
      <c r="T111" s="3855"/>
      <c r="U111" s="2426"/>
      <c r="V111" s="2298"/>
      <c r="W111" s="3857"/>
      <c r="X111" s="1653">
        <f>3750692.96+44186577.2</f>
        <v>47937270.160000004</v>
      </c>
      <c r="Y111" s="1653">
        <v>23415692.960000001</v>
      </c>
      <c r="Z111" s="1653">
        <v>13030692.960000001</v>
      </c>
      <c r="AA111" s="1546" t="s">
        <v>2819</v>
      </c>
      <c r="AB111" s="3816"/>
      <c r="AC111" s="2426"/>
      <c r="AD111" s="3849"/>
      <c r="AE111" s="3843"/>
      <c r="AF111" s="3843"/>
      <c r="AG111" s="3007"/>
      <c r="AH111" s="3269"/>
      <c r="AI111" s="3843"/>
      <c r="AJ111" s="3843"/>
      <c r="AK111" s="3843"/>
      <c r="AL111" s="3843"/>
      <c r="AM111" s="3843"/>
      <c r="AN111" s="3843"/>
      <c r="AO111" s="3843"/>
      <c r="AP111" s="3843"/>
      <c r="AQ111" s="3843"/>
      <c r="AR111" s="3843"/>
      <c r="AS111" s="3843"/>
      <c r="AT111" s="3849"/>
      <c r="AU111" s="3849"/>
      <c r="AV111" s="3849"/>
      <c r="AW111" s="3849"/>
      <c r="AX111" s="3849"/>
      <c r="AY111" s="3849"/>
      <c r="AZ111" s="3849"/>
      <c r="BA111" s="3849"/>
      <c r="BB111" s="3849"/>
      <c r="BC111" s="3843"/>
      <c r="BD111" s="3843"/>
      <c r="BE111" s="3843"/>
      <c r="BF111" s="3843"/>
      <c r="BG111" s="3843"/>
      <c r="BH111" s="3237"/>
      <c r="BI111" s="3237"/>
      <c r="BJ111" s="3237"/>
      <c r="BK111" s="3846"/>
      <c r="BL111" s="3846"/>
      <c r="BM111" s="3839"/>
      <c r="BN111" s="3800"/>
      <c r="BO111" s="3800"/>
      <c r="BP111" s="3800"/>
      <c r="BQ111" s="3790"/>
      <c r="BR111" s="3790"/>
      <c r="BS111" s="3790"/>
      <c r="BT111" s="3790"/>
      <c r="BU111" s="3831"/>
    </row>
    <row r="112" spans="1:73" ht="66" customHeight="1" x14ac:dyDescent="0.25">
      <c r="A112" s="1620"/>
      <c r="B112" s="1769"/>
      <c r="C112" s="1619"/>
      <c r="D112" s="1769"/>
      <c r="G112" s="3868"/>
      <c r="H112" s="3129"/>
      <c r="I112" s="3868"/>
      <c r="J112" s="3129"/>
      <c r="K112" s="3868"/>
      <c r="L112" s="2576"/>
      <c r="M112" s="3868"/>
      <c r="N112" s="2576"/>
      <c r="O112" s="3869"/>
      <c r="P112" s="3869"/>
      <c r="Q112" s="2274"/>
      <c r="R112" s="3109"/>
      <c r="S112" s="3853"/>
      <c r="T112" s="3855"/>
      <c r="U112" s="2426"/>
      <c r="V112" s="2298"/>
      <c r="W112" s="3858"/>
      <c r="X112" s="1653">
        <v>1458778.81</v>
      </c>
      <c r="Y112" s="1653">
        <v>1458778.81</v>
      </c>
      <c r="Z112" s="1653">
        <v>1458778.81</v>
      </c>
      <c r="AA112" s="1546" t="s">
        <v>2820</v>
      </c>
      <c r="AB112" s="3860"/>
      <c r="AC112" s="2427"/>
      <c r="AD112" s="3849"/>
      <c r="AE112" s="3843"/>
      <c r="AF112" s="3843"/>
      <c r="AG112" s="3007"/>
      <c r="AH112" s="3269"/>
      <c r="AI112" s="3843"/>
      <c r="AJ112" s="3843"/>
      <c r="AK112" s="3843"/>
      <c r="AL112" s="3843"/>
      <c r="AM112" s="3843"/>
      <c r="AN112" s="3843"/>
      <c r="AO112" s="3843"/>
      <c r="AP112" s="3843"/>
      <c r="AQ112" s="3843"/>
      <c r="AR112" s="3843"/>
      <c r="AS112" s="3843"/>
      <c r="AT112" s="3849"/>
      <c r="AU112" s="3849"/>
      <c r="AV112" s="3849"/>
      <c r="AW112" s="3849"/>
      <c r="AX112" s="3849"/>
      <c r="AY112" s="3849"/>
      <c r="AZ112" s="3849"/>
      <c r="BA112" s="3849"/>
      <c r="BB112" s="3849"/>
      <c r="BC112" s="3843"/>
      <c r="BD112" s="3843"/>
      <c r="BE112" s="3843"/>
      <c r="BF112" s="3843"/>
      <c r="BG112" s="3843"/>
      <c r="BH112" s="3237"/>
      <c r="BI112" s="3237"/>
      <c r="BJ112" s="3237"/>
      <c r="BK112" s="3846"/>
      <c r="BL112" s="3846"/>
      <c r="BM112" s="3839"/>
      <c r="BN112" s="3800"/>
      <c r="BO112" s="3800"/>
      <c r="BP112" s="3800"/>
      <c r="BQ112" s="3790"/>
      <c r="BR112" s="3790"/>
      <c r="BS112" s="3790"/>
      <c r="BT112" s="3790"/>
      <c r="BU112" s="3831"/>
    </row>
    <row r="113" spans="1:73" ht="36.75" customHeight="1" x14ac:dyDescent="0.25">
      <c r="A113" s="1620"/>
      <c r="B113" s="1769"/>
      <c r="C113" s="1619"/>
      <c r="D113" s="1769"/>
      <c r="G113" s="3833">
        <v>2201015</v>
      </c>
      <c r="H113" s="3732" t="s">
        <v>2821</v>
      </c>
      <c r="I113" s="3833">
        <v>2201015</v>
      </c>
      <c r="J113" s="3732" t="s">
        <v>2821</v>
      </c>
      <c r="K113" s="3833">
        <v>220101500</v>
      </c>
      <c r="L113" s="2631" t="s">
        <v>2822</v>
      </c>
      <c r="M113" s="3833">
        <v>220101500</v>
      </c>
      <c r="N113" s="2631" t="s">
        <v>2822</v>
      </c>
      <c r="O113" s="3869">
        <v>11</v>
      </c>
      <c r="P113" s="3869">
        <v>0</v>
      </c>
      <c r="Q113" s="2274"/>
      <c r="R113" s="3109"/>
      <c r="S113" s="3861">
        <f>SUM(X113:X116)/T109</f>
        <v>6.8896753786326501E-5</v>
      </c>
      <c r="T113" s="3855"/>
      <c r="U113" s="2426"/>
      <c r="V113" s="2298" t="s">
        <v>2823</v>
      </c>
      <c r="W113" s="3856" t="s">
        <v>2824</v>
      </c>
      <c r="X113" s="1653">
        <v>797339.04</v>
      </c>
      <c r="Y113" s="1653">
        <v>0</v>
      </c>
      <c r="Z113" s="1653">
        <v>0</v>
      </c>
      <c r="AA113" s="1546" t="s">
        <v>2825</v>
      </c>
      <c r="AB113" s="3859">
        <v>20</v>
      </c>
      <c r="AC113" s="2425" t="s">
        <v>1614</v>
      </c>
      <c r="AD113" s="3849"/>
      <c r="AE113" s="3843"/>
      <c r="AF113" s="3843"/>
      <c r="AG113" s="3007"/>
      <c r="AH113" s="3269"/>
      <c r="AI113" s="3843"/>
      <c r="AJ113" s="3843"/>
      <c r="AK113" s="3843"/>
      <c r="AL113" s="3843"/>
      <c r="AM113" s="3843"/>
      <c r="AN113" s="3843"/>
      <c r="AO113" s="3843"/>
      <c r="AP113" s="3843"/>
      <c r="AQ113" s="3843"/>
      <c r="AR113" s="3843"/>
      <c r="AS113" s="3843"/>
      <c r="AT113" s="3849"/>
      <c r="AU113" s="3849"/>
      <c r="AV113" s="3849"/>
      <c r="AW113" s="3849"/>
      <c r="AX113" s="3849"/>
      <c r="AY113" s="3849"/>
      <c r="AZ113" s="3849"/>
      <c r="BA113" s="3849"/>
      <c r="BB113" s="3849"/>
      <c r="BC113" s="3843"/>
      <c r="BD113" s="3843"/>
      <c r="BE113" s="3843"/>
      <c r="BF113" s="3843"/>
      <c r="BG113" s="3843"/>
      <c r="BH113" s="3237"/>
      <c r="BI113" s="3237"/>
      <c r="BJ113" s="3237"/>
      <c r="BK113" s="3846"/>
      <c r="BL113" s="3846"/>
      <c r="BM113" s="3839"/>
      <c r="BN113" s="3800"/>
      <c r="BO113" s="3800"/>
      <c r="BP113" s="3800"/>
      <c r="BQ113" s="3790"/>
      <c r="BR113" s="3790"/>
      <c r="BS113" s="3790"/>
      <c r="BT113" s="3790"/>
      <c r="BU113" s="3831"/>
    </row>
    <row r="114" spans="1:73" ht="36.75" customHeight="1" x14ac:dyDescent="0.25">
      <c r="A114" s="1620"/>
      <c r="B114" s="1769"/>
      <c r="C114" s="1619"/>
      <c r="D114" s="1769"/>
      <c r="G114" s="3834"/>
      <c r="H114" s="3128"/>
      <c r="I114" s="3834"/>
      <c r="J114" s="3128"/>
      <c r="K114" s="3834"/>
      <c r="L114" s="2632"/>
      <c r="M114" s="3834"/>
      <c r="N114" s="2632"/>
      <c r="O114" s="3869"/>
      <c r="P114" s="3869"/>
      <c r="Q114" s="2274"/>
      <c r="R114" s="3109"/>
      <c r="S114" s="3862"/>
      <c r="T114" s="3855"/>
      <c r="U114" s="2426"/>
      <c r="V114" s="2298"/>
      <c r="W114" s="3857"/>
      <c r="X114" s="1653">
        <v>4951294.84</v>
      </c>
      <c r="Y114" s="1653">
        <v>0</v>
      </c>
      <c r="Z114" s="1653">
        <v>0</v>
      </c>
      <c r="AA114" s="1546" t="s">
        <v>2826</v>
      </c>
      <c r="AB114" s="3816"/>
      <c r="AC114" s="2426"/>
      <c r="AD114" s="3849"/>
      <c r="AE114" s="3843"/>
      <c r="AF114" s="3843"/>
      <c r="AG114" s="3007"/>
      <c r="AH114" s="3269"/>
      <c r="AI114" s="3843"/>
      <c r="AJ114" s="3843"/>
      <c r="AK114" s="3843"/>
      <c r="AL114" s="3843"/>
      <c r="AM114" s="3843"/>
      <c r="AN114" s="3843"/>
      <c r="AO114" s="3843"/>
      <c r="AP114" s="3843"/>
      <c r="AQ114" s="3843"/>
      <c r="AR114" s="3843"/>
      <c r="AS114" s="3843"/>
      <c r="AT114" s="3849"/>
      <c r="AU114" s="3849"/>
      <c r="AV114" s="3849"/>
      <c r="AW114" s="3849"/>
      <c r="AX114" s="3849"/>
      <c r="AY114" s="3849"/>
      <c r="AZ114" s="3849"/>
      <c r="BA114" s="3849"/>
      <c r="BB114" s="3849"/>
      <c r="BC114" s="3843"/>
      <c r="BD114" s="3843"/>
      <c r="BE114" s="3843"/>
      <c r="BF114" s="3843"/>
      <c r="BG114" s="3843"/>
      <c r="BH114" s="3237"/>
      <c r="BI114" s="3237"/>
      <c r="BJ114" s="3237"/>
      <c r="BK114" s="3846"/>
      <c r="BL114" s="3846"/>
      <c r="BM114" s="3839"/>
      <c r="BN114" s="3800"/>
      <c r="BO114" s="3800"/>
      <c r="BP114" s="3800"/>
      <c r="BQ114" s="3790"/>
      <c r="BR114" s="3790"/>
      <c r="BS114" s="3790"/>
      <c r="BT114" s="3790"/>
      <c r="BU114" s="3831"/>
    </row>
    <row r="115" spans="1:73" ht="38.25" customHeight="1" x14ac:dyDescent="0.25">
      <c r="A115" s="1620"/>
      <c r="B115" s="1769"/>
      <c r="C115" s="1619"/>
      <c r="D115" s="1769"/>
      <c r="G115" s="3834"/>
      <c r="H115" s="3128"/>
      <c r="I115" s="3834"/>
      <c r="J115" s="3128"/>
      <c r="K115" s="3834"/>
      <c r="L115" s="2632"/>
      <c r="M115" s="3834"/>
      <c r="N115" s="2632"/>
      <c r="O115" s="3869"/>
      <c r="P115" s="3869"/>
      <c r="Q115" s="2274"/>
      <c r="R115" s="3109"/>
      <c r="S115" s="3862"/>
      <c r="T115" s="3855"/>
      <c r="U115" s="2426"/>
      <c r="V115" s="2298"/>
      <c r="W115" s="3857"/>
      <c r="X115" s="1653">
        <v>4500831.55</v>
      </c>
      <c r="Y115" s="1653">
        <v>0</v>
      </c>
      <c r="Z115" s="1653">
        <v>0</v>
      </c>
      <c r="AA115" s="1546" t="s">
        <v>2827</v>
      </c>
      <c r="AB115" s="3816"/>
      <c r="AC115" s="2426"/>
      <c r="AD115" s="3849"/>
      <c r="AE115" s="3843"/>
      <c r="AF115" s="3843"/>
      <c r="AG115" s="3007"/>
      <c r="AH115" s="3269"/>
      <c r="AI115" s="3843"/>
      <c r="AJ115" s="3843"/>
      <c r="AK115" s="3843"/>
      <c r="AL115" s="3843"/>
      <c r="AM115" s="3843"/>
      <c r="AN115" s="3843"/>
      <c r="AO115" s="3843"/>
      <c r="AP115" s="3843"/>
      <c r="AQ115" s="3843"/>
      <c r="AR115" s="3843"/>
      <c r="AS115" s="3843"/>
      <c r="AT115" s="3849"/>
      <c r="AU115" s="3849"/>
      <c r="AV115" s="3849"/>
      <c r="AW115" s="3849"/>
      <c r="AX115" s="3849"/>
      <c r="AY115" s="3849"/>
      <c r="AZ115" s="3849"/>
      <c r="BA115" s="3849"/>
      <c r="BB115" s="3849"/>
      <c r="BC115" s="3843"/>
      <c r="BD115" s="3843"/>
      <c r="BE115" s="3843"/>
      <c r="BF115" s="3843"/>
      <c r="BG115" s="3843"/>
      <c r="BH115" s="3237"/>
      <c r="BI115" s="3237"/>
      <c r="BJ115" s="3237"/>
      <c r="BK115" s="3846"/>
      <c r="BL115" s="3846"/>
      <c r="BM115" s="3839"/>
      <c r="BN115" s="3800"/>
      <c r="BO115" s="3800"/>
      <c r="BP115" s="3800"/>
      <c r="BQ115" s="3790"/>
      <c r="BR115" s="3790"/>
      <c r="BS115" s="3790"/>
      <c r="BT115" s="3790"/>
      <c r="BU115" s="3831"/>
    </row>
    <row r="116" spans="1:73" ht="39" customHeight="1" x14ac:dyDescent="0.25">
      <c r="A116" s="1620"/>
      <c r="B116" s="1769"/>
      <c r="C116" s="1619"/>
      <c r="D116" s="1769"/>
      <c r="G116" s="3835"/>
      <c r="H116" s="3836"/>
      <c r="I116" s="3835"/>
      <c r="J116" s="3836"/>
      <c r="K116" s="3835"/>
      <c r="L116" s="3837"/>
      <c r="M116" s="3835"/>
      <c r="N116" s="3837"/>
      <c r="O116" s="3869"/>
      <c r="P116" s="3869"/>
      <c r="Q116" s="2274"/>
      <c r="R116" s="3109"/>
      <c r="S116" s="3863"/>
      <c r="T116" s="3855"/>
      <c r="U116" s="2426"/>
      <c r="V116" s="2298"/>
      <c r="W116" s="3864"/>
      <c r="X116" s="1653">
        <v>1750534.57</v>
      </c>
      <c r="Y116" s="1653">
        <v>0</v>
      </c>
      <c r="Z116" s="1653">
        <v>0</v>
      </c>
      <c r="AA116" s="1546" t="s">
        <v>2828</v>
      </c>
      <c r="AB116" s="3860"/>
      <c r="AC116" s="2427"/>
      <c r="AD116" s="3849"/>
      <c r="AE116" s="3843"/>
      <c r="AF116" s="3843"/>
      <c r="AG116" s="3007"/>
      <c r="AH116" s="3269"/>
      <c r="AI116" s="3843"/>
      <c r="AJ116" s="3843"/>
      <c r="AK116" s="3843"/>
      <c r="AL116" s="3843"/>
      <c r="AM116" s="3843"/>
      <c r="AN116" s="3843"/>
      <c r="AO116" s="3843"/>
      <c r="AP116" s="3843"/>
      <c r="AQ116" s="3843"/>
      <c r="AR116" s="3843"/>
      <c r="AS116" s="3843"/>
      <c r="AT116" s="3849"/>
      <c r="AU116" s="3849"/>
      <c r="AV116" s="3849"/>
      <c r="AW116" s="3849"/>
      <c r="AX116" s="3849"/>
      <c r="AY116" s="3849"/>
      <c r="AZ116" s="3849"/>
      <c r="BA116" s="3849"/>
      <c r="BB116" s="3849"/>
      <c r="BC116" s="3843"/>
      <c r="BD116" s="3843"/>
      <c r="BE116" s="3843"/>
      <c r="BF116" s="3843"/>
      <c r="BG116" s="3843"/>
      <c r="BH116" s="3237"/>
      <c r="BI116" s="3237"/>
      <c r="BJ116" s="3237"/>
      <c r="BK116" s="3846"/>
      <c r="BL116" s="3846"/>
      <c r="BM116" s="3839"/>
      <c r="BN116" s="3800"/>
      <c r="BO116" s="3800"/>
      <c r="BP116" s="3800"/>
      <c r="BQ116" s="3790"/>
      <c r="BR116" s="3790"/>
      <c r="BS116" s="3790"/>
      <c r="BT116" s="3790"/>
      <c r="BU116" s="3831"/>
    </row>
    <row r="117" spans="1:73" ht="30" customHeight="1" x14ac:dyDescent="0.25">
      <c r="A117" s="1620"/>
      <c r="B117" s="1769"/>
      <c r="C117" s="1619"/>
      <c r="D117" s="1769"/>
      <c r="G117" s="3827">
        <v>2201042</v>
      </c>
      <c r="H117" s="2397" t="s">
        <v>2829</v>
      </c>
      <c r="I117" s="3827">
        <v>2201042</v>
      </c>
      <c r="J117" s="2397" t="s">
        <v>2829</v>
      </c>
      <c r="K117" s="3828">
        <v>220104200</v>
      </c>
      <c r="L117" s="2396" t="s">
        <v>2830</v>
      </c>
      <c r="M117" s="3828">
        <v>220104200</v>
      </c>
      <c r="N117" s="2396" t="s">
        <v>2830</v>
      </c>
      <c r="O117" s="3869">
        <v>6000</v>
      </c>
      <c r="P117" s="3869">
        <v>208</v>
      </c>
      <c r="Q117" s="2274"/>
      <c r="R117" s="3109"/>
      <c r="S117" s="3865">
        <f>SUM(X117:X120)/T109</f>
        <v>5.7413961546019375E-5</v>
      </c>
      <c r="T117" s="3855"/>
      <c r="U117" s="2426"/>
      <c r="V117" s="2299" t="s">
        <v>2831</v>
      </c>
      <c r="W117" s="2396" t="s">
        <v>2832</v>
      </c>
      <c r="X117" s="1653">
        <v>664449.19999999995</v>
      </c>
      <c r="Y117" s="1653">
        <v>664449.19999999995</v>
      </c>
      <c r="Z117" s="1653">
        <v>0</v>
      </c>
      <c r="AA117" s="1546" t="s">
        <v>2833</v>
      </c>
      <c r="AB117" s="3859">
        <v>20</v>
      </c>
      <c r="AC117" s="2425" t="s">
        <v>1614</v>
      </c>
      <c r="AD117" s="3849"/>
      <c r="AE117" s="3843"/>
      <c r="AF117" s="3843"/>
      <c r="AG117" s="3007"/>
      <c r="AH117" s="3269"/>
      <c r="AI117" s="3843"/>
      <c r="AJ117" s="3843"/>
      <c r="AK117" s="3843"/>
      <c r="AL117" s="3843"/>
      <c r="AM117" s="3843"/>
      <c r="AN117" s="3843"/>
      <c r="AO117" s="3843"/>
      <c r="AP117" s="3843"/>
      <c r="AQ117" s="3843"/>
      <c r="AR117" s="3843"/>
      <c r="AS117" s="3843"/>
      <c r="AT117" s="3849"/>
      <c r="AU117" s="3849"/>
      <c r="AV117" s="3849"/>
      <c r="AW117" s="3849"/>
      <c r="AX117" s="3849"/>
      <c r="AY117" s="3849"/>
      <c r="AZ117" s="3849"/>
      <c r="BA117" s="3849"/>
      <c r="BB117" s="3849"/>
      <c r="BC117" s="3843"/>
      <c r="BD117" s="3843"/>
      <c r="BE117" s="3843"/>
      <c r="BF117" s="3843"/>
      <c r="BG117" s="3843"/>
      <c r="BH117" s="3237"/>
      <c r="BI117" s="3237"/>
      <c r="BJ117" s="3237"/>
      <c r="BK117" s="3846"/>
      <c r="BL117" s="3846"/>
      <c r="BM117" s="3839"/>
      <c r="BN117" s="3800"/>
      <c r="BO117" s="3800"/>
      <c r="BP117" s="3800"/>
      <c r="BQ117" s="3790"/>
      <c r="BR117" s="3790"/>
      <c r="BS117" s="3790"/>
      <c r="BT117" s="3790"/>
      <c r="BU117" s="3831"/>
    </row>
    <row r="118" spans="1:73" ht="24" customHeight="1" x14ac:dyDescent="0.25">
      <c r="A118" s="1620"/>
      <c r="B118" s="1769"/>
      <c r="C118" s="1619"/>
      <c r="D118" s="1769"/>
      <c r="G118" s="3827"/>
      <c r="H118" s="2397"/>
      <c r="I118" s="3827"/>
      <c r="J118" s="2397"/>
      <c r="K118" s="3828"/>
      <c r="L118" s="2396"/>
      <c r="M118" s="3828"/>
      <c r="N118" s="2396"/>
      <c r="O118" s="3869"/>
      <c r="P118" s="3869"/>
      <c r="Q118" s="2274"/>
      <c r="R118" s="3109"/>
      <c r="S118" s="3865"/>
      <c r="T118" s="3855"/>
      <c r="U118" s="2426"/>
      <c r="V118" s="2787"/>
      <c r="W118" s="2396"/>
      <c r="X118" s="1653">
        <v>4126079.04</v>
      </c>
      <c r="Y118" s="1653">
        <v>4031246.04</v>
      </c>
      <c r="Z118" s="1653">
        <v>0</v>
      </c>
      <c r="AA118" s="1546" t="s">
        <v>2834</v>
      </c>
      <c r="AB118" s="3816"/>
      <c r="AC118" s="2426"/>
      <c r="AD118" s="3849"/>
      <c r="AE118" s="3843"/>
      <c r="AF118" s="3843"/>
      <c r="AG118" s="3007"/>
      <c r="AH118" s="3269"/>
      <c r="AI118" s="3843"/>
      <c r="AJ118" s="3843"/>
      <c r="AK118" s="3843"/>
      <c r="AL118" s="3843"/>
      <c r="AM118" s="3843"/>
      <c r="AN118" s="3843"/>
      <c r="AO118" s="3843"/>
      <c r="AP118" s="3843"/>
      <c r="AQ118" s="3843"/>
      <c r="AR118" s="3843"/>
      <c r="AS118" s="3843"/>
      <c r="AT118" s="3849"/>
      <c r="AU118" s="3849"/>
      <c r="AV118" s="3849"/>
      <c r="AW118" s="3849"/>
      <c r="AX118" s="3849"/>
      <c r="AY118" s="3849"/>
      <c r="AZ118" s="3849"/>
      <c r="BA118" s="3849"/>
      <c r="BB118" s="3849"/>
      <c r="BC118" s="3843"/>
      <c r="BD118" s="3843"/>
      <c r="BE118" s="3843"/>
      <c r="BF118" s="3843"/>
      <c r="BG118" s="3843"/>
      <c r="BH118" s="3237"/>
      <c r="BI118" s="3237"/>
      <c r="BJ118" s="3237"/>
      <c r="BK118" s="3846"/>
      <c r="BL118" s="3846"/>
      <c r="BM118" s="3839"/>
      <c r="BN118" s="3800"/>
      <c r="BO118" s="3800"/>
      <c r="BP118" s="3800"/>
      <c r="BQ118" s="3790"/>
      <c r="BR118" s="3790"/>
      <c r="BS118" s="3790"/>
      <c r="BT118" s="3790"/>
      <c r="BU118" s="3831"/>
    </row>
    <row r="119" spans="1:73" ht="30.75" customHeight="1" x14ac:dyDescent="0.25">
      <c r="A119" s="1620"/>
      <c r="B119" s="1769"/>
      <c r="C119" s="1619"/>
      <c r="D119" s="1769"/>
      <c r="G119" s="3827"/>
      <c r="H119" s="2397"/>
      <c r="I119" s="3827"/>
      <c r="J119" s="2397"/>
      <c r="K119" s="3828"/>
      <c r="L119" s="2396"/>
      <c r="M119" s="3828"/>
      <c r="N119" s="2396"/>
      <c r="O119" s="3869"/>
      <c r="P119" s="3869"/>
      <c r="Q119" s="2274"/>
      <c r="R119" s="3109"/>
      <c r="S119" s="3865"/>
      <c r="T119" s="3855"/>
      <c r="U119" s="2426"/>
      <c r="V119" s="2787"/>
      <c r="W119" s="2396"/>
      <c r="X119" s="1653">
        <v>3750692.96</v>
      </c>
      <c r="Y119" s="1653">
        <v>3750692.96</v>
      </c>
      <c r="Z119" s="1653">
        <v>0</v>
      </c>
      <c r="AA119" s="1546" t="s">
        <v>2835</v>
      </c>
      <c r="AB119" s="3816"/>
      <c r="AC119" s="2426"/>
      <c r="AD119" s="3849"/>
      <c r="AE119" s="3843"/>
      <c r="AF119" s="3843"/>
      <c r="AG119" s="3007"/>
      <c r="AH119" s="3269"/>
      <c r="AI119" s="3843"/>
      <c r="AJ119" s="3843"/>
      <c r="AK119" s="3843"/>
      <c r="AL119" s="3843"/>
      <c r="AM119" s="3843"/>
      <c r="AN119" s="3843"/>
      <c r="AO119" s="3843"/>
      <c r="AP119" s="3843"/>
      <c r="AQ119" s="3843"/>
      <c r="AR119" s="3843"/>
      <c r="AS119" s="3843"/>
      <c r="AT119" s="3849"/>
      <c r="AU119" s="3849"/>
      <c r="AV119" s="3849"/>
      <c r="AW119" s="3849"/>
      <c r="AX119" s="3849"/>
      <c r="AY119" s="3849"/>
      <c r="AZ119" s="3849"/>
      <c r="BA119" s="3849"/>
      <c r="BB119" s="3849"/>
      <c r="BC119" s="3843"/>
      <c r="BD119" s="3843"/>
      <c r="BE119" s="3843"/>
      <c r="BF119" s="3843"/>
      <c r="BG119" s="3843"/>
      <c r="BH119" s="3237"/>
      <c r="BI119" s="3237"/>
      <c r="BJ119" s="3237"/>
      <c r="BK119" s="3846"/>
      <c r="BL119" s="3846"/>
      <c r="BM119" s="3839"/>
      <c r="BN119" s="3800"/>
      <c r="BO119" s="3800"/>
      <c r="BP119" s="3800"/>
      <c r="BQ119" s="3790"/>
      <c r="BR119" s="3790"/>
      <c r="BS119" s="3790"/>
      <c r="BT119" s="3790"/>
      <c r="BU119" s="3831"/>
    </row>
    <row r="120" spans="1:73" ht="30" customHeight="1" x14ac:dyDescent="0.25">
      <c r="A120" s="1620"/>
      <c r="B120" s="1769"/>
      <c r="C120" s="1619"/>
      <c r="D120" s="1769"/>
      <c r="G120" s="3827"/>
      <c r="H120" s="2397"/>
      <c r="I120" s="3827"/>
      <c r="J120" s="2397"/>
      <c r="K120" s="3828"/>
      <c r="L120" s="2396"/>
      <c r="M120" s="3828"/>
      <c r="N120" s="2396"/>
      <c r="O120" s="3869"/>
      <c r="P120" s="3869"/>
      <c r="Q120" s="2274"/>
      <c r="R120" s="3109"/>
      <c r="S120" s="3865"/>
      <c r="T120" s="3855"/>
      <c r="U120" s="2426"/>
      <c r="V120" s="2787"/>
      <c r="W120" s="2396"/>
      <c r="X120" s="1653">
        <v>1458778.81</v>
      </c>
      <c r="Y120" s="1653">
        <v>1458778.8</v>
      </c>
      <c r="Z120" s="1653">
        <v>0</v>
      </c>
      <c r="AA120" s="1546" t="s">
        <v>2836</v>
      </c>
      <c r="AB120" s="3860"/>
      <c r="AC120" s="2426"/>
      <c r="AD120" s="3849"/>
      <c r="AE120" s="3843"/>
      <c r="AF120" s="3843"/>
      <c r="AG120" s="3007"/>
      <c r="AH120" s="3269"/>
      <c r="AI120" s="3843"/>
      <c r="AJ120" s="3843"/>
      <c r="AK120" s="3843"/>
      <c r="AL120" s="3843"/>
      <c r="AM120" s="3843"/>
      <c r="AN120" s="3843"/>
      <c r="AO120" s="3843"/>
      <c r="AP120" s="3843"/>
      <c r="AQ120" s="3843"/>
      <c r="AR120" s="3843"/>
      <c r="AS120" s="3843"/>
      <c r="AT120" s="3849"/>
      <c r="AU120" s="3849"/>
      <c r="AV120" s="3849"/>
      <c r="AW120" s="3849"/>
      <c r="AX120" s="3849"/>
      <c r="AY120" s="3849"/>
      <c r="AZ120" s="3849"/>
      <c r="BA120" s="3849"/>
      <c r="BB120" s="3849"/>
      <c r="BC120" s="3843"/>
      <c r="BD120" s="3843"/>
      <c r="BE120" s="3843"/>
      <c r="BF120" s="3843"/>
      <c r="BG120" s="3843"/>
      <c r="BH120" s="3237"/>
      <c r="BI120" s="3237"/>
      <c r="BJ120" s="3237"/>
      <c r="BK120" s="3846"/>
      <c r="BL120" s="3846"/>
      <c r="BM120" s="3839"/>
      <c r="BN120" s="3800"/>
      <c r="BO120" s="3800"/>
      <c r="BP120" s="3800"/>
      <c r="BQ120" s="3790"/>
      <c r="BR120" s="3790"/>
      <c r="BS120" s="3790"/>
      <c r="BT120" s="3790"/>
      <c r="BU120" s="3831"/>
    </row>
    <row r="121" spans="1:73" ht="40.5" customHeight="1" x14ac:dyDescent="0.25">
      <c r="A121" s="1620"/>
      <c r="B121" s="1769"/>
      <c r="C121" s="1619"/>
      <c r="D121" s="1769"/>
      <c r="G121" s="3815" t="s">
        <v>2837</v>
      </c>
      <c r="H121" s="3821" t="s">
        <v>2838</v>
      </c>
      <c r="I121" s="3815" t="s">
        <v>2837</v>
      </c>
      <c r="J121" s="3821" t="s">
        <v>2838</v>
      </c>
      <c r="K121" s="3815" t="s">
        <v>2839</v>
      </c>
      <c r="L121" s="3824" t="s">
        <v>2840</v>
      </c>
      <c r="M121" s="3815" t="s">
        <v>2839</v>
      </c>
      <c r="N121" s="3824" t="s">
        <v>2840</v>
      </c>
      <c r="O121" s="3870" t="s">
        <v>2841</v>
      </c>
      <c r="P121" s="3870" t="s">
        <v>2841</v>
      </c>
      <c r="Q121" s="2274"/>
      <c r="R121" s="3109"/>
      <c r="S121" s="3866">
        <f>SUM(X121:X210)/T109</f>
        <v>0.98849405567267579</v>
      </c>
      <c r="T121" s="3855"/>
      <c r="U121" s="2426"/>
      <c r="V121" s="2787"/>
      <c r="W121" s="3560" t="s">
        <v>2842</v>
      </c>
      <c r="X121" s="1367">
        <v>8428000000</v>
      </c>
      <c r="Y121" s="1367">
        <v>3808246830</v>
      </c>
      <c r="Z121" s="1367">
        <v>3801680405</v>
      </c>
      <c r="AA121" s="1546" t="s">
        <v>2843</v>
      </c>
      <c r="AB121" s="3817">
        <v>25</v>
      </c>
      <c r="AC121" s="3150" t="s">
        <v>2586</v>
      </c>
      <c r="AD121" s="3849"/>
      <c r="AE121" s="3843"/>
      <c r="AF121" s="3843"/>
      <c r="AG121" s="3007"/>
      <c r="AH121" s="3269"/>
      <c r="AI121" s="3843"/>
      <c r="AJ121" s="3843"/>
      <c r="AK121" s="3843"/>
      <c r="AL121" s="3843"/>
      <c r="AM121" s="3843"/>
      <c r="AN121" s="3843"/>
      <c r="AO121" s="3843"/>
      <c r="AP121" s="3843"/>
      <c r="AQ121" s="3843"/>
      <c r="AR121" s="3843"/>
      <c r="AS121" s="3843"/>
      <c r="AT121" s="3849"/>
      <c r="AU121" s="3849"/>
      <c r="AV121" s="3849"/>
      <c r="AW121" s="3849"/>
      <c r="AX121" s="3849"/>
      <c r="AY121" s="3849"/>
      <c r="AZ121" s="3849"/>
      <c r="BA121" s="3849"/>
      <c r="BB121" s="3849"/>
      <c r="BC121" s="3843"/>
      <c r="BD121" s="3843"/>
      <c r="BE121" s="3843"/>
      <c r="BF121" s="3843"/>
      <c r="BG121" s="3843"/>
      <c r="BH121" s="3237"/>
      <c r="BI121" s="3237"/>
      <c r="BJ121" s="3237"/>
      <c r="BK121" s="3846"/>
      <c r="BL121" s="3846"/>
      <c r="BM121" s="3839"/>
      <c r="BN121" s="3800"/>
      <c r="BO121" s="3800"/>
      <c r="BP121" s="3800"/>
      <c r="BQ121" s="3790"/>
      <c r="BR121" s="3790"/>
      <c r="BS121" s="3790"/>
      <c r="BT121" s="3790"/>
      <c r="BU121" s="3831"/>
    </row>
    <row r="122" spans="1:73" x14ac:dyDescent="0.25">
      <c r="A122" s="1620"/>
      <c r="B122" s="1769"/>
      <c r="C122" s="1619"/>
      <c r="D122" s="1769"/>
      <c r="G122" s="3819"/>
      <c r="H122" s="3822"/>
      <c r="I122" s="3819"/>
      <c r="J122" s="3822"/>
      <c r="K122" s="3819"/>
      <c r="L122" s="3825"/>
      <c r="M122" s="3819"/>
      <c r="N122" s="3825"/>
      <c r="O122" s="3870"/>
      <c r="P122" s="3870"/>
      <c r="Q122" s="2274"/>
      <c r="R122" s="3109"/>
      <c r="S122" s="3867"/>
      <c r="T122" s="3855"/>
      <c r="U122" s="2426"/>
      <c r="V122" s="2787"/>
      <c r="W122" s="2579"/>
      <c r="X122" s="1367">
        <v>1127000000</v>
      </c>
      <c r="Y122" s="1367">
        <v>209741934</v>
      </c>
      <c r="Z122" s="1367">
        <v>209741934</v>
      </c>
      <c r="AA122" s="1546" t="s">
        <v>2844</v>
      </c>
      <c r="AB122" s="3817"/>
      <c r="AC122" s="3150"/>
      <c r="AD122" s="3849"/>
      <c r="AE122" s="3843"/>
      <c r="AF122" s="3843"/>
      <c r="AG122" s="3007"/>
      <c r="AH122" s="3269"/>
      <c r="AI122" s="3843"/>
      <c r="AJ122" s="3843"/>
      <c r="AK122" s="3843"/>
      <c r="AL122" s="3843"/>
      <c r="AM122" s="3843"/>
      <c r="AN122" s="3843"/>
      <c r="AO122" s="3843"/>
      <c r="AP122" s="3843"/>
      <c r="AQ122" s="3843"/>
      <c r="AR122" s="3843"/>
      <c r="AS122" s="3843"/>
      <c r="AT122" s="3849"/>
      <c r="AU122" s="3849"/>
      <c r="AV122" s="3849"/>
      <c r="AW122" s="3849"/>
      <c r="AX122" s="3849"/>
      <c r="AY122" s="3849"/>
      <c r="AZ122" s="3849"/>
      <c r="BA122" s="3849"/>
      <c r="BB122" s="3849"/>
      <c r="BC122" s="3843"/>
      <c r="BD122" s="3843"/>
      <c r="BE122" s="3843"/>
      <c r="BF122" s="3843"/>
      <c r="BG122" s="3843"/>
      <c r="BH122" s="3237"/>
      <c r="BI122" s="3237"/>
      <c r="BJ122" s="3237"/>
      <c r="BK122" s="3846"/>
      <c r="BL122" s="3846"/>
      <c r="BM122" s="3839"/>
      <c r="BN122" s="3800"/>
      <c r="BO122" s="3800"/>
      <c r="BP122" s="3800"/>
      <c r="BQ122" s="3790"/>
      <c r="BR122" s="3790"/>
      <c r="BS122" s="3790"/>
      <c r="BT122" s="3790"/>
      <c r="BU122" s="3831"/>
    </row>
    <row r="123" spans="1:73" x14ac:dyDescent="0.25">
      <c r="A123" s="1620"/>
      <c r="B123" s="1769"/>
      <c r="C123" s="1619"/>
      <c r="D123" s="1769"/>
      <c r="G123" s="3819"/>
      <c r="H123" s="3822"/>
      <c r="I123" s="3819"/>
      <c r="J123" s="3822"/>
      <c r="K123" s="3819"/>
      <c r="L123" s="3825"/>
      <c r="M123" s="3819"/>
      <c r="N123" s="3825"/>
      <c r="O123" s="3870"/>
      <c r="P123" s="3870"/>
      <c r="Q123" s="2274"/>
      <c r="R123" s="3109"/>
      <c r="S123" s="3867"/>
      <c r="T123" s="3855"/>
      <c r="U123" s="2426"/>
      <c r="V123" s="2787"/>
      <c r="W123" s="2579"/>
      <c r="X123" s="1367">
        <v>352000000</v>
      </c>
      <c r="Y123" s="1367">
        <v>6004717</v>
      </c>
      <c r="Z123" s="1367">
        <v>6004717</v>
      </c>
      <c r="AA123" s="1546" t="s">
        <v>2845</v>
      </c>
      <c r="AB123" s="3817"/>
      <c r="AC123" s="3150"/>
      <c r="AD123" s="3849"/>
      <c r="AE123" s="3843"/>
      <c r="AF123" s="3843"/>
      <c r="AG123" s="3007"/>
      <c r="AH123" s="3269"/>
      <c r="AI123" s="3843"/>
      <c r="AJ123" s="3843"/>
      <c r="AK123" s="3843"/>
      <c r="AL123" s="3843"/>
      <c r="AM123" s="3843"/>
      <c r="AN123" s="3843"/>
      <c r="AO123" s="3843"/>
      <c r="AP123" s="3843"/>
      <c r="AQ123" s="3843"/>
      <c r="AR123" s="3843"/>
      <c r="AS123" s="3843"/>
      <c r="AT123" s="3849"/>
      <c r="AU123" s="3849"/>
      <c r="AV123" s="3849"/>
      <c r="AW123" s="3849"/>
      <c r="AX123" s="3849"/>
      <c r="AY123" s="3849"/>
      <c r="AZ123" s="3849"/>
      <c r="BA123" s="3849"/>
      <c r="BB123" s="3849"/>
      <c r="BC123" s="3843"/>
      <c r="BD123" s="3843"/>
      <c r="BE123" s="3843"/>
      <c r="BF123" s="3843"/>
      <c r="BG123" s="3843"/>
      <c r="BH123" s="3237"/>
      <c r="BI123" s="3237"/>
      <c r="BJ123" s="3237"/>
      <c r="BK123" s="3846"/>
      <c r="BL123" s="3846"/>
      <c r="BM123" s="3839"/>
      <c r="BN123" s="3800"/>
      <c r="BO123" s="3800"/>
      <c r="BP123" s="3800"/>
      <c r="BQ123" s="3790"/>
      <c r="BR123" s="3790"/>
      <c r="BS123" s="3790"/>
      <c r="BT123" s="3790"/>
      <c r="BU123" s="3831"/>
    </row>
    <row r="124" spans="1:73" x14ac:dyDescent="0.25">
      <c r="A124" s="1620"/>
      <c r="B124" s="1769"/>
      <c r="C124" s="1619"/>
      <c r="D124" s="1769"/>
      <c r="G124" s="3819"/>
      <c r="H124" s="3822"/>
      <c r="I124" s="3819"/>
      <c r="J124" s="3822"/>
      <c r="K124" s="3819"/>
      <c r="L124" s="3825"/>
      <c r="M124" s="3819"/>
      <c r="N124" s="3825"/>
      <c r="O124" s="3870"/>
      <c r="P124" s="3870"/>
      <c r="Q124" s="2274"/>
      <c r="R124" s="3109"/>
      <c r="S124" s="3867"/>
      <c r="T124" s="3855"/>
      <c r="U124" s="2426"/>
      <c r="V124" s="2787"/>
      <c r="W124" s="2579"/>
      <c r="X124" s="1367">
        <v>246000000</v>
      </c>
      <c r="Y124" s="1367">
        <v>132894452</v>
      </c>
      <c r="Z124" s="1367">
        <v>132894452</v>
      </c>
      <c r="AA124" s="1546" t="s">
        <v>2846</v>
      </c>
      <c r="AB124" s="3817"/>
      <c r="AC124" s="3150"/>
      <c r="AD124" s="3849"/>
      <c r="AE124" s="3843"/>
      <c r="AF124" s="3843"/>
      <c r="AG124" s="3007"/>
      <c r="AH124" s="3269"/>
      <c r="AI124" s="3843"/>
      <c r="AJ124" s="3843"/>
      <c r="AK124" s="3843"/>
      <c r="AL124" s="3843"/>
      <c r="AM124" s="3843"/>
      <c r="AN124" s="3843"/>
      <c r="AO124" s="3843"/>
      <c r="AP124" s="3843"/>
      <c r="AQ124" s="3843"/>
      <c r="AR124" s="3843"/>
      <c r="AS124" s="3843"/>
      <c r="AT124" s="3849"/>
      <c r="AU124" s="3849"/>
      <c r="AV124" s="3849"/>
      <c r="AW124" s="3849"/>
      <c r="AX124" s="3849"/>
      <c r="AY124" s="3849"/>
      <c r="AZ124" s="3849"/>
      <c r="BA124" s="3849"/>
      <c r="BB124" s="3849"/>
      <c r="BC124" s="3843"/>
      <c r="BD124" s="3843"/>
      <c r="BE124" s="3843"/>
      <c r="BF124" s="3843"/>
      <c r="BG124" s="3843"/>
      <c r="BH124" s="3237"/>
      <c r="BI124" s="3237"/>
      <c r="BJ124" s="3237"/>
      <c r="BK124" s="3846"/>
      <c r="BL124" s="3846"/>
      <c r="BM124" s="3839"/>
      <c r="BN124" s="3800"/>
      <c r="BO124" s="3800"/>
      <c r="BP124" s="3800"/>
      <c r="BQ124" s="3790"/>
      <c r="BR124" s="3790"/>
      <c r="BS124" s="3790"/>
      <c r="BT124" s="3790"/>
      <c r="BU124" s="3831"/>
    </row>
    <row r="125" spans="1:73" x14ac:dyDescent="0.25">
      <c r="A125" s="1620"/>
      <c r="B125" s="1769"/>
      <c r="C125" s="1619"/>
      <c r="D125" s="1769"/>
      <c r="G125" s="3819"/>
      <c r="H125" s="3822"/>
      <c r="I125" s="3819"/>
      <c r="J125" s="3822"/>
      <c r="K125" s="3819"/>
      <c r="L125" s="3825"/>
      <c r="M125" s="3819"/>
      <c r="N125" s="3825"/>
      <c r="O125" s="3870"/>
      <c r="P125" s="3870"/>
      <c r="Q125" s="2274"/>
      <c r="R125" s="3109"/>
      <c r="S125" s="3867"/>
      <c r="T125" s="3855"/>
      <c r="U125" s="2426"/>
      <c r="V125" s="2787"/>
      <c r="W125" s="2579"/>
      <c r="X125" s="1367">
        <v>786000000</v>
      </c>
      <c r="Y125" s="1367">
        <v>3376974</v>
      </c>
      <c r="Z125" s="1367">
        <v>3376974</v>
      </c>
      <c r="AA125" s="1624" t="s">
        <v>2847</v>
      </c>
      <c r="AB125" s="3817"/>
      <c r="AC125" s="3150"/>
      <c r="AD125" s="3849"/>
      <c r="AE125" s="3843"/>
      <c r="AF125" s="3843"/>
      <c r="AG125" s="3007"/>
      <c r="AH125" s="3269"/>
      <c r="AI125" s="3843"/>
      <c r="AJ125" s="3843"/>
      <c r="AK125" s="3843"/>
      <c r="AL125" s="3843"/>
      <c r="AM125" s="3843"/>
      <c r="AN125" s="3843"/>
      <c r="AO125" s="3843"/>
      <c r="AP125" s="3843"/>
      <c r="AQ125" s="3843"/>
      <c r="AR125" s="3843"/>
      <c r="AS125" s="3843"/>
      <c r="AT125" s="3849"/>
      <c r="AU125" s="3849"/>
      <c r="AV125" s="3849"/>
      <c r="AW125" s="3849"/>
      <c r="AX125" s="3849"/>
      <c r="AY125" s="3849"/>
      <c r="AZ125" s="3849"/>
      <c r="BA125" s="3849"/>
      <c r="BB125" s="3849"/>
      <c r="BC125" s="3843"/>
      <c r="BD125" s="3843"/>
      <c r="BE125" s="3843"/>
      <c r="BF125" s="3843"/>
      <c r="BG125" s="3843"/>
      <c r="BH125" s="3237"/>
      <c r="BI125" s="3237"/>
      <c r="BJ125" s="3237"/>
      <c r="BK125" s="3846"/>
      <c r="BL125" s="3846"/>
      <c r="BM125" s="3839"/>
      <c r="BN125" s="3800"/>
      <c r="BO125" s="3800"/>
      <c r="BP125" s="3800"/>
      <c r="BQ125" s="3790"/>
      <c r="BR125" s="3790"/>
      <c r="BS125" s="3790"/>
      <c r="BT125" s="3790"/>
      <c r="BU125" s="3831"/>
    </row>
    <row r="126" spans="1:73" x14ac:dyDescent="0.25">
      <c r="A126" s="1620"/>
      <c r="B126" s="1769"/>
      <c r="C126" s="1619"/>
      <c r="D126" s="1769"/>
      <c r="G126" s="3819"/>
      <c r="H126" s="3822"/>
      <c r="I126" s="3819"/>
      <c r="J126" s="3822"/>
      <c r="K126" s="3819"/>
      <c r="L126" s="3825"/>
      <c r="M126" s="3819"/>
      <c r="N126" s="3825"/>
      <c r="O126" s="3870"/>
      <c r="P126" s="3870"/>
      <c r="Q126" s="2274"/>
      <c r="R126" s="3109"/>
      <c r="S126" s="3867"/>
      <c r="T126" s="3855"/>
      <c r="U126" s="2426"/>
      <c r="V126" s="2787"/>
      <c r="W126" s="2579"/>
      <c r="X126" s="1367">
        <v>401000000</v>
      </c>
      <c r="Y126" s="1367">
        <v>83550135</v>
      </c>
      <c r="Z126" s="1367">
        <v>83550135</v>
      </c>
      <c r="AA126" s="1546" t="s">
        <v>2848</v>
      </c>
      <c r="AB126" s="3817"/>
      <c r="AC126" s="3150"/>
      <c r="AD126" s="3849"/>
      <c r="AE126" s="3843"/>
      <c r="AF126" s="3843"/>
      <c r="AG126" s="3007"/>
      <c r="AH126" s="3269"/>
      <c r="AI126" s="3843"/>
      <c r="AJ126" s="3843"/>
      <c r="AK126" s="3843"/>
      <c r="AL126" s="3843"/>
      <c r="AM126" s="3843"/>
      <c r="AN126" s="3843"/>
      <c r="AO126" s="3843"/>
      <c r="AP126" s="3843"/>
      <c r="AQ126" s="3843"/>
      <c r="AR126" s="3843"/>
      <c r="AS126" s="3843"/>
      <c r="AT126" s="3849"/>
      <c r="AU126" s="3849"/>
      <c r="AV126" s="3849"/>
      <c r="AW126" s="3849"/>
      <c r="AX126" s="3849"/>
      <c r="AY126" s="3849"/>
      <c r="AZ126" s="3849"/>
      <c r="BA126" s="3849"/>
      <c r="BB126" s="3849"/>
      <c r="BC126" s="3843"/>
      <c r="BD126" s="3843"/>
      <c r="BE126" s="3843"/>
      <c r="BF126" s="3843"/>
      <c r="BG126" s="3843"/>
      <c r="BH126" s="3237"/>
      <c r="BI126" s="3237"/>
      <c r="BJ126" s="3237"/>
      <c r="BK126" s="3846"/>
      <c r="BL126" s="3846"/>
      <c r="BM126" s="3839"/>
      <c r="BN126" s="3800"/>
      <c r="BO126" s="3800"/>
      <c r="BP126" s="3800"/>
      <c r="BQ126" s="3790"/>
      <c r="BR126" s="3790"/>
      <c r="BS126" s="3790"/>
      <c r="BT126" s="3790"/>
      <c r="BU126" s="3831"/>
    </row>
    <row r="127" spans="1:73" x14ac:dyDescent="0.25">
      <c r="A127" s="1620"/>
      <c r="B127" s="1769"/>
      <c r="C127" s="1619"/>
      <c r="D127" s="1769"/>
      <c r="G127" s="3819"/>
      <c r="H127" s="3822"/>
      <c r="I127" s="3819"/>
      <c r="J127" s="3822"/>
      <c r="K127" s="3819"/>
      <c r="L127" s="3825"/>
      <c r="M127" s="3819"/>
      <c r="N127" s="3825"/>
      <c r="O127" s="3870"/>
      <c r="P127" s="3870"/>
      <c r="Q127" s="2274"/>
      <c r="R127" s="3109"/>
      <c r="S127" s="3867"/>
      <c r="T127" s="3855"/>
      <c r="U127" s="2426"/>
      <c r="V127" s="2787"/>
      <c r="W127" s="2579"/>
      <c r="X127" s="1367">
        <v>245000000</v>
      </c>
      <c r="Y127" s="1367">
        <v>99181497</v>
      </c>
      <c r="Z127" s="1367">
        <v>99181497</v>
      </c>
      <c r="AA127" s="1546" t="s">
        <v>2849</v>
      </c>
      <c r="AB127" s="3817"/>
      <c r="AC127" s="3150"/>
      <c r="AD127" s="3849"/>
      <c r="AE127" s="3843"/>
      <c r="AF127" s="3843"/>
      <c r="AG127" s="3007"/>
      <c r="AH127" s="3269"/>
      <c r="AI127" s="3843"/>
      <c r="AJ127" s="3843"/>
      <c r="AK127" s="3843"/>
      <c r="AL127" s="3843"/>
      <c r="AM127" s="3843"/>
      <c r="AN127" s="3843"/>
      <c r="AO127" s="3843"/>
      <c r="AP127" s="3843"/>
      <c r="AQ127" s="3843"/>
      <c r="AR127" s="3843"/>
      <c r="AS127" s="3843"/>
      <c r="AT127" s="3849"/>
      <c r="AU127" s="3849"/>
      <c r="AV127" s="3849"/>
      <c r="AW127" s="3849"/>
      <c r="AX127" s="3849"/>
      <c r="AY127" s="3849"/>
      <c r="AZ127" s="3849"/>
      <c r="BA127" s="3849"/>
      <c r="BB127" s="3849"/>
      <c r="BC127" s="3843"/>
      <c r="BD127" s="3843"/>
      <c r="BE127" s="3843"/>
      <c r="BF127" s="3843"/>
      <c r="BG127" s="3843"/>
      <c r="BH127" s="3237"/>
      <c r="BI127" s="3237"/>
      <c r="BJ127" s="3237"/>
      <c r="BK127" s="3846"/>
      <c r="BL127" s="3846"/>
      <c r="BM127" s="3839"/>
      <c r="BN127" s="3800"/>
      <c r="BO127" s="3800"/>
      <c r="BP127" s="3800"/>
      <c r="BQ127" s="3790"/>
      <c r="BR127" s="3790"/>
      <c r="BS127" s="3790"/>
      <c r="BT127" s="3790"/>
      <c r="BU127" s="3831"/>
    </row>
    <row r="128" spans="1:73" x14ac:dyDescent="0.25">
      <c r="A128" s="1620"/>
      <c r="B128" s="1769"/>
      <c r="C128" s="1619"/>
      <c r="D128" s="1769"/>
      <c r="G128" s="3819"/>
      <c r="H128" s="3822"/>
      <c r="I128" s="3819"/>
      <c r="J128" s="3822"/>
      <c r="K128" s="3819"/>
      <c r="L128" s="3825"/>
      <c r="M128" s="3819"/>
      <c r="N128" s="3825"/>
      <c r="O128" s="3870"/>
      <c r="P128" s="3870"/>
      <c r="Q128" s="2274"/>
      <c r="R128" s="3109"/>
      <c r="S128" s="3867"/>
      <c r="T128" s="3855"/>
      <c r="U128" s="2426"/>
      <c r="V128" s="2787"/>
      <c r="W128" s="2579"/>
      <c r="X128" s="1367">
        <v>1136000000</v>
      </c>
      <c r="Y128" s="1367">
        <v>499722000</v>
      </c>
      <c r="Z128" s="1367">
        <v>499722000</v>
      </c>
      <c r="AA128" s="1546" t="s">
        <v>2850</v>
      </c>
      <c r="AB128" s="3817"/>
      <c r="AC128" s="3150"/>
      <c r="AD128" s="3849"/>
      <c r="AE128" s="3843"/>
      <c r="AF128" s="3843"/>
      <c r="AG128" s="3007"/>
      <c r="AH128" s="3269"/>
      <c r="AI128" s="3843"/>
      <c r="AJ128" s="3843"/>
      <c r="AK128" s="3843"/>
      <c r="AL128" s="3843"/>
      <c r="AM128" s="3843"/>
      <c r="AN128" s="3843"/>
      <c r="AO128" s="3843"/>
      <c r="AP128" s="3843"/>
      <c r="AQ128" s="3843"/>
      <c r="AR128" s="3843"/>
      <c r="AS128" s="3843"/>
      <c r="AT128" s="3849"/>
      <c r="AU128" s="3849"/>
      <c r="AV128" s="3849"/>
      <c r="AW128" s="3849"/>
      <c r="AX128" s="3849"/>
      <c r="AY128" s="3849"/>
      <c r="AZ128" s="3849"/>
      <c r="BA128" s="3849"/>
      <c r="BB128" s="3849"/>
      <c r="BC128" s="3843"/>
      <c r="BD128" s="3843"/>
      <c r="BE128" s="3843"/>
      <c r="BF128" s="3843"/>
      <c r="BG128" s="3843"/>
      <c r="BH128" s="3237"/>
      <c r="BI128" s="3237"/>
      <c r="BJ128" s="3237"/>
      <c r="BK128" s="3846"/>
      <c r="BL128" s="3846"/>
      <c r="BM128" s="3839"/>
      <c r="BN128" s="3800"/>
      <c r="BO128" s="3800"/>
      <c r="BP128" s="3800"/>
      <c r="BQ128" s="3790"/>
      <c r="BR128" s="3790"/>
      <c r="BS128" s="3790"/>
      <c r="BT128" s="3790"/>
      <c r="BU128" s="3831"/>
    </row>
    <row r="129" spans="1:73" x14ac:dyDescent="0.25">
      <c r="A129" s="1620"/>
      <c r="B129" s="1769"/>
      <c r="C129" s="1619"/>
      <c r="D129" s="1769"/>
      <c r="G129" s="3819"/>
      <c r="H129" s="3822"/>
      <c r="I129" s="3819"/>
      <c r="J129" s="3822"/>
      <c r="K129" s="3819"/>
      <c r="L129" s="3825"/>
      <c r="M129" s="3819"/>
      <c r="N129" s="3825"/>
      <c r="O129" s="3870"/>
      <c r="P129" s="3870"/>
      <c r="Q129" s="2274"/>
      <c r="R129" s="3109"/>
      <c r="S129" s="3867"/>
      <c r="T129" s="3855"/>
      <c r="U129" s="2426"/>
      <c r="V129" s="2787"/>
      <c r="W129" s="2579"/>
      <c r="X129" s="1367">
        <v>805000000</v>
      </c>
      <c r="Y129" s="1367">
        <v>356077600</v>
      </c>
      <c r="Z129" s="1367">
        <v>356077600</v>
      </c>
      <c r="AA129" s="1546" t="s">
        <v>2851</v>
      </c>
      <c r="AB129" s="3817"/>
      <c r="AC129" s="3150"/>
      <c r="AD129" s="3849"/>
      <c r="AE129" s="3843"/>
      <c r="AF129" s="3843"/>
      <c r="AG129" s="3007"/>
      <c r="AH129" s="3269"/>
      <c r="AI129" s="3843"/>
      <c r="AJ129" s="3843"/>
      <c r="AK129" s="3843"/>
      <c r="AL129" s="3843"/>
      <c r="AM129" s="3843"/>
      <c r="AN129" s="3843"/>
      <c r="AO129" s="3843"/>
      <c r="AP129" s="3843"/>
      <c r="AQ129" s="3843"/>
      <c r="AR129" s="3843"/>
      <c r="AS129" s="3843"/>
      <c r="AT129" s="3849"/>
      <c r="AU129" s="3849"/>
      <c r="AV129" s="3849"/>
      <c r="AW129" s="3849"/>
      <c r="AX129" s="3849"/>
      <c r="AY129" s="3849"/>
      <c r="AZ129" s="3849"/>
      <c r="BA129" s="3849"/>
      <c r="BB129" s="3849"/>
      <c r="BC129" s="3843"/>
      <c r="BD129" s="3843"/>
      <c r="BE129" s="3843"/>
      <c r="BF129" s="3843"/>
      <c r="BG129" s="3843"/>
      <c r="BH129" s="3237"/>
      <c r="BI129" s="3237"/>
      <c r="BJ129" s="3237"/>
      <c r="BK129" s="3846"/>
      <c r="BL129" s="3846"/>
      <c r="BM129" s="3839"/>
      <c r="BN129" s="3800"/>
      <c r="BO129" s="3800"/>
      <c r="BP129" s="3800"/>
      <c r="BQ129" s="3790"/>
      <c r="BR129" s="3790"/>
      <c r="BS129" s="3790"/>
      <c r="BT129" s="3790"/>
      <c r="BU129" s="3831"/>
    </row>
    <row r="130" spans="1:73" x14ac:dyDescent="0.25">
      <c r="A130" s="1620"/>
      <c r="B130" s="1769"/>
      <c r="C130" s="1619"/>
      <c r="D130" s="1769"/>
      <c r="G130" s="3819"/>
      <c r="H130" s="3822"/>
      <c r="I130" s="3819"/>
      <c r="J130" s="3822"/>
      <c r="K130" s="3819"/>
      <c r="L130" s="3825"/>
      <c r="M130" s="3819"/>
      <c r="N130" s="3825"/>
      <c r="O130" s="3870"/>
      <c r="P130" s="3870"/>
      <c r="Q130" s="2274"/>
      <c r="R130" s="3109"/>
      <c r="S130" s="3867"/>
      <c r="T130" s="3855"/>
      <c r="U130" s="2426"/>
      <c r="V130" s="2787"/>
      <c r="W130" s="2579"/>
      <c r="X130" s="1367">
        <v>1971000000</v>
      </c>
      <c r="Y130" s="1367">
        <v>1052799264</v>
      </c>
      <c r="Z130" s="1367">
        <v>1052799264</v>
      </c>
      <c r="AA130" s="1546" t="s">
        <v>2852</v>
      </c>
      <c r="AB130" s="3817"/>
      <c r="AC130" s="3150"/>
      <c r="AD130" s="3849"/>
      <c r="AE130" s="3843"/>
      <c r="AF130" s="3843"/>
      <c r="AG130" s="3007"/>
      <c r="AH130" s="3269"/>
      <c r="AI130" s="3843"/>
      <c r="AJ130" s="3843"/>
      <c r="AK130" s="3843"/>
      <c r="AL130" s="3843"/>
      <c r="AM130" s="3843"/>
      <c r="AN130" s="3843"/>
      <c r="AO130" s="3843"/>
      <c r="AP130" s="3843"/>
      <c r="AQ130" s="3843"/>
      <c r="AR130" s="3843"/>
      <c r="AS130" s="3843"/>
      <c r="AT130" s="3849"/>
      <c r="AU130" s="3849"/>
      <c r="AV130" s="3849"/>
      <c r="AW130" s="3849"/>
      <c r="AX130" s="3849"/>
      <c r="AY130" s="3849"/>
      <c r="AZ130" s="3849"/>
      <c r="BA130" s="3849"/>
      <c r="BB130" s="3849"/>
      <c r="BC130" s="3843"/>
      <c r="BD130" s="3843"/>
      <c r="BE130" s="3843"/>
      <c r="BF130" s="3843"/>
      <c r="BG130" s="3843"/>
      <c r="BH130" s="3237"/>
      <c r="BI130" s="3237"/>
      <c r="BJ130" s="3237"/>
      <c r="BK130" s="3846"/>
      <c r="BL130" s="3846"/>
      <c r="BM130" s="3839"/>
      <c r="BN130" s="3800"/>
      <c r="BO130" s="3800"/>
      <c r="BP130" s="3800"/>
      <c r="BQ130" s="3790"/>
      <c r="BR130" s="3790"/>
      <c r="BS130" s="3790"/>
      <c r="BT130" s="3790"/>
      <c r="BU130" s="3831"/>
    </row>
    <row r="131" spans="1:73" x14ac:dyDescent="0.25">
      <c r="A131" s="1620"/>
      <c r="B131" s="1769"/>
      <c r="C131" s="1619"/>
      <c r="D131" s="1769"/>
      <c r="G131" s="3819"/>
      <c r="H131" s="3822"/>
      <c r="I131" s="3819"/>
      <c r="J131" s="3822"/>
      <c r="K131" s="3819"/>
      <c r="L131" s="3825"/>
      <c r="M131" s="3819"/>
      <c r="N131" s="3825"/>
      <c r="O131" s="3870"/>
      <c r="P131" s="3870"/>
      <c r="Q131" s="2274"/>
      <c r="R131" s="3109"/>
      <c r="S131" s="3867"/>
      <c r="T131" s="3855"/>
      <c r="U131" s="2426"/>
      <c r="V131" s="2787"/>
      <c r="W131" s="2579"/>
      <c r="X131" s="1367">
        <v>409000000</v>
      </c>
      <c r="Y131" s="1367">
        <v>187749500</v>
      </c>
      <c r="Z131" s="1367">
        <v>187749500</v>
      </c>
      <c r="AA131" s="1546" t="s">
        <v>2853</v>
      </c>
      <c r="AB131" s="3817"/>
      <c r="AC131" s="3150"/>
      <c r="AD131" s="3849"/>
      <c r="AE131" s="3843"/>
      <c r="AF131" s="3843"/>
      <c r="AG131" s="3007"/>
      <c r="AH131" s="3269"/>
      <c r="AI131" s="3843"/>
      <c r="AJ131" s="3843"/>
      <c r="AK131" s="3843"/>
      <c r="AL131" s="3843"/>
      <c r="AM131" s="3843"/>
      <c r="AN131" s="3843"/>
      <c r="AO131" s="3843"/>
      <c r="AP131" s="3843"/>
      <c r="AQ131" s="3843"/>
      <c r="AR131" s="3843"/>
      <c r="AS131" s="3843"/>
      <c r="AT131" s="3849"/>
      <c r="AU131" s="3849"/>
      <c r="AV131" s="3849"/>
      <c r="AW131" s="3849"/>
      <c r="AX131" s="3849"/>
      <c r="AY131" s="3849"/>
      <c r="AZ131" s="3849"/>
      <c r="BA131" s="3849"/>
      <c r="BB131" s="3849"/>
      <c r="BC131" s="3843"/>
      <c r="BD131" s="3843"/>
      <c r="BE131" s="3843"/>
      <c r="BF131" s="3843"/>
      <c r="BG131" s="3843"/>
      <c r="BH131" s="3237"/>
      <c r="BI131" s="3237"/>
      <c r="BJ131" s="3237"/>
      <c r="BK131" s="3846"/>
      <c r="BL131" s="3846"/>
      <c r="BM131" s="3839"/>
      <c r="BN131" s="3800"/>
      <c r="BO131" s="3800"/>
      <c r="BP131" s="3800"/>
      <c r="BQ131" s="3790"/>
      <c r="BR131" s="3790"/>
      <c r="BS131" s="3790"/>
      <c r="BT131" s="3790"/>
      <c r="BU131" s="3831"/>
    </row>
    <row r="132" spans="1:73" x14ac:dyDescent="0.25">
      <c r="A132" s="1620"/>
      <c r="B132" s="1769"/>
      <c r="C132" s="1619"/>
      <c r="D132" s="1769"/>
      <c r="G132" s="3819"/>
      <c r="H132" s="3822"/>
      <c r="I132" s="3819"/>
      <c r="J132" s="3822"/>
      <c r="K132" s="3819"/>
      <c r="L132" s="3825"/>
      <c r="M132" s="3819"/>
      <c r="N132" s="3825"/>
      <c r="O132" s="3870"/>
      <c r="P132" s="3870"/>
      <c r="Q132" s="2274"/>
      <c r="R132" s="3109"/>
      <c r="S132" s="3867"/>
      <c r="T132" s="3855"/>
      <c r="U132" s="2426"/>
      <c r="V132" s="2787"/>
      <c r="W132" s="2579"/>
      <c r="X132" s="1367">
        <v>50000000</v>
      </c>
      <c r="Y132" s="1367">
        <v>21037500</v>
      </c>
      <c r="Z132" s="1367">
        <v>21037500</v>
      </c>
      <c r="AA132" s="1546" t="s">
        <v>2854</v>
      </c>
      <c r="AB132" s="3817"/>
      <c r="AC132" s="3150"/>
      <c r="AD132" s="3849"/>
      <c r="AE132" s="3843"/>
      <c r="AF132" s="3843"/>
      <c r="AG132" s="3007"/>
      <c r="AH132" s="3269"/>
      <c r="AI132" s="3843"/>
      <c r="AJ132" s="3843"/>
      <c r="AK132" s="3843"/>
      <c r="AL132" s="3843"/>
      <c r="AM132" s="3843"/>
      <c r="AN132" s="3843"/>
      <c r="AO132" s="3843"/>
      <c r="AP132" s="3843"/>
      <c r="AQ132" s="3843"/>
      <c r="AR132" s="3843"/>
      <c r="AS132" s="3843"/>
      <c r="AT132" s="3849"/>
      <c r="AU132" s="3849"/>
      <c r="AV132" s="3849"/>
      <c r="AW132" s="3849"/>
      <c r="AX132" s="3849"/>
      <c r="AY132" s="3849"/>
      <c r="AZ132" s="3849"/>
      <c r="BA132" s="3849"/>
      <c r="BB132" s="3849"/>
      <c r="BC132" s="3843"/>
      <c r="BD132" s="3843"/>
      <c r="BE132" s="3843"/>
      <c r="BF132" s="3843"/>
      <c r="BG132" s="3843"/>
      <c r="BH132" s="3237"/>
      <c r="BI132" s="3237"/>
      <c r="BJ132" s="3237"/>
      <c r="BK132" s="3846"/>
      <c r="BL132" s="3846"/>
      <c r="BM132" s="3839"/>
      <c r="BN132" s="3800"/>
      <c r="BO132" s="3800"/>
      <c r="BP132" s="3800"/>
      <c r="BQ132" s="3790"/>
      <c r="BR132" s="3790"/>
      <c r="BS132" s="3790"/>
      <c r="BT132" s="3790"/>
      <c r="BU132" s="3831"/>
    </row>
    <row r="133" spans="1:73" x14ac:dyDescent="0.25">
      <c r="A133" s="1620"/>
      <c r="B133" s="1769"/>
      <c r="C133" s="1619"/>
      <c r="D133" s="1769"/>
      <c r="G133" s="3819"/>
      <c r="H133" s="3822"/>
      <c r="I133" s="3819"/>
      <c r="J133" s="3822"/>
      <c r="K133" s="3819"/>
      <c r="L133" s="3825"/>
      <c r="M133" s="3819"/>
      <c r="N133" s="3825"/>
      <c r="O133" s="3870"/>
      <c r="P133" s="3870"/>
      <c r="Q133" s="2274"/>
      <c r="R133" s="3109"/>
      <c r="S133" s="3867"/>
      <c r="T133" s="3855"/>
      <c r="U133" s="2426"/>
      <c r="V133" s="2787"/>
      <c r="W133" s="2579"/>
      <c r="X133" s="1367">
        <v>307000000</v>
      </c>
      <c r="Y133" s="1367">
        <v>140846700</v>
      </c>
      <c r="Z133" s="1367">
        <v>140846700</v>
      </c>
      <c r="AA133" s="1546" t="s">
        <v>2855</v>
      </c>
      <c r="AB133" s="3817"/>
      <c r="AC133" s="3150"/>
      <c r="AD133" s="3849"/>
      <c r="AE133" s="3843"/>
      <c r="AF133" s="3843"/>
      <c r="AG133" s="3007"/>
      <c r="AH133" s="3269"/>
      <c r="AI133" s="3843"/>
      <c r="AJ133" s="3843"/>
      <c r="AK133" s="3843"/>
      <c r="AL133" s="3843"/>
      <c r="AM133" s="3843"/>
      <c r="AN133" s="3843"/>
      <c r="AO133" s="3843"/>
      <c r="AP133" s="3843"/>
      <c r="AQ133" s="3843"/>
      <c r="AR133" s="3843"/>
      <c r="AS133" s="3843"/>
      <c r="AT133" s="3849"/>
      <c r="AU133" s="3849"/>
      <c r="AV133" s="3849"/>
      <c r="AW133" s="3849"/>
      <c r="AX133" s="3849"/>
      <c r="AY133" s="3849"/>
      <c r="AZ133" s="3849"/>
      <c r="BA133" s="3849"/>
      <c r="BB133" s="3849"/>
      <c r="BC133" s="3843"/>
      <c r="BD133" s="3843"/>
      <c r="BE133" s="3843"/>
      <c r="BF133" s="3843"/>
      <c r="BG133" s="3843"/>
      <c r="BH133" s="3237"/>
      <c r="BI133" s="3237"/>
      <c r="BJ133" s="3237"/>
      <c r="BK133" s="3846"/>
      <c r="BL133" s="3846"/>
      <c r="BM133" s="3839"/>
      <c r="BN133" s="3800"/>
      <c r="BO133" s="3800"/>
      <c r="BP133" s="3800"/>
      <c r="BQ133" s="3790"/>
      <c r="BR133" s="3790"/>
      <c r="BS133" s="3790"/>
      <c r="BT133" s="3790"/>
      <c r="BU133" s="3831"/>
    </row>
    <row r="134" spans="1:73" x14ac:dyDescent="0.25">
      <c r="A134" s="1620"/>
      <c r="B134" s="1769"/>
      <c r="C134" s="1619"/>
      <c r="D134" s="1769"/>
      <c r="G134" s="3819"/>
      <c r="H134" s="3822"/>
      <c r="I134" s="3819"/>
      <c r="J134" s="3822"/>
      <c r="K134" s="3819"/>
      <c r="L134" s="3825"/>
      <c r="M134" s="3819"/>
      <c r="N134" s="3825"/>
      <c r="O134" s="3870"/>
      <c r="P134" s="3870"/>
      <c r="Q134" s="2274"/>
      <c r="R134" s="3109"/>
      <c r="S134" s="3867"/>
      <c r="T134" s="3855"/>
      <c r="U134" s="2426"/>
      <c r="V134" s="2787"/>
      <c r="W134" s="2579"/>
      <c r="X134" s="1367">
        <v>51000000</v>
      </c>
      <c r="Y134" s="1367">
        <v>23546300</v>
      </c>
      <c r="Z134" s="1367">
        <v>23546300</v>
      </c>
      <c r="AA134" s="1546" t="s">
        <v>2856</v>
      </c>
      <c r="AB134" s="3817"/>
      <c r="AC134" s="3150"/>
      <c r="AD134" s="3849"/>
      <c r="AE134" s="3843"/>
      <c r="AF134" s="3843"/>
      <c r="AG134" s="3007"/>
      <c r="AH134" s="3269"/>
      <c r="AI134" s="3843"/>
      <c r="AJ134" s="3843"/>
      <c r="AK134" s="3843"/>
      <c r="AL134" s="3843"/>
      <c r="AM134" s="3843"/>
      <c r="AN134" s="3843"/>
      <c r="AO134" s="3843"/>
      <c r="AP134" s="3843"/>
      <c r="AQ134" s="3843"/>
      <c r="AR134" s="3843"/>
      <c r="AS134" s="3843"/>
      <c r="AT134" s="3849"/>
      <c r="AU134" s="3849"/>
      <c r="AV134" s="3849"/>
      <c r="AW134" s="3849"/>
      <c r="AX134" s="3849"/>
      <c r="AY134" s="3849"/>
      <c r="AZ134" s="3849"/>
      <c r="BA134" s="3849"/>
      <c r="BB134" s="3849"/>
      <c r="BC134" s="3843"/>
      <c r="BD134" s="3843"/>
      <c r="BE134" s="3843"/>
      <c r="BF134" s="3843"/>
      <c r="BG134" s="3843"/>
      <c r="BH134" s="3237"/>
      <c r="BI134" s="3237"/>
      <c r="BJ134" s="3237"/>
      <c r="BK134" s="3846"/>
      <c r="BL134" s="3846"/>
      <c r="BM134" s="3839"/>
      <c r="BN134" s="3800"/>
      <c r="BO134" s="3800"/>
      <c r="BP134" s="3800"/>
      <c r="BQ134" s="3790"/>
      <c r="BR134" s="3790"/>
      <c r="BS134" s="3790"/>
      <c r="BT134" s="3790"/>
      <c r="BU134" s="3831"/>
    </row>
    <row r="135" spans="1:73" x14ac:dyDescent="0.25">
      <c r="A135" s="1620"/>
      <c r="B135" s="1769"/>
      <c r="C135" s="1619"/>
      <c r="D135" s="1769"/>
      <c r="G135" s="3819"/>
      <c r="H135" s="3822"/>
      <c r="I135" s="3819"/>
      <c r="J135" s="3822"/>
      <c r="K135" s="3819"/>
      <c r="L135" s="3825"/>
      <c r="M135" s="3819"/>
      <c r="N135" s="3825"/>
      <c r="O135" s="3870"/>
      <c r="P135" s="3870"/>
      <c r="Q135" s="2274"/>
      <c r="R135" s="3109"/>
      <c r="S135" s="3867"/>
      <c r="T135" s="3855"/>
      <c r="U135" s="2426"/>
      <c r="V135" s="2787"/>
      <c r="W135" s="2579"/>
      <c r="X135" s="1367">
        <v>51000000</v>
      </c>
      <c r="Y135" s="1367">
        <v>23546300</v>
      </c>
      <c r="Z135" s="1367">
        <v>23546300</v>
      </c>
      <c r="AA135" s="1546" t="s">
        <v>2857</v>
      </c>
      <c r="AB135" s="3817"/>
      <c r="AC135" s="3150"/>
      <c r="AD135" s="3849"/>
      <c r="AE135" s="3843"/>
      <c r="AF135" s="3843"/>
      <c r="AG135" s="3007"/>
      <c r="AH135" s="3269"/>
      <c r="AI135" s="3843"/>
      <c r="AJ135" s="3843"/>
      <c r="AK135" s="3843"/>
      <c r="AL135" s="3843"/>
      <c r="AM135" s="3843"/>
      <c r="AN135" s="3843"/>
      <c r="AO135" s="3843"/>
      <c r="AP135" s="3843"/>
      <c r="AQ135" s="3843"/>
      <c r="AR135" s="3843"/>
      <c r="AS135" s="3843"/>
      <c r="AT135" s="3849"/>
      <c r="AU135" s="3849"/>
      <c r="AV135" s="3849"/>
      <c r="AW135" s="3849"/>
      <c r="AX135" s="3849"/>
      <c r="AY135" s="3849"/>
      <c r="AZ135" s="3849"/>
      <c r="BA135" s="3849"/>
      <c r="BB135" s="3849"/>
      <c r="BC135" s="3843"/>
      <c r="BD135" s="3843"/>
      <c r="BE135" s="3843"/>
      <c r="BF135" s="3843"/>
      <c r="BG135" s="3843"/>
      <c r="BH135" s="3237"/>
      <c r="BI135" s="3237"/>
      <c r="BJ135" s="3237"/>
      <c r="BK135" s="3846"/>
      <c r="BL135" s="3846"/>
      <c r="BM135" s="3839"/>
      <c r="BN135" s="3800"/>
      <c r="BO135" s="3800"/>
      <c r="BP135" s="3800"/>
      <c r="BQ135" s="3790"/>
      <c r="BR135" s="3790"/>
      <c r="BS135" s="3790"/>
      <c r="BT135" s="3790"/>
      <c r="BU135" s="3831"/>
    </row>
    <row r="136" spans="1:73" x14ac:dyDescent="0.25">
      <c r="A136" s="1620"/>
      <c r="B136" s="1769"/>
      <c r="C136" s="1619"/>
      <c r="D136" s="1769"/>
      <c r="G136" s="3819"/>
      <c r="H136" s="3822"/>
      <c r="I136" s="3819"/>
      <c r="J136" s="3822"/>
      <c r="K136" s="3819"/>
      <c r="L136" s="3825"/>
      <c r="M136" s="3819"/>
      <c r="N136" s="3825"/>
      <c r="O136" s="3870"/>
      <c r="P136" s="3870"/>
      <c r="Q136" s="2274"/>
      <c r="R136" s="3109"/>
      <c r="S136" s="3867"/>
      <c r="T136" s="3855"/>
      <c r="U136" s="2426"/>
      <c r="V136" s="2787"/>
      <c r="W136" s="2579"/>
      <c r="X136" s="1367">
        <v>103000000</v>
      </c>
      <c r="Y136" s="1367">
        <v>47012400</v>
      </c>
      <c r="Z136" s="1367">
        <v>47012400</v>
      </c>
      <c r="AA136" s="1546" t="s">
        <v>2858</v>
      </c>
      <c r="AB136" s="3817"/>
      <c r="AC136" s="3150"/>
      <c r="AD136" s="3849"/>
      <c r="AE136" s="3843"/>
      <c r="AF136" s="3843"/>
      <c r="AG136" s="3007"/>
      <c r="AH136" s="3269"/>
      <c r="AI136" s="3843"/>
      <c r="AJ136" s="3843"/>
      <c r="AK136" s="3843"/>
      <c r="AL136" s="3843"/>
      <c r="AM136" s="3843"/>
      <c r="AN136" s="3843"/>
      <c r="AO136" s="3843"/>
      <c r="AP136" s="3843"/>
      <c r="AQ136" s="3843"/>
      <c r="AR136" s="3843"/>
      <c r="AS136" s="3843"/>
      <c r="AT136" s="3849"/>
      <c r="AU136" s="3849"/>
      <c r="AV136" s="3849"/>
      <c r="AW136" s="3849"/>
      <c r="AX136" s="3849"/>
      <c r="AY136" s="3849"/>
      <c r="AZ136" s="3849"/>
      <c r="BA136" s="3849"/>
      <c r="BB136" s="3849"/>
      <c r="BC136" s="3843"/>
      <c r="BD136" s="3843"/>
      <c r="BE136" s="3843"/>
      <c r="BF136" s="3843"/>
      <c r="BG136" s="3843"/>
      <c r="BH136" s="3237"/>
      <c r="BI136" s="3237"/>
      <c r="BJ136" s="3237"/>
      <c r="BK136" s="3846"/>
      <c r="BL136" s="3846"/>
      <c r="BM136" s="3839"/>
      <c r="BN136" s="3800"/>
      <c r="BO136" s="3800"/>
      <c r="BP136" s="3800"/>
      <c r="BQ136" s="3790"/>
      <c r="BR136" s="3790"/>
      <c r="BS136" s="3790"/>
      <c r="BT136" s="3790"/>
      <c r="BU136" s="3831"/>
    </row>
    <row r="137" spans="1:73" x14ac:dyDescent="0.25">
      <c r="A137" s="1620"/>
      <c r="B137" s="1769"/>
      <c r="C137" s="1619"/>
      <c r="D137" s="1769"/>
      <c r="G137" s="3819"/>
      <c r="H137" s="3822"/>
      <c r="I137" s="3819"/>
      <c r="J137" s="3822"/>
      <c r="K137" s="3819"/>
      <c r="L137" s="3825"/>
      <c r="M137" s="3819"/>
      <c r="N137" s="3825"/>
      <c r="O137" s="3870"/>
      <c r="P137" s="3870"/>
      <c r="Q137" s="2274"/>
      <c r="R137" s="3109"/>
      <c r="S137" s="3867"/>
      <c r="T137" s="3855"/>
      <c r="U137" s="2426"/>
      <c r="V137" s="2787"/>
      <c r="W137" s="2579"/>
      <c r="X137" s="1367">
        <v>6000000</v>
      </c>
      <c r="Y137" s="1367">
        <v>0</v>
      </c>
      <c r="Z137" s="1367">
        <v>0</v>
      </c>
      <c r="AA137" s="1546" t="s">
        <v>2859</v>
      </c>
      <c r="AB137" s="3817"/>
      <c r="AC137" s="3150"/>
      <c r="AD137" s="3849"/>
      <c r="AE137" s="3843"/>
      <c r="AF137" s="3843"/>
      <c r="AG137" s="3007"/>
      <c r="AH137" s="3269"/>
      <c r="AI137" s="3843"/>
      <c r="AJ137" s="3843"/>
      <c r="AK137" s="3843"/>
      <c r="AL137" s="3843"/>
      <c r="AM137" s="3843"/>
      <c r="AN137" s="3843"/>
      <c r="AO137" s="3843"/>
      <c r="AP137" s="3843"/>
      <c r="AQ137" s="3843"/>
      <c r="AR137" s="3843"/>
      <c r="AS137" s="3843"/>
      <c r="AT137" s="3849"/>
      <c r="AU137" s="3849"/>
      <c r="AV137" s="3849"/>
      <c r="AW137" s="3849"/>
      <c r="AX137" s="3849"/>
      <c r="AY137" s="3849"/>
      <c r="AZ137" s="3849"/>
      <c r="BA137" s="3849"/>
      <c r="BB137" s="3849"/>
      <c r="BC137" s="3843"/>
      <c r="BD137" s="3843"/>
      <c r="BE137" s="3843"/>
      <c r="BF137" s="3843"/>
      <c r="BG137" s="3843"/>
      <c r="BH137" s="3237"/>
      <c r="BI137" s="3237"/>
      <c r="BJ137" s="3237"/>
      <c r="BK137" s="3846"/>
      <c r="BL137" s="3846"/>
      <c r="BM137" s="3839"/>
      <c r="BN137" s="3800"/>
      <c r="BO137" s="3800"/>
      <c r="BP137" s="3800"/>
      <c r="BQ137" s="3790"/>
      <c r="BR137" s="3790"/>
      <c r="BS137" s="3790"/>
      <c r="BT137" s="3790"/>
      <c r="BU137" s="3831"/>
    </row>
    <row r="138" spans="1:73" x14ac:dyDescent="0.25">
      <c r="A138" s="1620"/>
      <c r="B138" s="1769"/>
      <c r="C138" s="1619"/>
      <c r="D138" s="1769"/>
      <c r="G138" s="3819"/>
      <c r="H138" s="3822"/>
      <c r="I138" s="3819"/>
      <c r="J138" s="3822"/>
      <c r="K138" s="3819"/>
      <c r="L138" s="3825"/>
      <c r="M138" s="3819"/>
      <c r="N138" s="3825"/>
      <c r="O138" s="3870"/>
      <c r="P138" s="3870"/>
      <c r="Q138" s="2274"/>
      <c r="R138" s="3109"/>
      <c r="S138" s="3867"/>
      <c r="T138" s="3855"/>
      <c r="U138" s="2426"/>
      <c r="V138" s="2787"/>
      <c r="W138" s="2579"/>
      <c r="X138" s="1367">
        <v>47000000</v>
      </c>
      <c r="Y138" s="1367">
        <v>10430136</v>
      </c>
      <c r="Z138" s="1367">
        <v>10430136</v>
      </c>
      <c r="AA138" s="1546" t="s">
        <v>2860</v>
      </c>
      <c r="AB138" s="3817"/>
      <c r="AC138" s="3150"/>
      <c r="AD138" s="3849"/>
      <c r="AE138" s="3843"/>
      <c r="AF138" s="3843"/>
      <c r="AG138" s="3007"/>
      <c r="AH138" s="3269"/>
      <c r="AI138" s="3843"/>
      <c r="AJ138" s="3843"/>
      <c r="AK138" s="3843"/>
      <c r="AL138" s="3843"/>
      <c r="AM138" s="3843"/>
      <c r="AN138" s="3843"/>
      <c r="AO138" s="3843"/>
      <c r="AP138" s="3843"/>
      <c r="AQ138" s="3843"/>
      <c r="AR138" s="3843"/>
      <c r="AS138" s="3843"/>
      <c r="AT138" s="3849"/>
      <c r="AU138" s="3849"/>
      <c r="AV138" s="3849"/>
      <c r="AW138" s="3849"/>
      <c r="AX138" s="3849"/>
      <c r="AY138" s="3849"/>
      <c r="AZ138" s="3849"/>
      <c r="BA138" s="3849"/>
      <c r="BB138" s="3849"/>
      <c r="BC138" s="3843"/>
      <c r="BD138" s="3843"/>
      <c r="BE138" s="3843"/>
      <c r="BF138" s="3843"/>
      <c r="BG138" s="3843"/>
      <c r="BH138" s="3237"/>
      <c r="BI138" s="3237"/>
      <c r="BJ138" s="3237"/>
      <c r="BK138" s="3846"/>
      <c r="BL138" s="3846"/>
      <c r="BM138" s="3839"/>
      <c r="BN138" s="3800"/>
      <c r="BO138" s="3800"/>
      <c r="BP138" s="3800"/>
      <c r="BQ138" s="3790"/>
      <c r="BR138" s="3790"/>
      <c r="BS138" s="3790"/>
      <c r="BT138" s="3790"/>
      <c r="BU138" s="3831"/>
    </row>
    <row r="139" spans="1:73" x14ac:dyDescent="0.25">
      <c r="A139" s="1620"/>
      <c r="B139" s="1769"/>
      <c r="C139" s="1619"/>
      <c r="D139" s="1769"/>
      <c r="G139" s="3819"/>
      <c r="H139" s="3822"/>
      <c r="I139" s="3819"/>
      <c r="J139" s="3822"/>
      <c r="K139" s="3819"/>
      <c r="L139" s="3825"/>
      <c r="M139" s="3819"/>
      <c r="N139" s="3825"/>
      <c r="O139" s="3870"/>
      <c r="P139" s="3870"/>
      <c r="Q139" s="2274"/>
      <c r="R139" s="3109"/>
      <c r="S139" s="3867"/>
      <c r="T139" s="3855"/>
      <c r="U139" s="2426"/>
      <c r="V139" s="2787"/>
      <c r="W139" s="2579"/>
      <c r="X139" s="1367">
        <v>602000000</v>
      </c>
      <c r="Y139" s="1367">
        <v>55537164</v>
      </c>
      <c r="Z139" s="1367">
        <v>55537164</v>
      </c>
      <c r="AA139" s="1546" t="s">
        <v>2861</v>
      </c>
      <c r="AB139" s="3817"/>
      <c r="AC139" s="3150"/>
      <c r="AD139" s="3849"/>
      <c r="AE139" s="3843"/>
      <c r="AF139" s="3843"/>
      <c r="AG139" s="3007"/>
      <c r="AH139" s="3269"/>
      <c r="AI139" s="3843"/>
      <c r="AJ139" s="3843"/>
      <c r="AK139" s="3843"/>
      <c r="AL139" s="3843"/>
      <c r="AM139" s="3843"/>
      <c r="AN139" s="3843"/>
      <c r="AO139" s="3843"/>
      <c r="AP139" s="3843"/>
      <c r="AQ139" s="3843"/>
      <c r="AR139" s="3843"/>
      <c r="AS139" s="3843"/>
      <c r="AT139" s="3849"/>
      <c r="AU139" s="3849"/>
      <c r="AV139" s="3849"/>
      <c r="AW139" s="3849"/>
      <c r="AX139" s="3849"/>
      <c r="AY139" s="3849"/>
      <c r="AZ139" s="3849"/>
      <c r="BA139" s="3849"/>
      <c r="BB139" s="3849"/>
      <c r="BC139" s="3843"/>
      <c r="BD139" s="3843"/>
      <c r="BE139" s="3843"/>
      <c r="BF139" s="3843"/>
      <c r="BG139" s="3843"/>
      <c r="BH139" s="3237"/>
      <c r="BI139" s="3237"/>
      <c r="BJ139" s="3237"/>
      <c r="BK139" s="3846"/>
      <c r="BL139" s="3846"/>
      <c r="BM139" s="3839"/>
      <c r="BN139" s="3800"/>
      <c r="BO139" s="3800"/>
      <c r="BP139" s="3800"/>
      <c r="BQ139" s="3790"/>
      <c r="BR139" s="3790"/>
      <c r="BS139" s="3790"/>
      <c r="BT139" s="3790"/>
      <c r="BU139" s="3831"/>
    </row>
    <row r="140" spans="1:73" x14ac:dyDescent="0.25">
      <c r="A140" s="1620"/>
      <c r="B140" s="1769"/>
      <c r="C140" s="1619"/>
      <c r="D140" s="1769"/>
      <c r="G140" s="3819"/>
      <c r="H140" s="3822"/>
      <c r="I140" s="3819"/>
      <c r="J140" s="3822"/>
      <c r="K140" s="3819"/>
      <c r="L140" s="3825"/>
      <c r="M140" s="3819"/>
      <c r="N140" s="3825"/>
      <c r="O140" s="3870"/>
      <c r="P140" s="3870"/>
      <c r="Q140" s="2274"/>
      <c r="R140" s="3109"/>
      <c r="S140" s="3867"/>
      <c r="T140" s="3855"/>
      <c r="U140" s="2426"/>
      <c r="V140" s="2787"/>
      <c r="W140" s="2579"/>
      <c r="X140" s="1367">
        <v>10000000</v>
      </c>
      <c r="Y140" s="1367">
        <v>0</v>
      </c>
      <c r="Z140" s="1367">
        <v>0</v>
      </c>
      <c r="AA140" s="1546" t="s">
        <v>2862</v>
      </c>
      <c r="AB140" s="3817"/>
      <c r="AC140" s="3150"/>
      <c r="AD140" s="3849"/>
      <c r="AE140" s="3843"/>
      <c r="AF140" s="3843"/>
      <c r="AG140" s="3007"/>
      <c r="AH140" s="3269"/>
      <c r="AI140" s="3843"/>
      <c r="AJ140" s="3843"/>
      <c r="AK140" s="3843"/>
      <c r="AL140" s="3843"/>
      <c r="AM140" s="3843"/>
      <c r="AN140" s="3843"/>
      <c r="AO140" s="3843"/>
      <c r="AP140" s="3843"/>
      <c r="AQ140" s="3843"/>
      <c r="AR140" s="3843"/>
      <c r="AS140" s="3843"/>
      <c r="AT140" s="3849"/>
      <c r="AU140" s="3849"/>
      <c r="AV140" s="3849"/>
      <c r="AW140" s="3849"/>
      <c r="AX140" s="3849"/>
      <c r="AY140" s="3849"/>
      <c r="AZ140" s="3849"/>
      <c r="BA140" s="3849"/>
      <c r="BB140" s="3849"/>
      <c r="BC140" s="3843"/>
      <c r="BD140" s="3843"/>
      <c r="BE140" s="3843"/>
      <c r="BF140" s="3843"/>
      <c r="BG140" s="3843"/>
      <c r="BH140" s="3237"/>
      <c r="BI140" s="3237"/>
      <c r="BJ140" s="3237"/>
      <c r="BK140" s="3846"/>
      <c r="BL140" s="3846"/>
      <c r="BM140" s="3839"/>
      <c r="BN140" s="3800"/>
      <c r="BO140" s="3800"/>
      <c r="BP140" s="3800"/>
      <c r="BQ140" s="3790"/>
      <c r="BR140" s="3790"/>
      <c r="BS140" s="3790"/>
      <c r="BT140" s="3790"/>
      <c r="BU140" s="3831"/>
    </row>
    <row r="141" spans="1:73" x14ac:dyDescent="0.25">
      <c r="A141" s="1620"/>
      <c r="B141" s="1769"/>
      <c r="C141" s="1619"/>
      <c r="D141" s="1769"/>
      <c r="G141" s="3819"/>
      <c r="H141" s="3822"/>
      <c r="I141" s="3819"/>
      <c r="J141" s="3822"/>
      <c r="K141" s="3819"/>
      <c r="L141" s="3825"/>
      <c r="M141" s="3819"/>
      <c r="N141" s="3825"/>
      <c r="O141" s="3870"/>
      <c r="P141" s="3870"/>
      <c r="Q141" s="2274"/>
      <c r="R141" s="3109"/>
      <c r="S141" s="3867"/>
      <c r="T141" s="3855"/>
      <c r="U141" s="2426"/>
      <c r="V141" s="2787"/>
      <c r="W141" s="2579"/>
      <c r="X141" s="1367">
        <v>79031000000</v>
      </c>
      <c r="Y141" s="1367">
        <v>37486223362</v>
      </c>
      <c r="Z141" s="1367">
        <v>37486223362</v>
      </c>
      <c r="AA141" s="1546" t="s">
        <v>2863</v>
      </c>
      <c r="AB141" s="3817"/>
      <c r="AC141" s="3150"/>
      <c r="AD141" s="3849"/>
      <c r="AE141" s="3843"/>
      <c r="AF141" s="3843"/>
      <c r="AG141" s="3007"/>
      <c r="AH141" s="3269"/>
      <c r="AI141" s="3843"/>
      <c r="AJ141" s="3843"/>
      <c r="AK141" s="3843"/>
      <c r="AL141" s="3843"/>
      <c r="AM141" s="3843"/>
      <c r="AN141" s="3843"/>
      <c r="AO141" s="3843"/>
      <c r="AP141" s="3843"/>
      <c r="AQ141" s="3843"/>
      <c r="AR141" s="3843"/>
      <c r="AS141" s="3843"/>
      <c r="AT141" s="3849"/>
      <c r="AU141" s="3849"/>
      <c r="AV141" s="3849"/>
      <c r="AW141" s="3849"/>
      <c r="AX141" s="3849"/>
      <c r="AY141" s="3849"/>
      <c r="AZ141" s="3849"/>
      <c r="BA141" s="3849"/>
      <c r="BB141" s="3849"/>
      <c r="BC141" s="3843"/>
      <c r="BD141" s="3843"/>
      <c r="BE141" s="3843"/>
      <c r="BF141" s="3843"/>
      <c r="BG141" s="3843"/>
      <c r="BH141" s="3237"/>
      <c r="BI141" s="3237"/>
      <c r="BJ141" s="3237"/>
      <c r="BK141" s="3846"/>
      <c r="BL141" s="3846"/>
      <c r="BM141" s="3839"/>
      <c r="BN141" s="3800"/>
      <c r="BO141" s="3800"/>
      <c r="BP141" s="3800"/>
      <c r="BQ141" s="3790"/>
      <c r="BR141" s="3790"/>
      <c r="BS141" s="3790"/>
      <c r="BT141" s="3790"/>
      <c r="BU141" s="3831"/>
    </row>
    <row r="142" spans="1:73" x14ac:dyDescent="0.25">
      <c r="A142" s="1620"/>
      <c r="B142" s="1769"/>
      <c r="C142" s="1619"/>
      <c r="D142" s="1769"/>
      <c r="G142" s="3819"/>
      <c r="H142" s="3822"/>
      <c r="I142" s="3819"/>
      <c r="J142" s="3822"/>
      <c r="K142" s="3819"/>
      <c r="L142" s="3825"/>
      <c r="M142" s="3819"/>
      <c r="N142" s="3825"/>
      <c r="O142" s="3870"/>
      <c r="P142" s="3870"/>
      <c r="Q142" s="2274"/>
      <c r="R142" s="3109"/>
      <c r="S142" s="3867"/>
      <c r="T142" s="3855"/>
      <c r="U142" s="2426"/>
      <c r="V142" s="2787"/>
      <c r="W142" s="2579"/>
      <c r="X142" s="1367">
        <v>2051000000</v>
      </c>
      <c r="Y142" s="1367">
        <v>340188091</v>
      </c>
      <c r="Z142" s="1367">
        <v>340188091</v>
      </c>
      <c r="AA142" s="1546" t="s">
        <v>2864</v>
      </c>
      <c r="AB142" s="3817"/>
      <c r="AC142" s="3150"/>
      <c r="AD142" s="3849"/>
      <c r="AE142" s="3843"/>
      <c r="AF142" s="3843"/>
      <c r="AG142" s="3007"/>
      <c r="AH142" s="3269"/>
      <c r="AI142" s="3843"/>
      <c r="AJ142" s="3843"/>
      <c r="AK142" s="3843"/>
      <c r="AL142" s="3843"/>
      <c r="AM142" s="3843"/>
      <c r="AN142" s="3843"/>
      <c r="AO142" s="3843"/>
      <c r="AP142" s="3843"/>
      <c r="AQ142" s="3843"/>
      <c r="AR142" s="3843"/>
      <c r="AS142" s="3843"/>
      <c r="AT142" s="3849"/>
      <c r="AU142" s="3849"/>
      <c r="AV142" s="3849"/>
      <c r="AW142" s="3849"/>
      <c r="AX142" s="3849"/>
      <c r="AY142" s="3849"/>
      <c r="AZ142" s="3849"/>
      <c r="BA142" s="3849"/>
      <c r="BB142" s="3849"/>
      <c r="BC142" s="3843"/>
      <c r="BD142" s="3843"/>
      <c r="BE142" s="3843"/>
      <c r="BF142" s="3843"/>
      <c r="BG142" s="3843"/>
      <c r="BH142" s="3237"/>
      <c r="BI142" s="3237"/>
      <c r="BJ142" s="3237"/>
      <c r="BK142" s="3846"/>
      <c r="BL142" s="3846"/>
      <c r="BM142" s="3839"/>
      <c r="BN142" s="3800"/>
      <c r="BO142" s="3800"/>
      <c r="BP142" s="3800"/>
      <c r="BQ142" s="3790"/>
      <c r="BR142" s="3790"/>
      <c r="BS142" s="3790"/>
      <c r="BT142" s="3790"/>
      <c r="BU142" s="3831"/>
    </row>
    <row r="143" spans="1:73" x14ac:dyDescent="0.25">
      <c r="A143" s="1620"/>
      <c r="B143" s="1769"/>
      <c r="C143" s="1619"/>
      <c r="D143" s="1769"/>
      <c r="G143" s="3819"/>
      <c r="H143" s="3822"/>
      <c r="I143" s="3819"/>
      <c r="J143" s="3822"/>
      <c r="K143" s="3819"/>
      <c r="L143" s="3825"/>
      <c r="M143" s="3819"/>
      <c r="N143" s="3825"/>
      <c r="O143" s="3870"/>
      <c r="P143" s="3870"/>
      <c r="Q143" s="2274"/>
      <c r="R143" s="3109"/>
      <c r="S143" s="3867"/>
      <c r="T143" s="3855"/>
      <c r="U143" s="2426"/>
      <c r="V143" s="2787"/>
      <c r="W143" s="2579"/>
      <c r="X143" s="1367">
        <v>58000000</v>
      </c>
      <c r="Y143" s="1367">
        <v>11985579</v>
      </c>
      <c r="Z143" s="1367">
        <v>11985579</v>
      </c>
      <c r="AA143" s="1546" t="s">
        <v>2865</v>
      </c>
      <c r="AB143" s="3817"/>
      <c r="AC143" s="3150"/>
      <c r="AD143" s="3849"/>
      <c r="AE143" s="3843"/>
      <c r="AF143" s="3843"/>
      <c r="AG143" s="3007"/>
      <c r="AH143" s="3269"/>
      <c r="AI143" s="3843"/>
      <c r="AJ143" s="3843"/>
      <c r="AK143" s="3843"/>
      <c r="AL143" s="3843"/>
      <c r="AM143" s="3843"/>
      <c r="AN143" s="3843"/>
      <c r="AO143" s="3843"/>
      <c r="AP143" s="3843"/>
      <c r="AQ143" s="3843"/>
      <c r="AR143" s="3843"/>
      <c r="AS143" s="3843"/>
      <c r="AT143" s="3849"/>
      <c r="AU143" s="3849"/>
      <c r="AV143" s="3849"/>
      <c r="AW143" s="3849"/>
      <c r="AX143" s="3849"/>
      <c r="AY143" s="3849"/>
      <c r="AZ143" s="3849"/>
      <c r="BA143" s="3849"/>
      <c r="BB143" s="3849"/>
      <c r="BC143" s="3843"/>
      <c r="BD143" s="3843"/>
      <c r="BE143" s="3843"/>
      <c r="BF143" s="3843"/>
      <c r="BG143" s="3843"/>
      <c r="BH143" s="3237"/>
      <c r="BI143" s="3237"/>
      <c r="BJ143" s="3237"/>
      <c r="BK143" s="3846"/>
      <c r="BL143" s="3846"/>
      <c r="BM143" s="3839"/>
      <c r="BN143" s="3800"/>
      <c r="BO143" s="3800"/>
      <c r="BP143" s="3800"/>
      <c r="BQ143" s="3790"/>
      <c r="BR143" s="3790"/>
      <c r="BS143" s="3790"/>
      <c r="BT143" s="3790"/>
      <c r="BU143" s="3831"/>
    </row>
    <row r="144" spans="1:73" x14ac:dyDescent="0.25">
      <c r="A144" s="1620"/>
      <c r="B144" s="1769"/>
      <c r="C144" s="1619"/>
      <c r="D144" s="1769"/>
      <c r="G144" s="3819"/>
      <c r="H144" s="3822"/>
      <c r="I144" s="3819"/>
      <c r="J144" s="3822"/>
      <c r="K144" s="3819"/>
      <c r="L144" s="3825"/>
      <c r="M144" s="3819"/>
      <c r="N144" s="3825"/>
      <c r="O144" s="3870"/>
      <c r="P144" s="3870"/>
      <c r="Q144" s="2274"/>
      <c r="R144" s="3109"/>
      <c r="S144" s="3867"/>
      <c r="T144" s="3855"/>
      <c r="U144" s="2426"/>
      <c r="V144" s="2787"/>
      <c r="W144" s="2579"/>
      <c r="X144" s="1367">
        <v>62000000</v>
      </c>
      <c r="Y144" s="1367">
        <v>19581003</v>
      </c>
      <c r="Z144" s="1367">
        <v>19581003</v>
      </c>
      <c r="AA144" s="1546" t="s">
        <v>2866</v>
      </c>
      <c r="AB144" s="3817"/>
      <c r="AC144" s="3150"/>
      <c r="AD144" s="3849"/>
      <c r="AE144" s="3843"/>
      <c r="AF144" s="3843"/>
      <c r="AG144" s="3007"/>
      <c r="AH144" s="3269"/>
      <c r="AI144" s="3843"/>
      <c r="AJ144" s="3843"/>
      <c r="AK144" s="3843"/>
      <c r="AL144" s="3843"/>
      <c r="AM144" s="3843"/>
      <c r="AN144" s="3843"/>
      <c r="AO144" s="3843"/>
      <c r="AP144" s="3843"/>
      <c r="AQ144" s="3843"/>
      <c r="AR144" s="3843"/>
      <c r="AS144" s="3843"/>
      <c r="AT144" s="3849"/>
      <c r="AU144" s="3849"/>
      <c r="AV144" s="3849"/>
      <c r="AW144" s="3849"/>
      <c r="AX144" s="3849"/>
      <c r="AY144" s="3849"/>
      <c r="AZ144" s="3849"/>
      <c r="BA144" s="3849"/>
      <c r="BB144" s="3849"/>
      <c r="BC144" s="3843"/>
      <c r="BD144" s="3843"/>
      <c r="BE144" s="3843"/>
      <c r="BF144" s="3843"/>
      <c r="BG144" s="3843"/>
      <c r="BH144" s="3237"/>
      <c r="BI144" s="3237"/>
      <c r="BJ144" s="3237"/>
      <c r="BK144" s="3846"/>
      <c r="BL144" s="3846"/>
      <c r="BM144" s="3839"/>
      <c r="BN144" s="3800"/>
      <c r="BO144" s="3800"/>
      <c r="BP144" s="3800"/>
      <c r="BQ144" s="3790"/>
      <c r="BR144" s="3790"/>
      <c r="BS144" s="3790"/>
      <c r="BT144" s="3790"/>
      <c r="BU144" s="3831"/>
    </row>
    <row r="145" spans="1:73" x14ac:dyDescent="0.25">
      <c r="A145" s="1620"/>
      <c r="B145" s="1769"/>
      <c r="C145" s="1619"/>
      <c r="D145" s="1769"/>
      <c r="G145" s="3819"/>
      <c r="H145" s="3822"/>
      <c r="I145" s="3819"/>
      <c r="J145" s="3822"/>
      <c r="K145" s="3819"/>
      <c r="L145" s="3825"/>
      <c r="M145" s="3819"/>
      <c r="N145" s="3825"/>
      <c r="O145" s="3870"/>
      <c r="P145" s="3870"/>
      <c r="Q145" s="2274"/>
      <c r="R145" s="3109"/>
      <c r="S145" s="3867"/>
      <c r="T145" s="3855"/>
      <c r="U145" s="2426"/>
      <c r="V145" s="2787"/>
      <c r="W145" s="2579"/>
      <c r="X145" s="1367">
        <v>3533000000</v>
      </c>
      <c r="Y145" s="1367">
        <v>60461051</v>
      </c>
      <c r="Z145" s="1367">
        <v>60461051</v>
      </c>
      <c r="AA145" s="1546" t="s">
        <v>2867</v>
      </c>
      <c r="AB145" s="3817"/>
      <c r="AC145" s="3150"/>
      <c r="AD145" s="3849"/>
      <c r="AE145" s="3843"/>
      <c r="AF145" s="3843"/>
      <c r="AG145" s="3007"/>
      <c r="AH145" s="3269"/>
      <c r="AI145" s="3843"/>
      <c r="AJ145" s="3843"/>
      <c r="AK145" s="3843"/>
      <c r="AL145" s="3843"/>
      <c r="AM145" s="3843"/>
      <c r="AN145" s="3843"/>
      <c r="AO145" s="3843"/>
      <c r="AP145" s="3843"/>
      <c r="AQ145" s="3843"/>
      <c r="AR145" s="3843"/>
      <c r="AS145" s="3843"/>
      <c r="AT145" s="3849"/>
      <c r="AU145" s="3849"/>
      <c r="AV145" s="3849"/>
      <c r="AW145" s="3849"/>
      <c r="AX145" s="3849"/>
      <c r="AY145" s="3849"/>
      <c r="AZ145" s="3849"/>
      <c r="BA145" s="3849"/>
      <c r="BB145" s="3849"/>
      <c r="BC145" s="3843"/>
      <c r="BD145" s="3843"/>
      <c r="BE145" s="3843"/>
      <c r="BF145" s="3843"/>
      <c r="BG145" s="3843"/>
      <c r="BH145" s="3237"/>
      <c r="BI145" s="3237"/>
      <c r="BJ145" s="3237"/>
      <c r="BK145" s="3846"/>
      <c r="BL145" s="3846"/>
      <c r="BM145" s="3839"/>
      <c r="BN145" s="3800"/>
      <c r="BO145" s="3800"/>
      <c r="BP145" s="3800"/>
      <c r="BQ145" s="3790"/>
      <c r="BR145" s="3790"/>
      <c r="BS145" s="3790"/>
      <c r="BT145" s="3790"/>
      <c r="BU145" s="3831"/>
    </row>
    <row r="146" spans="1:73" x14ac:dyDescent="0.25">
      <c r="A146" s="1620"/>
      <c r="B146" s="1769"/>
      <c r="C146" s="1619"/>
      <c r="D146" s="1769"/>
      <c r="G146" s="3819"/>
      <c r="H146" s="3822"/>
      <c r="I146" s="3819"/>
      <c r="J146" s="3822"/>
      <c r="K146" s="3819"/>
      <c r="L146" s="3825"/>
      <c r="M146" s="3819"/>
      <c r="N146" s="3825"/>
      <c r="O146" s="3870"/>
      <c r="P146" s="3870"/>
      <c r="Q146" s="2274"/>
      <c r="R146" s="3109"/>
      <c r="S146" s="3867"/>
      <c r="T146" s="3855"/>
      <c r="U146" s="2426"/>
      <c r="V146" s="2787"/>
      <c r="W146" s="2579"/>
      <c r="X146" s="1367">
        <v>7522000000</v>
      </c>
      <c r="Y146" s="1367">
        <v>34564754</v>
      </c>
      <c r="Z146" s="1367">
        <v>34564754</v>
      </c>
      <c r="AA146" s="1546" t="s">
        <v>2868</v>
      </c>
      <c r="AB146" s="3817"/>
      <c r="AC146" s="3150"/>
      <c r="AD146" s="3849"/>
      <c r="AE146" s="3843"/>
      <c r="AF146" s="3843"/>
      <c r="AG146" s="3007"/>
      <c r="AH146" s="3269"/>
      <c r="AI146" s="3843"/>
      <c r="AJ146" s="3843"/>
      <c r="AK146" s="3843"/>
      <c r="AL146" s="3843"/>
      <c r="AM146" s="3843"/>
      <c r="AN146" s="3843"/>
      <c r="AO146" s="3843"/>
      <c r="AP146" s="3843"/>
      <c r="AQ146" s="3843"/>
      <c r="AR146" s="3843"/>
      <c r="AS146" s="3843"/>
      <c r="AT146" s="3849"/>
      <c r="AU146" s="3849"/>
      <c r="AV146" s="3849"/>
      <c r="AW146" s="3849"/>
      <c r="AX146" s="3849"/>
      <c r="AY146" s="3849"/>
      <c r="AZ146" s="3849"/>
      <c r="BA146" s="3849"/>
      <c r="BB146" s="3849"/>
      <c r="BC146" s="3843"/>
      <c r="BD146" s="3843"/>
      <c r="BE146" s="3843"/>
      <c r="BF146" s="3843"/>
      <c r="BG146" s="3843"/>
      <c r="BH146" s="3237"/>
      <c r="BI146" s="3237"/>
      <c r="BJ146" s="3237"/>
      <c r="BK146" s="3846"/>
      <c r="BL146" s="3846"/>
      <c r="BM146" s="3839"/>
      <c r="BN146" s="3800"/>
      <c r="BO146" s="3800"/>
      <c r="BP146" s="3800"/>
      <c r="BQ146" s="3790"/>
      <c r="BR146" s="3790"/>
      <c r="BS146" s="3790"/>
      <c r="BT146" s="3790"/>
      <c r="BU146" s="3831"/>
    </row>
    <row r="147" spans="1:73" x14ac:dyDescent="0.25">
      <c r="A147" s="1620"/>
      <c r="B147" s="1769"/>
      <c r="C147" s="1619"/>
      <c r="D147" s="1769"/>
      <c r="G147" s="3819"/>
      <c r="H147" s="3822"/>
      <c r="I147" s="3819"/>
      <c r="J147" s="3822"/>
      <c r="K147" s="3819"/>
      <c r="L147" s="3825"/>
      <c r="M147" s="3819"/>
      <c r="N147" s="3825"/>
      <c r="O147" s="3870"/>
      <c r="P147" s="3870"/>
      <c r="Q147" s="2274"/>
      <c r="R147" s="3109"/>
      <c r="S147" s="3867"/>
      <c r="T147" s="3855"/>
      <c r="U147" s="2426"/>
      <c r="V147" s="2787"/>
      <c r="W147" s="2579"/>
      <c r="X147" s="1367">
        <v>3424000000</v>
      </c>
      <c r="Y147" s="1367">
        <v>6116262</v>
      </c>
      <c r="Z147" s="1367">
        <v>6116262</v>
      </c>
      <c r="AA147" s="1546" t="s">
        <v>2869</v>
      </c>
      <c r="AB147" s="3817"/>
      <c r="AC147" s="3150"/>
      <c r="AD147" s="3849"/>
      <c r="AE147" s="3843"/>
      <c r="AF147" s="3843"/>
      <c r="AG147" s="3007"/>
      <c r="AH147" s="3269"/>
      <c r="AI147" s="3843"/>
      <c r="AJ147" s="3843"/>
      <c r="AK147" s="3843"/>
      <c r="AL147" s="3843"/>
      <c r="AM147" s="3843"/>
      <c r="AN147" s="3843"/>
      <c r="AO147" s="3843"/>
      <c r="AP147" s="3843"/>
      <c r="AQ147" s="3843"/>
      <c r="AR147" s="3843"/>
      <c r="AS147" s="3843"/>
      <c r="AT147" s="3849"/>
      <c r="AU147" s="3849"/>
      <c r="AV147" s="3849"/>
      <c r="AW147" s="3849"/>
      <c r="AX147" s="3849"/>
      <c r="AY147" s="3849"/>
      <c r="AZ147" s="3849"/>
      <c r="BA147" s="3849"/>
      <c r="BB147" s="3849"/>
      <c r="BC147" s="3843"/>
      <c r="BD147" s="3843"/>
      <c r="BE147" s="3843"/>
      <c r="BF147" s="3843"/>
      <c r="BG147" s="3843"/>
      <c r="BH147" s="3237"/>
      <c r="BI147" s="3237"/>
      <c r="BJ147" s="3237"/>
      <c r="BK147" s="3846"/>
      <c r="BL147" s="3846"/>
      <c r="BM147" s="3839"/>
      <c r="BN147" s="3800"/>
      <c r="BO147" s="3800"/>
      <c r="BP147" s="3800"/>
      <c r="BQ147" s="3790"/>
      <c r="BR147" s="3790"/>
      <c r="BS147" s="3790"/>
      <c r="BT147" s="3790"/>
      <c r="BU147" s="3831"/>
    </row>
    <row r="148" spans="1:73" x14ac:dyDescent="0.25">
      <c r="A148" s="1620"/>
      <c r="B148" s="1769"/>
      <c r="C148" s="1619"/>
      <c r="D148" s="1769"/>
      <c r="G148" s="3819"/>
      <c r="H148" s="3822"/>
      <c r="I148" s="3819"/>
      <c r="J148" s="3822"/>
      <c r="K148" s="3819"/>
      <c r="L148" s="3825"/>
      <c r="M148" s="3819"/>
      <c r="N148" s="3825"/>
      <c r="O148" s="3870"/>
      <c r="P148" s="3870"/>
      <c r="Q148" s="2274"/>
      <c r="R148" s="3109"/>
      <c r="S148" s="3867"/>
      <c r="T148" s="3855"/>
      <c r="U148" s="2426"/>
      <c r="V148" s="2787"/>
      <c r="W148" s="2579"/>
      <c r="X148" s="1367">
        <v>3527000000</v>
      </c>
      <c r="Y148" s="1367">
        <v>1737426600</v>
      </c>
      <c r="Z148" s="1367">
        <v>1737426600</v>
      </c>
      <c r="AA148" s="1546" t="s">
        <v>2870</v>
      </c>
      <c r="AB148" s="3817"/>
      <c r="AC148" s="3150"/>
      <c r="AD148" s="3849"/>
      <c r="AE148" s="3843"/>
      <c r="AF148" s="3843"/>
      <c r="AG148" s="3007"/>
      <c r="AH148" s="3269"/>
      <c r="AI148" s="3843"/>
      <c r="AJ148" s="3843"/>
      <c r="AK148" s="3843"/>
      <c r="AL148" s="3843"/>
      <c r="AM148" s="3843"/>
      <c r="AN148" s="3843"/>
      <c r="AO148" s="3843"/>
      <c r="AP148" s="3843"/>
      <c r="AQ148" s="3843"/>
      <c r="AR148" s="3843"/>
      <c r="AS148" s="3843"/>
      <c r="AT148" s="3849"/>
      <c r="AU148" s="3849"/>
      <c r="AV148" s="3849"/>
      <c r="AW148" s="3849"/>
      <c r="AX148" s="3849"/>
      <c r="AY148" s="3849"/>
      <c r="AZ148" s="3849"/>
      <c r="BA148" s="3849"/>
      <c r="BB148" s="3849"/>
      <c r="BC148" s="3843"/>
      <c r="BD148" s="3843"/>
      <c r="BE148" s="3843"/>
      <c r="BF148" s="3843"/>
      <c r="BG148" s="3843"/>
      <c r="BH148" s="3237"/>
      <c r="BI148" s="3237"/>
      <c r="BJ148" s="3237"/>
      <c r="BK148" s="3846"/>
      <c r="BL148" s="3846"/>
      <c r="BM148" s="3839"/>
      <c r="BN148" s="3800"/>
      <c r="BO148" s="3800"/>
      <c r="BP148" s="3800"/>
      <c r="BQ148" s="3790"/>
      <c r="BR148" s="3790"/>
      <c r="BS148" s="3790"/>
      <c r="BT148" s="3790"/>
      <c r="BU148" s="3831"/>
    </row>
    <row r="149" spans="1:73" x14ac:dyDescent="0.25">
      <c r="A149" s="1620"/>
      <c r="B149" s="1769"/>
      <c r="C149" s="1619"/>
      <c r="D149" s="1769"/>
      <c r="G149" s="3819"/>
      <c r="H149" s="3822"/>
      <c r="I149" s="3819"/>
      <c r="J149" s="3822"/>
      <c r="K149" s="3819"/>
      <c r="L149" s="3825"/>
      <c r="M149" s="3819"/>
      <c r="N149" s="3825"/>
      <c r="O149" s="3870"/>
      <c r="P149" s="3870"/>
      <c r="Q149" s="2274"/>
      <c r="R149" s="3109"/>
      <c r="S149" s="3867"/>
      <c r="T149" s="3855"/>
      <c r="U149" s="2426"/>
      <c r="V149" s="2787"/>
      <c r="W149" s="2579"/>
      <c r="X149" s="1367">
        <v>2645000000</v>
      </c>
      <c r="Y149" s="1367">
        <v>1303344700</v>
      </c>
      <c r="Z149" s="1367">
        <v>1303344700</v>
      </c>
      <c r="AA149" s="1546" t="s">
        <v>2871</v>
      </c>
      <c r="AB149" s="3817"/>
      <c r="AC149" s="3150"/>
      <c r="AD149" s="3849"/>
      <c r="AE149" s="3843"/>
      <c r="AF149" s="3843"/>
      <c r="AG149" s="3007"/>
      <c r="AH149" s="3269"/>
      <c r="AI149" s="3843"/>
      <c r="AJ149" s="3843"/>
      <c r="AK149" s="3843"/>
      <c r="AL149" s="3843"/>
      <c r="AM149" s="3843"/>
      <c r="AN149" s="3843"/>
      <c r="AO149" s="3843"/>
      <c r="AP149" s="3843"/>
      <c r="AQ149" s="3843"/>
      <c r="AR149" s="3843"/>
      <c r="AS149" s="3843"/>
      <c r="AT149" s="3849"/>
      <c r="AU149" s="3849"/>
      <c r="AV149" s="3849"/>
      <c r="AW149" s="3849"/>
      <c r="AX149" s="3849"/>
      <c r="AY149" s="3849"/>
      <c r="AZ149" s="3849"/>
      <c r="BA149" s="3849"/>
      <c r="BB149" s="3849"/>
      <c r="BC149" s="3843"/>
      <c r="BD149" s="3843"/>
      <c r="BE149" s="3843"/>
      <c r="BF149" s="3843"/>
      <c r="BG149" s="3843"/>
      <c r="BH149" s="3237"/>
      <c r="BI149" s="3237"/>
      <c r="BJ149" s="3237"/>
      <c r="BK149" s="3846"/>
      <c r="BL149" s="3846"/>
      <c r="BM149" s="3839"/>
      <c r="BN149" s="3800"/>
      <c r="BO149" s="3800"/>
      <c r="BP149" s="3800"/>
      <c r="BQ149" s="3790"/>
      <c r="BR149" s="3790"/>
      <c r="BS149" s="3790"/>
      <c r="BT149" s="3790"/>
      <c r="BU149" s="3831"/>
    </row>
    <row r="150" spans="1:73" x14ac:dyDescent="0.25">
      <c r="A150" s="1620"/>
      <c r="B150" s="1769"/>
      <c r="C150" s="1619"/>
      <c r="D150" s="1769"/>
      <c r="G150" s="3819"/>
      <c r="H150" s="3822"/>
      <c r="I150" s="3819"/>
      <c r="J150" s="3822"/>
      <c r="K150" s="3819"/>
      <c r="L150" s="3825"/>
      <c r="M150" s="3819"/>
      <c r="N150" s="3825"/>
      <c r="O150" s="3870"/>
      <c r="P150" s="3870"/>
      <c r="Q150" s="2274"/>
      <c r="R150" s="3109"/>
      <c r="S150" s="3867"/>
      <c r="T150" s="3855"/>
      <c r="U150" s="2426"/>
      <c r="V150" s="2787"/>
      <c r="W150" s="2579"/>
      <c r="X150" s="1367">
        <v>441000000</v>
      </c>
      <c r="Y150" s="1367">
        <v>217871100</v>
      </c>
      <c r="Z150" s="1367">
        <v>217871100</v>
      </c>
      <c r="AA150" s="1546" t="s">
        <v>2872</v>
      </c>
      <c r="AB150" s="3817"/>
      <c r="AC150" s="3150"/>
      <c r="AD150" s="3849"/>
      <c r="AE150" s="3843"/>
      <c r="AF150" s="3843"/>
      <c r="AG150" s="3007"/>
      <c r="AH150" s="3269"/>
      <c r="AI150" s="3843"/>
      <c r="AJ150" s="3843"/>
      <c r="AK150" s="3843"/>
      <c r="AL150" s="3843"/>
      <c r="AM150" s="3843"/>
      <c r="AN150" s="3843"/>
      <c r="AO150" s="3843"/>
      <c r="AP150" s="3843"/>
      <c r="AQ150" s="3843"/>
      <c r="AR150" s="3843"/>
      <c r="AS150" s="3843"/>
      <c r="AT150" s="3849"/>
      <c r="AU150" s="3849"/>
      <c r="AV150" s="3849"/>
      <c r="AW150" s="3849"/>
      <c r="AX150" s="3849"/>
      <c r="AY150" s="3849"/>
      <c r="AZ150" s="3849"/>
      <c r="BA150" s="3849"/>
      <c r="BB150" s="3849"/>
      <c r="BC150" s="3843"/>
      <c r="BD150" s="3843"/>
      <c r="BE150" s="3843"/>
      <c r="BF150" s="3843"/>
      <c r="BG150" s="3843"/>
      <c r="BH150" s="3237"/>
      <c r="BI150" s="3237"/>
      <c r="BJ150" s="3237"/>
      <c r="BK150" s="3846"/>
      <c r="BL150" s="3846"/>
      <c r="BM150" s="3839"/>
      <c r="BN150" s="3800"/>
      <c r="BO150" s="3800"/>
      <c r="BP150" s="3800"/>
      <c r="BQ150" s="3790"/>
      <c r="BR150" s="3790"/>
      <c r="BS150" s="3790"/>
      <c r="BT150" s="3790"/>
      <c r="BU150" s="3831"/>
    </row>
    <row r="151" spans="1:73" x14ac:dyDescent="0.25">
      <c r="A151" s="1620"/>
      <c r="B151" s="1769"/>
      <c r="C151" s="1619"/>
      <c r="D151" s="1769"/>
      <c r="G151" s="3819"/>
      <c r="H151" s="3822"/>
      <c r="I151" s="3819"/>
      <c r="J151" s="3822"/>
      <c r="K151" s="3819"/>
      <c r="L151" s="3825"/>
      <c r="M151" s="3819"/>
      <c r="N151" s="3825"/>
      <c r="O151" s="3870"/>
      <c r="P151" s="3870"/>
      <c r="Q151" s="2274"/>
      <c r="R151" s="3109"/>
      <c r="S151" s="3867"/>
      <c r="T151" s="3855"/>
      <c r="U151" s="2426"/>
      <c r="V151" s="2787"/>
      <c r="W151" s="2579"/>
      <c r="X151" s="1367">
        <v>441000000</v>
      </c>
      <c r="Y151" s="1367">
        <v>217871100</v>
      </c>
      <c r="Z151" s="1367">
        <v>217871100</v>
      </c>
      <c r="AA151" s="1546" t="s">
        <v>2873</v>
      </c>
      <c r="AB151" s="3817"/>
      <c r="AC151" s="3150"/>
      <c r="AD151" s="3849"/>
      <c r="AE151" s="3843"/>
      <c r="AF151" s="3843"/>
      <c r="AG151" s="3007"/>
      <c r="AH151" s="3269"/>
      <c r="AI151" s="3843"/>
      <c r="AJ151" s="3843"/>
      <c r="AK151" s="3843"/>
      <c r="AL151" s="3843"/>
      <c r="AM151" s="3843"/>
      <c r="AN151" s="3843"/>
      <c r="AO151" s="3843"/>
      <c r="AP151" s="3843"/>
      <c r="AQ151" s="3843"/>
      <c r="AR151" s="3843"/>
      <c r="AS151" s="3843"/>
      <c r="AT151" s="3849"/>
      <c r="AU151" s="3849"/>
      <c r="AV151" s="3849"/>
      <c r="AW151" s="3849"/>
      <c r="AX151" s="3849"/>
      <c r="AY151" s="3849"/>
      <c r="AZ151" s="3849"/>
      <c r="BA151" s="3849"/>
      <c r="BB151" s="3849"/>
      <c r="BC151" s="3843"/>
      <c r="BD151" s="3843"/>
      <c r="BE151" s="3843"/>
      <c r="BF151" s="3843"/>
      <c r="BG151" s="3843"/>
      <c r="BH151" s="3237"/>
      <c r="BI151" s="3237"/>
      <c r="BJ151" s="3237"/>
      <c r="BK151" s="3846"/>
      <c r="BL151" s="3846"/>
      <c r="BM151" s="3839"/>
      <c r="BN151" s="3800"/>
      <c r="BO151" s="3800"/>
      <c r="BP151" s="3800"/>
      <c r="BQ151" s="3790"/>
      <c r="BR151" s="3790"/>
      <c r="BS151" s="3790"/>
      <c r="BT151" s="3790"/>
      <c r="BU151" s="3831"/>
    </row>
    <row r="152" spans="1:73" x14ac:dyDescent="0.25">
      <c r="A152" s="1620"/>
      <c r="B152" s="1769"/>
      <c r="C152" s="1619"/>
      <c r="D152" s="1769"/>
      <c r="G152" s="3819"/>
      <c r="H152" s="3822"/>
      <c r="I152" s="3819"/>
      <c r="J152" s="3822"/>
      <c r="K152" s="3819"/>
      <c r="L152" s="3825"/>
      <c r="M152" s="3819"/>
      <c r="N152" s="3825"/>
      <c r="O152" s="3870"/>
      <c r="P152" s="3870"/>
      <c r="Q152" s="2274"/>
      <c r="R152" s="3109"/>
      <c r="S152" s="3867"/>
      <c r="T152" s="3855"/>
      <c r="U152" s="2426"/>
      <c r="V152" s="2787"/>
      <c r="W152" s="2579"/>
      <c r="X152" s="1367">
        <v>882000000</v>
      </c>
      <c r="Y152" s="1367">
        <v>434916400</v>
      </c>
      <c r="Z152" s="1367">
        <v>434916400</v>
      </c>
      <c r="AA152" s="1546" t="s">
        <v>2874</v>
      </c>
      <c r="AB152" s="3817"/>
      <c r="AC152" s="3150"/>
      <c r="AD152" s="3849"/>
      <c r="AE152" s="3843"/>
      <c r="AF152" s="3843"/>
      <c r="AG152" s="3007"/>
      <c r="AH152" s="3269"/>
      <c r="AI152" s="3843"/>
      <c r="AJ152" s="3843"/>
      <c r="AK152" s="3843"/>
      <c r="AL152" s="3843"/>
      <c r="AM152" s="3843"/>
      <c r="AN152" s="3843"/>
      <c r="AO152" s="3843"/>
      <c r="AP152" s="3843"/>
      <c r="AQ152" s="3843"/>
      <c r="AR152" s="3843"/>
      <c r="AS152" s="3843"/>
      <c r="AT152" s="3849"/>
      <c r="AU152" s="3849"/>
      <c r="AV152" s="3849"/>
      <c r="AW152" s="3849"/>
      <c r="AX152" s="3849"/>
      <c r="AY152" s="3849"/>
      <c r="AZ152" s="3849"/>
      <c r="BA152" s="3849"/>
      <c r="BB152" s="3849"/>
      <c r="BC152" s="3843"/>
      <c r="BD152" s="3843"/>
      <c r="BE152" s="3843"/>
      <c r="BF152" s="3843"/>
      <c r="BG152" s="3843"/>
      <c r="BH152" s="3237"/>
      <c r="BI152" s="3237"/>
      <c r="BJ152" s="3237"/>
      <c r="BK152" s="3846"/>
      <c r="BL152" s="3846"/>
      <c r="BM152" s="3839"/>
      <c r="BN152" s="3800"/>
      <c r="BO152" s="3800"/>
      <c r="BP152" s="3800"/>
      <c r="BQ152" s="3790"/>
      <c r="BR152" s="3790"/>
      <c r="BS152" s="3790"/>
      <c r="BT152" s="3790"/>
      <c r="BU152" s="3831"/>
    </row>
    <row r="153" spans="1:73" x14ac:dyDescent="0.25">
      <c r="A153" s="1620"/>
      <c r="B153" s="1769"/>
      <c r="C153" s="1619"/>
      <c r="D153" s="1769"/>
      <c r="G153" s="3819"/>
      <c r="H153" s="3822"/>
      <c r="I153" s="3819"/>
      <c r="J153" s="3822"/>
      <c r="K153" s="3819"/>
      <c r="L153" s="3825"/>
      <c r="M153" s="3819"/>
      <c r="N153" s="3825"/>
      <c r="O153" s="3870"/>
      <c r="P153" s="3870"/>
      <c r="Q153" s="2274"/>
      <c r="R153" s="3109"/>
      <c r="S153" s="3867"/>
      <c r="T153" s="3855"/>
      <c r="U153" s="2426"/>
      <c r="V153" s="2787"/>
      <c r="W153" s="2579"/>
      <c r="X153" s="1367">
        <v>64000000</v>
      </c>
      <c r="Y153" s="1367">
        <v>0</v>
      </c>
      <c r="Z153" s="1367">
        <v>0</v>
      </c>
      <c r="AA153" s="1546" t="s">
        <v>2875</v>
      </c>
      <c r="AB153" s="3817"/>
      <c r="AC153" s="3150"/>
      <c r="AD153" s="3849"/>
      <c r="AE153" s="3843"/>
      <c r="AF153" s="3843"/>
      <c r="AG153" s="3007"/>
      <c r="AH153" s="3269"/>
      <c r="AI153" s="3843"/>
      <c r="AJ153" s="3843"/>
      <c r="AK153" s="3843"/>
      <c r="AL153" s="3843"/>
      <c r="AM153" s="3843"/>
      <c r="AN153" s="3843"/>
      <c r="AO153" s="3843"/>
      <c r="AP153" s="3843"/>
      <c r="AQ153" s="3843"/>
      <c r="AR153" s="3843"/>
      <c r="AS153" s="3843"/>
      <c r="AT153" s="3849"/>
      <c r="AU153" s="3849"/>
      <c r="AV153" s="3849"/>
      <c r="AW153" s="3849"/>
      <c r="AX153" s="3849"/>
      <c r="AY153" s="3849"/>
      <c r="AZ153" s="3849"/>
      <c r="BA153" s="3849"/>
      <c r="BB153" s="3849"/>
      <c r="BC153" s="3843"/>
      <c r="BD153" s="3843"/>
      <c r="BE153" s="3843"/>
      <c r="BF153" s="3843"/>
      <c r="BG153" s="3843"/>
      <c r="BH153" s="3237"/>
      <c r="BI153" s="3237"/>
      <c r="BJ153" s="3237"/>
      <c r="BK153" s="3846"/>
      <c r="BL153" s="3846"/>
      <c r="BM153" s="3839"/>
      <c r="BN153" s="3800"/>
      <c r="BO153" s="3800"/>
      <c r="BP153" s="3800"/>
      <c r="BQ153" s="3790"/>
      <c r="BR153" s="3790"/>
      <c r="BS153" s="3790"/>
      <c r="BT153" s="3790"/>
      <c r="BU153" s="3831"/>
    </row>
    <row r="154" spans="1:73" x14ac:dyDescent="0.25">
      <c r="A154" s="1620"/>
      <c r="B154" s="1769"/>
      <c r="C154" s="1619"/>
      <c r="D154" s="1769"/>
      <c r="G154" s="3819"/>
      <c r="H154" s="3822"/>
      <c r="I154" s="3819"/>
      <c r="J154" s="3822"/>
      <c r="K154" s="3819"/>
      <c r="L154" s="3825"/>
      <c r="M154" s="3819"/>
      <c r="N154" s="3825"/>
      <c r="O154" s="3870"/>
      <c r="P154" s="3870"/>
      <c r="Q154" s="2274"/>
      <c r="R154" s="3109"/>
      <c r="S154" s="3867"/>
      <c r="T154" s="3855"/>
      <c r="U154" s="2426"/>
      <c r="V154" s="2787"/>
      <c r="W154" s="2579"/>
      <c r="X154" s="1367">
        <v>831338000</v>
      </c>
      <c r="Y154" s="1367">
        <v>193644415.15000001</v>
      </c>
      <c r="Z154" s="1367">
        <v>42959340.890000001</v>
      </c>
      <c r="AA154" s="1546" t="s">
        <v>2876</v>
      </c>
      <c r="AB154" s="3817"/>
      <c r="AC154" s="3150"/>
      <c r="AD154" s="3849"/>
      <c r="AE154" s="3843"/>
      <c r="AF154" s="3843"/>
      <c r="AG154" s="3007"/>
      <c r="AH154" s="3269"/>
      <c r="AI154" s="3843"/>
      <c r="AJ154" s="3843"/>
      <c r="AK154" s="3843"/>
      <c r="AL154" s="3843"/>
      <c r="AM154" s="3843"/>
      <c r="AN154" s="3843"/>
      <c r="AO154" s="3843"/>
      <c r="AP154" s="3843"/>
      <c r="AQ154" s="3843"/>
      <c r="AR154" s="3843"/>
      <c r="AS154" s="3843"/>
      <c r="AT154" s="3849"/>
      <c r="AU154" s="3849"/>
      <c r="AV154" s="3849"/>
      <c r="AW154" s="3849"/>
      <c r="AX154" s="3849"/>
      <c r="AY154" s="3849"/>
      <c r="AZ154" s="3849"/>
      <c r="BA154" s="3849"/>
      <c r="BB154" s="3849"/>
      <c r="BC154" s="3843"/>
      <c r="BD154" s="3843"/>
      <c r="BE154" s="3843"/>
      <c r="BF154" s="3843"/>
      <c r="BG154" s="3843"/>
      <c r="BH154" s="3237"/>
      <c r="BI154" s="3237"/>
      <c r="BJ154" s="3237"/>
      <c r="BK154" s="3846"/>
      <c r="BL154" s="3846"/>
      <c r="BM154" s="3839"/>
      <c r="BN154" s="3800"/>
      <c r="BO154" s="3800"/>
      <c r="BP154" s="3800"/>
      <c r="BQ154" s="3790"/>
      <c r="BR154" s="3790"/>
      <c r="BS154" s="3790"/>
      <c r="BT154" s="3790"/>
      <c r="BU154" s="3831"/>
    </row>
    <row r="155" spans="1:73" x14ac:dyDescent="0.25">
      <c r="A155" s="1620"/>
      <c r="B155" s="1769"/>
      <c r="C155" s="1619"/>
      <c r="D155" s="1769"/>
      <c r="G155" s="3819"/>
      <c r="H155" s="3822"/>
      <c r="I155" s="3819"/>
      <c r="J155" s="3822"/>
      <c r="K155" s="3819"/>
      <c r="L155" s="3825"/>
      <c r="M155" s="3819"/>
      <c r="N155" s="3825"/>
      <c r="O155" s="3870"/>
      <c r="P155" s="3870"/>
      <c r="Q155" s="2274"/>
      <c r="R155" s="3109"/>
      <c r="S155" s="3867"/>
      <c r="T155" s="3855"/>
      <c r="U155" s="2426"/>
      <c r="V155" s="2787"/>
      <c r="W155" s="2579"/>
      <c r="X155" s="1367">
        <v>15000000</v>
      </c>
      <c r="Y155" s="1367">
        <v>0</v>
      </c>
      <c r="Z155" s="1367">
        <v>0</v>
      </c>
      <c r="AA155" s="1546" t="s">
        <v>2877</v>
      </c>
      <c r="AB155" s="3817"/>
      <c r="AC155" s="3150"/>
      <c r="AD155" s="3849"/>
      <c r="AE155" s="3843"/>
      <c r="AF155" s="3843"/>
      <c r="AG155" s="3007"/>
      <c r="AH155" s="3269"/>
      <c r="AI155" s="3843"/>
      <c r="AJ155" s="3843"/>
      <c r="AK155" s="3843"/>
      <c r="AL155" s="3843"/>
      <c r="AM155" s="3843"/>
      <c r="AN155" s="3843"/>
      <c r="AO155" s="3843"/>
      <c r="AP155" s="3843"/>
      <c r="AQ155" s="3843"/>
      <c r="AR155" s="3843"/>
      <c r="AS155" s="3843"/>
      <c r="AT155" s="3849"/>
      <c r="AU155" s="3849"/>
      <c r="AV155" s="3849"/>
      <c r="AW155" s="3849"/>
      <c r="AX155" s="3849"/>
      <c r="AY155" s="3849"/>
      <c r="AZ155" s="3849"/>
      <c r="BA155" s="3849"/>
      <c r="BB155" s="3849"/>
      <c r="BC155" s="3843"/>
      <c r="BD155" s="3843"/>
      <c r="BE155" s="3843"/>
      <c r="BF155" s="3843"/>
      <c r="BG155" s="3843"/>
      <c r="BH155" s="3237"/>
      <c r="BI155" s="3237"/>
      <c r="BJ155" s="3237"/>
      <c r="BK155" s="3846"/>
      <c r="BL155" s="3846"/>
      <c r="BM155" s="3839"/>
      <c r="BN155" s="3800"/>
      <c r="BO155" s="3800"/>
      <c r="BP155" s="3800"/>
      <c r="BQ155" s="3790"/>
      <c r="BR155" s="3790"/>
      <c r="BS155" s="3790"/>
      <c r="BT155" s="3790"/>
      <c r="BU155" s="3831"/>
    </row>
    <row r="156" spans="1:73" x14ac:dyDescent="0.25">
      <c r="A156" s="1620"/>
      <c r="B156" s="1769"/>
      <c r="C156" s="1619"/>
      <c r="D156" s="1769"/>
      <c r="G156" s="3819"/>
      <c r="H156" s="3822"/>
      <c r="I156" s="3819"/>
      <c r="J156" s="3822"/>
      <c r="K156" s="3819"/>
      <c r="L156" s="3825"/>
      <c r="M156" s="3819"/>
      <c r="N156" s="3825"/>
      <c r="O156" s="3870"/>
      <c r="P156" s="3870"/>
      <c r="Q156" s="2274"/>
      <c r="R156" s="3109"/>
      <c r="S156" s="3867"/>
      <c r="T156" s="3855"/>
      <c r="U156" s="2426"/>
      <c r="V156" s="2787"/>
      <c r="W156" s="2579"/>
      <c r="X156" s="1367">
        <v>12128000000</v>
      </c>
      <c r="Y156" s="1367">
        <v>5154001848</v>
      </c>
      <c r="Z156" s="1367">
        <v>5154001848</v>
      </c>
      <c r="AA156" s="1546" t="s">
        <v>2878</v>
      </c>
      <c r="AB156" s="3817"/>
      <c r="AC156" s="3150"/>
      <c r="AD156" s="3849"/>
      <c r="AE156" s="3843"/>
      <c r="AF156" s="3843"/>
      <c r="AG156" s="3007"/>
      <c r="AH156" s="3269"/>
      <c r="AI156" s="3843"/>
      <c r="AJ156" s="3843"/>
      <c r="AK156" s="3843"/>
      <c r="AL156" s="3843"/>
      <c r="AM156" s="3843"/>
      <c r="AN156" s="3843"/>
      <c r="AO156" s="3843"/>
      <c r="AP156" s="3843"/>
      <c r="AQ156" s="3843"/>
      <c r="AR156" s="3843"/>
      <c r="AS156" s="3843"/>
      <c r="AT156" s="3849"/>
      <c r="AU156" s="3849"/>
      <c r="AV156" s="3849"/>
      <c r="AW156" s="3849"/>
      <c r="AX156" s="3849"/>
      <c r="AY156" s="3849"/>
      <c r="AZ156" s="3849"/>
      <c r="BA156" s="3849"/>
      <c r="BB156" s="3849"/>
      <c r="BC156" s="3843"/>
      <c r="BD156" s="3843"/>
      <c r="BE156" s="3843"/>
      <c r="BF156" s="3843"/>
      <c r="BG156" s="3843"/>
      <c r="BH156" s="3237"/>
      <c r="BI156" s="3237"/>
      <c r="BJ156" s="3237"/>
      <c r="BK156" s="3846"/>
      <c r="BL156" s="3846"/>
      <c r="BM156" s="3839"/>
      <c r="BN156" s="3800"/>
      <c r="BO156" s="3800"/>
      <c r="BP156" s="3800"/>
      <c r="BQ156" s="3790"/>
      <c r="BR156" s="3790"/>
      <c r="BS156" s="3790"/>
      <c r="BT156" s="3790"/>
      <c r="BU156" s="3831"/>
    </row>
    <row r="157" spans="1:73" x14ac:dyDescent="0.25">
      <c r="A157" s="1620"/>
      <c r="B157" s="1769"/>
      <c r="C157" s="1619"/>
      <c r="D157" s="1769"/>
      <c r="G157" s="3819"/>
      <c r="H157" s="3822"/>
      <c r="I157" s="3819"/>
      <c r="J157" s="3822"/>
      <c r="K157" s="3819"/>
      <c r="L157" s="3825"/>
      <c r="M157" s="3819"/>
      <c r="N157" s="3825"/>
      <c r="O157" s="3870"/>
      <c r="P157" s="3870"/>
      <c r="Q157" s="2274"/>
      <c r="R157" s="3109"/>
      <c r="S157" s="3867"/>
      <c r="T157" s="3855"/>
      <c r="U157" s="2426"/>
      <c r="V157" s="2787"/>
      <c r="W157" s="2579"/>
      <c r="X157" s="1367">
        <v>79000000</v>
      </c>
      <c r="Y157" s="1367">
        <v>18831519</v>
      </c>
      <c r="Z157" s="1367">
        <v>18831519</v>
      </c>
      <c r="AA157" s="1546" t="s">
        <v>2879</v>
      </c>
      <c r="AB157" s="3817"/>
      <c r="AC157" s="3150"/>
      <c r="AD157" s="3849"/>
      <c r="AE157" s="3843"/>
      <c r="AF157" s="3843"/>
      <c r="AG157" s="3007"/>
      <c r="AH157" s="3269"/>
      <c r="AI157" s="3843"/>
      <c r="AJ157" s="3843"/>
      <c r="AK157" s="3843"/>
      <c r="AL157" s="3843"/>
      <c r="AM157" s="3843"/>
      <c r="AN157" s="3843"/>
      <c r="AO157" s="3843"/>
      <c r="AP157" s="3843"/>
      <c r="AQ157" s="3843"/>
      <c r="AR157" s="3843"/>
      <c r="AS157" s="3843"/>
      <c r="AT157" s="3849"/>
      <c r="AU157" s="3849"/>
      <c r="AV157" s="3849"/>
      <c r="AW157" s="3849"/>
      <c r="AX157" s="3849"/>
      <c r="AY157" s="3849"/>
      <c r="AZ157" s="3849"/>
      <c r="BA157" s="3849"/>
      <c r="BB157" s="3849"/>
      <c r="BC157" s="3843"/>
      <c r="BD157" s="3843"/>
      <c r="BE157" s="3843"/>
      <c r="BF157" s="3843"/>
      <c r="BG157" s="3843"/>
      <c r="BH157" s="3237"/>
      <c r="BI157" s="3237"/>
      <c r="BJ157" s="3237"/>
      <c r="BK157" s="3846"/>
      <c r="BL157" s="3846"/>
      <c r="BM157" s="3839"/>
      <c r="BN157" s="3800"/>
      <c r="BO157" s="3800"/>
      <c r="BP157" s="3800"/>
      <c r="BQ157" s="3790"/>
      <c r="BR157" s="3790"/>
      <c r="BS157" s="3790"/>
      <c r="BT157" s="3790"/>
      <c r="BU157" s="3831"/>
    </row>
    <row r="158" spans="1:73" x14ac:dyDescent="0.25">
      <c r="A158" s="1620"/>
      <c r="B158" s="1769"/>
      <c r="C158" s="1619"/>
      <c r="D158" s="1769"/>
      <c r="G158" s="3819"/>
      <c r="H158" s="3822"/>
      <c r="I158" s="3819"/>
      <c r="J158" s="3822"/>
      <c r="K158" s="3819"/>
      <c r="L158" s="3825"/>
      <c r="M158" s="3819"/>
      <c r="N158" s="3825"/>
      <c r="O158" s="3870"/>
      <c r="P158" s="3870"/>
      <c r="Q158" s="2274"/>
      <c r="R158" s="3109"/>
      <c r="S158" s="3867"/>
      <c r="T158" s="3855"/>
      <c r="U158" s="2426"/>
      <c r="V158" s="2787"/>
      <c r="W158" s="2579"/>
      <c r="X158" s="1367">
        <v>4000000</v>
      </c>
      <c r="Y158" s="1367">
        <v>35925</v>
      </c>
      <c r="Z158" s="1367">
        <v>35925</v>
      </c>
      <c r="AA158" s="1546" t="s">
        <v>2880</v>
      </c>
      <c r="AB158" s="3817"/>
      <c r="AC158" s="3150"/>
      <c r="AD158" s="3849"/>
      <c r="AE158" s="3843"/>
      <c r="AF158" s="3843"/>
      <c r="AG158" s="3007"/>
      <c r="AH158" s="3269"/>
      <c r="AI158" s="3843"/>
      <c r="AJ158" s="3843"/>
      <c r="AK158" s="3843"/>
      <c r="AL158" s="3843"/>
      <c r="AM158" s="3843"/>
      <c r="AN158" s="3843"/>
      <c r="AO158" s="3843"/>
      <c r="AP158" s="3843"/>
      <c r="AQ158" s="3843"/>
      <c r="AR158" s="3843"/>
      <c r="AS158" s="3843"/>
      <c r="AT158" s="3849"/>
      <c r="AU158" s="3849"/>
      <c r="AV158" s="3849"/>
      <c r="AW158" s="3849"/>
      <c r="AX158" s="3849"/>
      <c r="AY158" s="3849"/>
      <c r="AZ158" s="3849"/>
      <c r="BA158" s="3849"/>
      <c r="BB158" s="3849"/>
      <c r="BC158" s="3843"/>
      <c r="BD158" s="3843"/>
      <c r="BE158" s="3843"/>
      <c r="BF158" s="3843"/>
      <c r="BG158" s="3843"/>
      <c r="BH158" s="3237"/>
      <c r="BI158" s="3237"/>
      <c r="BJ158" s="3237"/>
      <c r="BK158" s="3846"/>
      <c r="BL158" s="3846"/>
      <c r="BM158" s="3839"/>
      <c r="BN158" s="3800"/>
      <c r="BO158" s="3800"/>
      <c r="BP158" s="3800"/>
      <c r="BQ158" s="3790"/>
      <c r="BR158" s="3790"/>
      <c r="BS158" s="3790"/>
      <c r="BT158" s="3790"/>
      <c r="BU158" s="3831"/>
    </row>
    <row r="159" spans="1:73" x14ac:dyDescent="0.25">
      <c r="A159" s="1620"/>
      <c r="B159" s="1769"/>
      <c r="C159" s="1619"/>
      <c r="D159" s="1769"/>
      <c r="G159" s="3819"/>
      <c r="H159" s="3822"/>
      <c r="I159" s="3819"/>
      <c r="J159" s="3822"/>
      <c r="K159" s="3819"/>
      <c r="L159" s="3825"/>
      <c r="M159" s="3819"/>
      <c r="N159" s="3825"/>
      <c r="O159" s="3870"/>
      <c r="P159" s="3870"/>
      <c r="Q159" s="2274"/>
      <c r="R159" s="3109"/>
      <c r="S159" s="3867"/>
      <c r="T159" s="3855"/>
      <c r="U159" s="2426"/>
      <c r="V159" s="2787"/>
      <c r="W159" s="2579"/>
      <c r="X159" s="1367">
        <v>514000000</v>
      </c>
      <c r="Y159" s="1367">
        <v>6872535</v>
      </c>
      <c r="Z159" s="1367">
        <v>6872535</v>
      </c>
      <c r="AA159" s="1546" t="s">
        <v>2881</v>
      </c>
      <c r="AB159" s="3817"/>
      <c r="AC159" s="3150"/>
      <c r="AD159" s="3849"/>
      <c r="AE159" s="3843"/>
      <c r="AF159" s="3843"/>
      <c r="AG159" s="3007"/>
      <c r="AH159" s="3269"/>
      <c r="AI159" s="3843"/>
      <c r="AJ159" s="3843"/>
      <c r="AK159" s="3843"/>
      <c r="AL159" s="3843"/>
      <c r="AM159" s="3843"/>
      <c r="AN159" s="3843"/>
      <c r="AO159" s="3843"/>
      <c r="AP159" s="3843"/>
      <c r="AQ159" s="3843"/>
      <c r="AR159" s="3843"/>
      <c r="AS159" s="3843"/>
      <c r="AT159" s="3849"/>
      <c r="AU159" s="3849"/>
      <c r="AV159" s="3849"/>
      <c r="AW159" s="3849"/>
      <c r="AX159" s="3849"/>
      <c r="AY159" s="3849"/>
      <c r="AZ159" s="3849"/>
      <c r="BA159" s="3849"/>
      <c r="BB159" s="3849"/>
      <c r="BC159" s="3843"/>
      <c r="BD159" s="3843"/>
      <c r="BE159" s="3843"/>
      <c r="BF159" s="3843"/>
      <c r="BG159" s="3843"/>
      <c r="BH159" s="3237"/>
      <c r="BI159" s="3237"/>
      <c r="BJ159" s="3237"/>
      <c r="BK159" s="3846"/>
      <c r="BL159" s="3846"/>
      <c r="BM159" s="3839"/>
      <c r="BN159" s="3800"/>
      <c r="BO159" s="3800"/>
      <c r="BP159" s="3800"/>
      <c r="BQ159" s="3790"/>
      <c r="BR159" s="3790"/>
      <c r="BS159" s="3790"/>
      <c r="BT159" s="3790"/>
      <c r="BU159" s="3831"/>
    </row>
    <row r="160" spans="1:73" x14ac:dyDescent="0.25">
      <c r="A160" s="1620"/>
      <c r="B160" s="1769"/>
      <c r="C160" s="1619"/>
      <c r="D160" s="1769"/>
      <c r="G160" s="3819"/>
      <c r="H160" s="3822"/>
      <c r="I160" s="3819"/>
      <c r="J160" s="3822"/>
      <c r="K160" s="3819"/>
      <c r="L160" s="3825"/>
      <c r="M160" s="3819"/>
      <c r="N160" s="3825"/>
      <c r="O160" s="3870"/>
      <c r="P160" s="3870"/>
      <c r="Q160" s="2274"/>
      <c r="R160" s="3109"/>
      <c r="S160" s="3867"/>
      <c r="T160" s="3855"/>
      <c r="U160" s="2426"/>
      <c r="V160" s="2787"/>
      <c r="W160" s="2579"/>
      <c r="X160" s="1367">
        <v>1367000000</v>
      </c>
      <c r="Y160" s="1367">
        <v>5136990</v>
      </c>
      <c r="Z160" s="1367">
        <v>5136990</v>
      </c>
      <c r="AA160" s="1546" t="s">
        <v>2882</v>
      </c>
      <c r="AB160" s="3817"/>
      <c r="AC160" s="3150"/>
      <c r="AD160" s="3849"/>
      <c r="AE160" s="3843"/>
      <c r="AF160" s="3843"/>
      <c r="AG160" s="3007"/>
      <c r="AH160" s="3269"/>
      <c r="AI160" s="3843"/>
      <c r="AJ160" s="3843"/>
      <c r="AK160" s="3843"/>
      <c r="AL160" s="3843"/>
      <c r="AM160" s="3843"/>
      <c r="AN160" s="3843"/>
      <c r="AO160" s="3843"/>
      <c r="AP160" s="3843"/>
      <c r="AQ160" s="3843"/>
      <c r="AR160" s="3843"/>
      <c r="AS160" s="3843"/>
      <c r="AT160" s="3849"/>
      <c r="AU160" s="3849"/>
      <c r="AV160" s="3849"/>
      <c r="AW160" s="3849"/>
      <c r="AX160" s="3849"/>
      <c r="AY160" s="3849"/>
      <c r="AZ160" s="3849"/>
      <c r="BA160" s="3849"/>
      <c r="BB160" s="3849"/>
      <c r="BC160" s="3843"/>
      <c r="BD160" s="3843"/>
      <c r="BE160" s="3843"/>
      <c r="BF160" s="3843"/>
      <c r="BG160" s="3843"/>
      <c r="BH160" s="3237"/>
      <c r="BI160" s="3237"/>
      <c r="BJ160" s="3237"/>
      <c r="BK160" s="3846"/>
      <c r="BL160" s="3846"/>
      <c r="BM160" s="3839"/>
      <c r="BN160" s="3800"/>
      <c r="BO160" s="3800"/>
      <c r="BP160" s="3800"/>
      <c r="BQ160" s="3790"/>
      <c r="BR160" s="3790"/>
      <c r="BS160" s="3790"/>
      <c r="BT160" s="3790"/>
      <c r="BU160" s="3831"/>
    </row>
    <row r="161" spans="1:73" x14ac:dyDescent="0.25">
      <c r="A161" s="1620"/>
      <c r="B161" s="1769"/>
      <c r="C161" s="1619"/>
      <c r="D161" s="1769"/>
      <c r="G161" s="3819"/>
      <c r="H161" s="3822"/>
      <c r="I161" s="3819"/>
      <c r="J161" s="3822"/>
      <c r="K161" s="3819"/>
      <c r="L161" s="3825"/>
      <c r="M161" s="3819"/>
      <c r="N161" s="3825"/>
      <c r="O161" s="3870"/>
      <c r="P161" s="3870"/>
      <c r="Q161" s="2274"/>
      <c r="R161" s="3109"/>
      <c r="S161" s="3867"/>
      <c r="T161" s="3855"/>
      <c r="U161" s="2426"/>
      <c r="V161" s="2787"/>
      <c r="W161" s="2579"/>
      <c r="X161" s="1367">
        <v>536000000</v>
      </c>
      <c r="Y161" s="1367">
        <v>3427596</v>
      </c>
      <c r="Z161" s="1367">
        <v>3427596</v>
      </c>
      <c r="AA161" s="1546" t="s">
        <v>2883</v>
      </c>
      <c r="AB161" s="3817"/>
      <c r="AC161" s="3150"/>
      <c r="AD161" s="3849"/>
      <c r="AE161" s="3843"/>
      <c r="AF161" s="3843"/>
      <c r="AG161" s="3007"/>
      <c r="AH161" s="3269"/>
      <c r="AI161" s="3843"/>
      <c r="AJ161" s="3843"/>
      <c r="AK161" s="3843"/>
      <c r="AL161" s="3843"/>
      <c r="AM161" s="3843"/>
      <c r="AN161" s="3843"/>
      <c r="AO161" s="3843"/>
      <c r="AP161" s="3843"/>
      <c r="AQ161" s="3843"/>
      <c r="AR161" s="3843"/>
      <c r="AS161" s="3843"/>
      <c r="AT161" s="3849"/>
      <c r="AU161" s="3849"/>
      <c r="AV161" s="3849"/>
      <c r="AW161" s="3849"/>
      <c r="AX161" s="3849"/>
      <c r="AY161" s="3849"/>
      <c r="AZ161" s="3849"/>
      <c r="BA161" s="3849"/>
      <c r="BB161" s="3849"/>
      <c r="BC161" s="3843"/>
      <c r="BD161" s="3843"/>
      <c r="BE161" s="3843"/>
      <c r="BF161" s="3843"/>
      <c r="BG161" s="3843"/>
      <c r="BH161" s="3237"/>
      <c r="BI161" s="3237"/>
      <c r="BJ161" s="3237"/>
      <c r="BK161" s="3846"/>
      <c r="BL161" s="3846"/>
      <c r="BM161" s="3839"/>
      <c r="BN161" s="3800"/>
      <c r="BO161" s="3800"/>
      <c r="BP161" s="3800"/>
      <c r="BQ161" s="3790"/>
      <c r="BR161" s="3790"/>
      <c r="BS161" s="3790"/>
      <c r="BT161" s="3790"/>
      <c r="BU161" s="3831"/>
    </row>
    <row r="162" spans="1:73" x14ac:dyDescent="0.25">
      <c r="A162" s="1620"/>
      <c r="B162" s="1769"/>
      <c r="C162" s="1619"/>
      <c r="D162" s="1769"/>
      <c r="G162" s="3819"/>
      <c r="H162" s="3822"/>
      <c r="I162" s="3819"/>
      <c r="J162" s="3822"/>
      <c r="K162" s="3819"/>
      <c r="L162" s="3825"/>
      <c r="M162" s="3819"/>
      <c r="N162" s="3825"/>
      <c r="O162" s="3870"/>
      <c r="P162" s="3870"/>
      <c r="Q162" s="2274"/>
      <c r="R162" s="3109"/>
      <c r="S162" s="3867"/>
      <c r="T162" s="3855"/>
      <c r="U162" s="2426"/>
      <c r="V162" s="2787"/>
      <c r="W162" s="2579"/>
      <c r="X162" s="1367">
        <v>567000000</v>
      </c>
      <c r="Y162" s="1367">
        <v>239010000</v>
      </c>
      <c r="Z162" s="1367">
        <v>239010000</v>
      </c>
      <c r="AA162" s="1546" t="s">
        <v>2884</v>
      </c>
      <c r="AB162" s="3817"/>
      <c r="AC162" s="3150"/>
      <c r="AD162" s="3849"/>
      <c r="AE162" s="3843"/>
      <c r="AF162" s="3843"/>
      <c r="AG162" s="3007"/>
      <c r="AH162" s="3269"/>
      <c r="AI162" s="3843"/>
      <c r="AJ162" s="3843"/>
      <c r="AK162" s="3843"/>
      <c r="AL162" s="3843"/>
      <c r="AM162" s="3843"/>
      <c r="AN162" s="3843"/>
      <c r="AO162" s="3843"/>
      <c r="AP162" s="3843"/>
      <c r="AQ162" s="3843"/>
      <c r="AR162" s="3843"/>
      <c r="AS162" s="3843"/>
      <c r="AT162" s="3849"/>
      <c r="AU162" s="3849"/>
      <c r="AV162" s="3849"/>
      <c r="AW162" s="3849"/>
      <c r="AX162" s="3849"/>
      <c r="AY162" s="3849"/>
      <c r="AZ162" s="3849"/>
      <c r="BA162" s="3849"/>
      <c r="BB162" s="3849"/>
      <c r="BC162" s="3843"/>
      <c r="BD162" s="3843"/>
      <c r="BE162" s="3843"/>
      <c r="BF162" s="3843"/>
      <c r="BG162" s="3843"/>
      <c r="BH162" s="3237"/>
      <c r="BI162" s="3237"/>
      <c r="BJ162" s="3237"/>
      <c r="BK162" s="3846"/>
      <c r="BL162" s="3846"/>
      <c r="BM162" s="3839"/>
      <c r="BN162" s="3800"/>
      <c r="BO162" s="3800"/>
      <c r="BP162" s="3800"/>
      <c r="BQ162" s="3790"/>
      <c r="BR162" s="3790"/>
      <c r="BS162" s="3790"/>
      <c r="BT162" s="3790"/>
      <c r="BU162" s="3831"/>
    </row>
    <row r="163" spans="1:73" x14ac:dyDescent="0.25">
      <c r="A163" s="1620"/>
      <c r="B163" s="1769"/>
      <c r="C163" s="1619"/>
      <c r="D163" s="1769"/>
      <c r="G163" s="3819"/>
      <c r="H163" s="3822"/>
      <c r="I163" s="3819"/>
      <c r="J163" s="3822"/>
      <c r="K163" s="3819"/>
      <c r="L163" s="3825"/>
      <c r="M163" s="3819"/>
      <c r="N163" s="3825"/>
      <c r="O163" s="3870"/>
      <c r="P163" s="3870"/>
      <c r="Q163" s="2274"/>
      <c r="R163" s="3109"/>
      <c r="S163" s="3867"/>
      <c r="T163" s="3855"/>
      <c r="U163" s="2426"/>
      <c r="V163" s="2787"/>
      <c r="W163" s="2579"/>
      <c r="X163" s="1367">
        <v>426000000</v>
      </c>
      <c r="Y163" s="1367">
        <v>179267900</v>
      </c>
      <c r="Z163" s="1367">
        <v>179267900</v>
      </c>
      <c r="AA163" s="1546" t="s">
        <v>2885</v>
      </c>
      <c r="AB163" s="3817"/>
      <c r="AC163" s="3150"/>
      <c r="AD163" s="3849"/>
      <c r="AE163" s="3843"/>
      <c r="AF163" s="3843"/>
      <c r="AG163" s="3007"/>
      <c r="AH163" s="3269"/>
      <c r="AI163" s="3843"/>
      <c r="AJ163" s="3843"/>
      <c r="AK163" s="3843"/>
      <c r="AL163" s="3843"/>
      <c r="AM163" s="3843"/>
      <c r="AN163" s="3843"/>
      <c r="AO163" s="3843"/>
      <c r="AP163" s="3843"/>
      <c r="AQ163" s="3843"/>
      <c r="AR163" s="3843"/>
      <c r="AS163" s="3843"/>
      <c r="AT163" s="3849"/>
      <c r="AU163" s="3849"/>
      <c r="AV163" s="3849"/>
      <c r="AW163" s="3849"/>
      <c r="AX163" s="3849"/>
      <c r="AY163" s="3849"/>
      <c r="AZ163" s="3849"/>
      <c r="BA163" s="3849"/>
      <c r="BB163" s="3849"/>
      <c r="BC163" s="3843"/>
      <c r="BD163" s="3843"/>
      <c r="BE163" s="3843"/>
      <c r="BF163" s="3843"/>
      <c r="BG163" s="3843"/>
      <c r="BH163" s="3237"/>
      <c r="BI163" s="3237"/>
      <c r="BJ163" s="3237"/>
      <c r="BK163" s="3846"/>
      <c r="BL163" s="3846"/>
      <c r="BM163" s="3839"/>
      <c r="BN163" s="3800"/>
      <c r="BO163" s="3800"/>
      <c r="BP163" s="3800"/>
      <c r="BQ163" s="3790"/>
      <c r="BR163" s="3790"/>
      <c r="BS163" s="3790"/>
      <c r="BT163" s="3790"/>
      <c r="BU163" s="3831"/>
    </row>
    <row r="164" spans="1:73" x14ac:dyDescent="0.25">
      <c r="A164" s="1620"/>
      <c r="B164" s="1769"/>
      <c r="C164" s="1619"/>
      <c r="D164" s="1769"/>
      <c r="G164" s="3819"/>
      <c r="H164" s="3822"/>
      <c r="I164" s="3819"/>
      <c r="J164" s="3822"/>
      <c r="K164" s="3819"/>
      <c r="L164" s="3825"/>
      <c r="M164" s="3819"/>
      <c r="N164" s="3825"/>
      <c r="O164" s="3870"/>
      <c r="P164" s="3870"/>
      <c r="Q164" s="2274"/>
      <c r="R164" s="3109"/>
      <c r="S164" s="3867"/>
      <c r="T164" s="3855"/>
      <c r="U164" s="2426"/>
      <c r="V164" s="2787"/>
      <c r="W164" s="2579"/>
      <c r="X164" s="1367">
        <v>71000000</v>
      </c>
      <c r="Y164" s="1367">
        <v>29927400</v>
      </c>
      <c r="Z164" s="1367">
        <v>29927400</v>
      </c>
      <c r="AA164" s="1546" t="s">
        <v>2886</v>
      </c>
      <c r="AB164" s="3817"/>
      <c r="AC164" s="3150"/>
      <c r="AD164" s="3849"/>
      <c r="AE164" s="3843"/>
      <c r="AF164" s="3843"/>
      <c r="AG164" s="3007"/>
      <c r="AH164" s="3269"/>
      <c r="AI164" s="3843"/>
      <c r="AJ164" s="3843"/>
      <c r="AK164" s="3843"/>
      <c r="AL164" s="3843"/>
      <c r="AM164" s="3843"/>
      <c r="AN164" s="3843"/>
      <c r="AO164" s="3843"/>
      <c r="AP164" s="3843"/>
      <c r="AQ164" s="3843"/>
      <c r="AR164" s="3843"/>
      <c r="AS164" s="3843"/>
      <c r="AT164" s="3849"/>
      <c r="AU164" s="3849"/>
      <c r="AV164" s="3849"/>
      <c r="AW164" s="3849"/>
      <c r="AX164" s="3849"/>
      <c r="AY164" s="3849"/>
      <c r="AZ164" s="3849"/>
      <c r="BA164" s="3849"/>
      <c r="BB164" s="3849"/>
      <c r="BC164" s="3843"/>
      <c r="BD164" s="3843"/>
      <c r="BE164" s="3843"/>
      <c r="BF164" s="3843"/>
      <c r="BG164" s="3843"/>
      <c r="BH164" s="3237"/>
      <c r="BI164" s="3237"/>
      <c r="BJ164" s="3237"/>
      <c r="BK164" s="3846"/>
      <c r="BL164" s="3846"/>
      <c r="BM164" s="3839"/>
      <c r="BN164" s="3800"/>
      <c r="BO164" s="3800"/>
      <c r="BP164" s="3800"/>
      <c r="BQ164" s="3790"/>
      <c r="BR164" s="3790"/>
      <c r="BS164" s="3790"/>
      <c r="BT164" s="3790"/>
      <c r="BU164" s="3831"/>
    </row>
    <row r="165" spans="1:73" x14ac:dyDescent="0.25">
      <c r="A165" s="1620"/>
      <c r="B165" s="1769"/>
      <c r="C165" s="1619"/>
      <c r="D165" s="1769"/>
      <c r="G165" s="3819"/>
      <c r="H165" s="3822"/>
      <c r="I165" s="3819"/>
      <c r="J165" s="3822"/>
      <c r="K165" s="3819"/>
      <c r="L165" s="3825"/>
      <c r="M165" s="3819"/>
      <c r="N165" s="3825"/>
      <c r="O165" s="3870"/>
      <c r="P165" s="3870"/>
      <c r="Q165" s="2274"/>
      <c r="R165" s="3109"/>
      <c r="S165" s="3867"/>
      <c r="T165" s="3855"/>
      <c r="U165" s="2426"/>
      <c r="V165" s="2787"/>
      <c r="W165" s="2579"/>
      <c r="X165" s="1367">
        <v>71000000</v>
      </c>
      <c r="Y165" s="1367">
        <v>29927400</v>
      </c>
      <c r="Z165" s="1367">
        <v>29927400</v>
      </c>
      <c r="AA165" s="1546" t="s">
        <v>2887</v>
      </c>
      <c r="AB165" s="3817"/>
      <c r="AC165" s="3150"/>
      <c r="AD165" s="3849"/>
      <c r="AE165" s="3843"/>
      <c r="AF165" s="3843"/>
      <c r="AG165" s="3007"/>
      <c r="AH165" s="3269"/>
      <c r="AI165" s="3843"/>
      <c r="AJ165" s="3843"/>
      <c r="AK165" s="3843"/>
      <c r="AL165" s="3843"/>
      <c r="AM165" s="3843"/>
      <c r="AN165" s="3843"/>
      <c r="AO165" s="3843"/>
      <c r="AP165" s="3843"/>
      <c r="AQ165" s="3843"/>
      <c r="AR165" s="3843"/>
      <c r="AS165" s="3843"/>
      <c r="AT165" s="3849"/>
      <c r="AU165" s="3849"/>
      <c r="AV165" s="3849"/>
      <c r="AW165" s="3849"/>
      <c r="AX165" s="3849"/>
      <c r="AY165" s="3849"/>
      <c r="AZ165" s="3849"/>
      <c r="BA165" s="3849"/>
      <c r="BB165" s="3849"/>
      <c r="BC165" s="3843"/>
      <c r="BD165" s="3843"/>
      <c r="BE165" s="3843"/>
      <c r="BF165" s="3843"/>
      <c r="BG165" s="3843"/>
      <c r="BH165" s="3237"/>
      <c r="BI165" s="3237"/>
      <c r="BJ165" s="3237"/>
      <c r="BK165" s="3846"/>
      <c r="BL165" s="3846"/>
      <c r="BM165" s="3839"/>
      <c r="BN165" s="3800"/>
      <c r="BO165" s="3800"/>
      <c r="BP165" s="3800"/>
      <c r="BQ165" s="3790"/>
      <c r="BR165" s="3790"/>
      <c r="BS165" s="3790"/>
      <c r="BT165" s="3790"/>
      <c r="BU165" s="3831"/>
    </row>
    <row r="166" spans="1:73" x14ac:dyDescent="0.25">
      <c r="A166" s="1620"/>
      <c r="B166" s="1769"/>
      <c r="C166" s="1619"/>
      <c r="D166" s="1769"/>
      <c r="G166" s="3819"/>
      <c r="H166" s="3822"/>
      <c r="I166" s="3819"/>
      <c r="J166" s="3822"/>
      <c r="K166" s="3819"/>
      <c r="L166" s="3825"/>
      <c r="M166" s="3819"/>
      <c r="N166" s="3825"/>
      <c r="O166" s="3870"/>
      <c r="P166" s="3870"/>
      <c r="Q166" s="2274"/>
      <c r="R166" s="3109"/>
      <c r="S166" s="3867"/>
      <c r="T166" s="3855"/>
      <c r="U166" s="2426"/>
      <c r="V166" s="2787"/>
      <c r="W166" s="2579"/>
      <c r="X166" s="1367">
        <v>142000000</v>
      </c>
      <c r="Y166" s="1367">
        <v>59801700</v>
      </c>
      <c r="Z166" s="1367">
        <v>59801700</v>
      </c>
      <c r="AA166" s="1546" t="s">
        <v>2888</v>
      </c>
      <c r="AB166" s="3817"/>
      <c r="AC166" s="3150"/>
      <c r="AD166" s="3849"/>
      <c r="AE166" s="3843"/>
      <c r="AF166" s="3843"/>
      <c r="AG166" s="3007"/>
      <c r="AH166" s="3269"/>
      <c r="AI166" s="3843"/>
      <c r="AJ166" s="3843"/>
      <c r="AK166" s="3843"/>
      <c r="AL166" s="3843"/>
      <c r="AM166" s="3843"/>
      <c r="AN166" s="3843"/>
      <c r="AO166" s="3843"/>
      <c r="AP166" s="3843"/>
      <c r="AQ166" s="3843"/>
      <c r="AR166" s="3843"/>
      <c r="AS166" s="3843"/>
      <c r="AT166" s="3849"/>
      <c r="AU166" s="3849"/>
      <c r="AV166" s="3849"/>
      <c r="AW166" s="3849"/>
      <c r="AX166" s="3849"/>
      <c r="AY166" s="3849"/>
      <c r="AZ166" s="3849"/>
      <c r="BA166" s="3849"/>
      <c r="BB166" s="3849"/>
      <c r="BC166" s="3843"/>
      <c r="BD166" s="3843"/>
      <c r="BE166" s="3843"/>
      <c r="BF166" s="3843"/>
      <c r="BG166" s="3843"/>
      <c r="BH166" s="3237"/>
      <c r="BI166" s="3237"/>
      <c r="BJ166" s="3237"/>
      <c r="BK166" s="3846"/>
      <c r="BL166" s="3846"/>
      <c r="BM166" s="3839"/>
      <c r="BN166" s="3800"/>
      <c r="BO166" s="3800"/>
      <c r="BP166" s="3800"/>
      <c r="BQ166" s="3790"/>
      <c r="BR166" s="3790"/>
      <c r="BS166" s="3790"/>
      <c r="BT166" s="3790"/>
      <c r="BU166" s="3831"/>
    </row>
    <row r="167" spans="1:73" x14ac:dyDescent="0.25">
      <c r="A167" s="1620"/>
      <c r="B167" s="1769"/>
      <c r="C167" s="1619"/>
      <c r="D167" s="1769"/>
      <c r="G167" s="3819"/>
      <c r="H167" s="3822"/>
      <c r="I167" s="3819"/>
      <c r="J167" s="3822"/>
      <c r="K167" s="3819"/>
      <c r="L167" s="3825"/>
      <c r="M167" s="3819"/>
      <c r="N167" s="3825"/>
      <c r="O167" s="3870"/>
      <c r="P167" s="3870"/>
      <c r="Q167" s="2274"/>
      <c r="R167" s="3109"/>
      <c r="S167" s="3867"/>
      <c r="T167" s="3855"/>
      <c r="U167" s="2426"/>
      <c r="V167" s="2787"/>
      <c r="W167" s="2579"/>
      <c r="X167" s="1367">
        <v>37662000</v>
      </c>
      <c r="Y167" s="1367">
        <v>0</v>
      </c>
      <c r="Z167" s="1367">
        <v>0</v>
      </c>
      <c r="AA167" s="1546" t="s">
        <v>2889</v>
      </c>
      <c r="AB167" s="3817"/>
      <c r="AC167" s="3150"/>
      <c r="AD167" s="3849"/>
      <c r="AE167" s="3843"/>
      <c r="AF167" s="3843"/>
      <c r="AG167" s="3007"/>
      <c r="AH167" s="3269"/>
      <c r="AI167" s="3843"/>
      <c r="AJ167" s="3843"/>
      <c r="AK167" s="3843"/>
      <c r="AL167" s="3843"/>
      <c r="AM167" s="3843"/>
      <c r="AN167" s="3843"/>
      <c r="AO167" s="3843"/>
      <c r="AP167" s="3843"/>
      <c r="AQ167" s="3843"/>
      <c r="AR167" s="3843"/>
      <c r="AS167" s="3843"/>
      <c r="AT167" s="3849"/>
      <c r="AU167" s="3849"/>
      <c r="AV167" s="3849"/>
      <c r="AW167" s="3849"/>
      <c r="AX167" s="3849"/>
      <c r="AY167" s="3849"/>
      <c r="AZ167" s="3849"/>
      <c r="BA167" s="3849"/>
      <c r="BB167" s="3849"/>
      <c r="BC167" s="3843"/>
      <c r="BD167" s="3843"/>
      <c r="BE167" s="3843"/>
      <c r="BF167" s="3843"/>
      <c r="BG167" s="3843"/>
      <c r="BH167" s="3237"/>
      <c r="BI167" s="3237"/>
      <c r="BJ167" s="3237"/>
      <c r="BK167" s="3846"/>
      <c r="BL167" s="3846"/>
      <c r="BM167" s="3839"/>
      <c r="BN167" s="3800"/>
      <c r="BO167" s="3800"/>
      <c r="BP167" s="3800"/>
      <c r="BQ167" s="3790"/>
      <c r="BR167" s="3790"/>
      <c r="BS167" s="3790"/>
      <c r="BT167" s="3790"/>
      <c r="BU167" s="3831"/>
    </row>
    <row r="168" spans="1:73" x14ac:dyDescent="0.25">
      <c r="A168" s="1620"/>
      <c r="B168" s="1769"/>
      <c r="C168" s="1619"/>
      <c r="D168" s="1769"/>
      <c r="G168" s="3819"/>
      <c r="H168" s="3822"/>
      <c r="I168" s="3819"/>
      <c r="J168" s="3822"/>
      <c r="K168" s="3819"/>
      <c r="L168" s="3825"/>
      <c r="M168" s="3819"/>
      <c r="N168" s="3825"/>
      <c r="O168" s="3870"/>
      <c r="P168" s="3870"/>
      <c r="Q168" s="2274"/>
      <c r="R168" s="3109"/>
      <c r="S168" s="3867"/>
      <c r="T168" s="3855"/>
      <c r="U168" s="2426"/>
      <c r="V168" s="2787"/>
      <c r="W168" s="2579"/>
      <c r="X168" s="1367">
        <v>10000000</v>
      </c>
      <c r="Y168" s="1367">
        <v>0</v>
      </c>
      <c r="Z168" s="1367">
        <v>0</v>
      </c>
      <c r="AA168" s="1546" t="s">
        <v>2890</v>
      </c>
      <c r="AB168" s="3817"/>
      <c r="AC168" s="3150"/>
      <c r="AD168" s="3849"/>
      <c r="AE168" s="3843"/>
      <c r="AF168" s="3843"/>
      <c r="AG168" s="3007"/>
      <c r="AH168" s="3269"/>
      <c r="AI168" s="3843"/>
      <c r="AJ168" s="3843"/>
      <c r="AK168" s="3843"/>
      <c r="AL168" s="3843"/>
      <c r="AM168" s="3843"/>
      <c r="AN168" s="3843"/>
      <c r="AO168" s="3843"/>
      <c r="AP168" s="3843"/>
      <c r="AQ168" s="3843"/>
      <c r="AR168" s="3843"/>
      <c r="AS168" s="3843"/>
      <c r="AT168" s="3849"/>
      <c r="AU168" s="3849"/>
      <c r="AV168" s="3849"/>
      <c r="AW168" s="3849"/>
      <c r="AX168" s="3849"/>
      <c r="AY168" s="3849"/>
      <c r="AZ168" s="3849"/>
      <c r="BA168" s="3849"/>
      <c r="BB168" s="3849"/>
      <c r="BC168" s="3843"/>
      <c r="BD168" s="3843"/>
      <c r="BE168" s="3843"/>
      <c r="BF168" s="3843"/>
      <c r="BG168" s="3843"/>
      <c r="BH168" s="3237"/>
      <c r="BI168" s="3237"/>
      <c r="BJ168" s="3237"/>
      <c r="BK168" s="3846"/>
      <c r="BL168" s="3846"/>
      <c r="BM168" s="3839"/>
      <c r="BN168" s="3800"/>
      <c r="BO168" s="3800"/>
      <c r="BP168" s="3800"/>
      <c r="BQ168" s="3790"/>
      <c r="BR168" s="3790"/>
      <c r="BS168" s="3790"/>
      <c r="BT168" s="3790"/>
      <c r="BU168" s="3831"/>
    </row>
    <row r="169" spans="1:73" x14ac:dyDescent="0.25">
      <c r="A169" s="1620"/>
      <c r="B169" s="1769"/>
      <c r="C169" s="1619"/>
      <c r="D169" s="1769"/>
      <c r="G169" s="3819"/>
      <c r="H169" s="3822"/>
      <c r="I169" s="3819"/>
      <c r="J169" s="3822"/>
      <c r="K169" s="3819"/>
      <c r="L169" s="3825"/>
      <c r="M169" s="3819"/>
      <c r="N169" s="3825"/>
      <c r="O169" s="3870"/>
      <c r="P169" s="3870"/>
      <c r="Q169" s="2274"/>
      <c r="R169" s="3109"/>
      <c r="S169" s="3867"/>
      <c r="T169" s="3855"/>
      <c r="U169" s="2426"/>
      <c r="V169" s="2787"/>
      <c r="W169" s="2579"/>
      <c r="X169" s="1367">
        <v>6543000000</v>
      </c>
      <c r="Y169" s="1367">
        <v>3232546398</v>
      </c>
      <c r="Z169" s="1367">
        <v>3232546398</v>
      </c>
      <c r="AA169" s="1546" t="s">
        <v>2891</v>
      </c>
      <c r="AB169" s="3818">
        <v>26</v>
      </c>
      <c r="AC169" s="2427" t="s">
        <v>2892</v>
      </c>
      <c r="AD169" s="3849"/>
      <c r="AE169" s="3843"/>
      <c r="AF169" s="3843"/>
      <c r="AG169" s="3007"/>
      <c r="AH169" s="3269"/>
      <c r="AI169" s="3843"/>
      <c r="AJ169" s="3843"/>
      <c r="AK169" s="3843"/>
      <c r="AL169" s="3843"/>
      <c r="AM169" s="3843"/>
      <c r="AN169" s="3843"/>
      <c r="AO169" s="3843"/>
      <c r="AP169" s="3843"/>
      <c r="AQ169" s="3843"/>
      <c r="AR169" s="3843"/>
      <c r="AS169" s="3843"/>
      <c r="AT169" s="3849"/>
      <c r="AU169" s="3849"/>
      <c r="AV169" s="3849"/>
      <c r="AW169" s="3849"/>
      <c r="AX169" s="3849"/>
      <c r="AY169" s="3849"/>
      <c r="AZ169" s="3849"/>
      <c r="BA169" s="3849"/>
      <c r="BB169" s="3849"/>
      <c r="BC169" s="3843"/>
      <c r="BD169" s="3843"/>
      <c r="BE169" s="3843"/>
      <c r="BF169" s="3843"/>
      <c r="BG169" s="3843"/>
      <c r="BH169" s="3237"/>
      <c r="BI169" s="3237"/>
      <c r="BJ169" s="3237"/>
      <c r="BK169" s="3846"/>
      <c r="BL169" s="3846"/>
      <c r="BM169" s="3839"/>
      <c r="BN169" s="3800"/>
      <c r="BO169" s="3800"/>
      <c r="BP169" s="3800"/>
      <c r="BQ169" s="3790"/>
      <c r="BR169" s="3790"/>
      <c r="BS169" s="3790"/>
      <c r="BT169" s="3790"/>
      <c r="BU169" s="3831"/>
    </row>
    <row r="170" spans="1:73" x14ac:dyDescent="0.25">
      <c r="A170" s="1620"/>
      <c r="B170" s="1769"/>
      <c r="C170" s="1619"/>
      <c r="D170" s="1769"/>
      <c r="G170" s="3819"/>
      <c r="H170" s="3822"/>
      <c r="I170" s="3819"/>
      <c r="J170" s="3822"/>
      <c r="K170" s="3819"/>
      <c r="L170" s="3825"/>
      <c r="M170" s="3819"/>
      <c r="N170" s="3825"/>
      <c r="O170" s="3870"/>
      <c r="P170" s="3870"/>
      <c r="Q170" s="2274"/>
      <c r="R170" s="3109"/>
      <c r="S170" s="3867"/>
      <c r="T170" s="3855"/>
      <c r="U170" s="2426"/>
      <c r="V170" s="2787"/>
      <c r="W170" s="2579"/>
      <c r="X170" s="1367">
        <v>3923333334</v>
      </c>
      <c r="Y170" s="1367">
        <v>2189607353</v>
      </c>
      <c r="Z170" s="1367">
        <v>2189607353</v>
      </c>
      <c r="AA170" s="1546" t="s">
        <v>2893</v>
      </c>
      <c r="AB170" s="3818"/>
      <c r="AC170" s="2397"/>
      <c r="AD170" s="3849"/>
      <c r="AE170" s="3843"/>
      <c r="AF170" s="3843"/>
      <c r="AG170" s="3007"/>
      <c r="AH170" s="3269"/>
      <c r="AI170" s="3843"/>
      <c r="AJ170" s="3843"/>
      <c r="AK170" s="3843"/>
      <c r="AL170" s="3843"/>
      <c r="AM170" s="3843"/>
      <c r="AN170" s="3843"/>
      <c r="AO170" s="3843"/>
      <c r="AP170" s="3843"/>
      <c r="AQ170" s="3843"/>
      <c r="AR170" s="3843"/>
      <c r="AS170" s="3843"/>
      <c r="AT170" s="3849"/>
      <c r="AU170" s="3849"/>
      <c r="AV170" s="3849"/>
      <c r="AW170" s="3849"/>
      <c r="AX170" s="3849"/>
      <c r="AY170" s="3849"/>
      <c r="AZ170" s="3849"/>
      <c r="BA170" s="3849"/>
      <c r="BB170" s="3849"/>
      <c r="BC170" s="3843"/>
      <c r="BD170" s="3843"/>
      <c r="BE170" s="3843"/>
      <c r="BF170" s="3843"/>
      <c r="BG170" s="3843"/>
      <c r="BH170" s="3237"/>
      <c r="BI170" s="3237"/>
      <c r="BJ170" s="3237"/>
      <c r="BK170" s="3846"/>
      <c r="BL170" s="3846"/>
      <c r="BM170" s="3839"/>
      <c r="BN170" s="3800"/>
      <c r="BO170" s="3800"/>
      <c r="BP170" s="3800"/>
      <c r="BQ170" s="3790"/>
      <c r="BR170" s="3790"/>
      <c r="BS170" s="3790"/>
      <c r="BT170" s="3790"/>
      <c r="BU170" s="3831"/>
    </row>
    <row r="171" spans="1:73" x14ac:dyDescent="0.25">
      <c r="A171" s="1620"/>
      <c r="B171" s="1769"/>
      <c r="C171" s="1619"/>
      <c r="D171" s="1769"/>
      <c r="G171" s="3819"/>
      <c r="H171" s="3822"/>
      <c r="I171" s="3819"/>
      <c r="J171" s="3822"/>
      <c r="K171" s="3819"/>
      <c r="L171" s="3825"/>
      <c r="M171" s="3819"/>
      <c r="N171" s="3825"/>
      <c r="O171" s="3870"/>
      <c r="P171" s="3870"/>
      <c r="Q171" s="2274"/>
      <c r="R171" s="3109"/>
      <c r="S171" s="3867"/>
      <c r="T171" s="3855"/>
      <c r="U171" s="2426"/>
      <c r="V171" s="2787"/>
      <c r="W171" s="2579"/>
      <c r="X171" s="1367">
        <v>3923333333</v>
      </c>
      <c r="Y171" s="1367">
        <v>1841417681</v>
      </c>
      <c r="Z171" s="1367">
        <v>1841417681</v>
      </c>
      <c r="AA171" s="1546" t="s">
        <v>2894</v>
      </c>
      <c r="AB171" s="3818"/>
      <c r="AC171" s="2397"/>
      <c r="AD171" s="3849"/>
      <c r="AE171" s="3843"/>
      <c r="AF171" s="3843"/>
      <c r="AG171" s="3007"/>
      <c r="AH171" s="3269"/>
      <c r="AI171" s="3843"/>
      <c r="AJ171" s="3843"/>
      <c r="AK171" s="3843"/>
      <c r="AL171" s="3843"/>
      <c r="AM171" s="3843"/>
      <c r="AN171" s="3843"/>
      <c r="AO171" s="3843"/>
      <c r="AP171" s="3843"/>
      <c r="AQ171" s="3843"/>
      <c r="AR171" s="3843"/>
      <c r="AS171" s="3843"/>
      <c r="AT171" s="3849"/>
      <c r="AU171" s="3849"/>
      <c r="AV171" s="3849"/>
      <c r="AW171" s="3849"/>
      <c r="AX171" s="3849"/>
      <c r="AY171" s="3849"/>
      <c r="AZ171" s="3849"/>
      <c r="BA171" s="3849"/>
      <c r="BB171" s="3849"/>
      <c r="BC171" s="3843"/>
      <c r="BD171" s="3843"/>
      <c r="BE171" s="3843"/>
      <c r="BF171" s="3843"/>
      <c r="BG171" s="3843"/>
      <c r="BH171" s="3237"/>
      <c r="BI171" s="3237"/>
      <c r="BJ171" s="3237"/>
      <c r="BK171" s="3846"/>
      <c r="BL171" s="3846"/>
      <c r="BM171" s="3839"/>
      <c r="BN171" s="3800"/>
      <c r="BO171" s="3800"/>
      <c r="BP171" s="3800"/>
      <c r="BQ171" s="3790"/>
      <c r="BR171" s="3790"/>
      <c r="BS171" s="3790"/>
      <c r="BT171" s="3790"/>
      <c r="BU171" s="3831"/>
    </row>
    <row r="172" spans="1:73" x14ac:dyDescent="0.25">
      <c r="A172" s="1620"/>
      <c r="B172" s="1769"/>
      <c r="C172" s="1619"/>
      <c r="D172" s="1769"/>
      <c r="G172" s="3819"/>
      <c r="H172" s="3822"/>
      <c r="I172" s="3819"/>
      <c r="J172" s="3822"/>
      <c r="K172" s="3819"/>
      <c r="L172" s="3825"/>
      <c r="M172" s="3819"/>
      <c r="N172" s="3825"/>
      <c r="O172" s="3870"/>
      <c r="P172" s="3870"/>
      <c r="Q172" s="2274"/>
      <c r="R172" s="3109"/>
      <c r="S172" s="3867"/>
      <c r="T172" s="3855"/>
      <c r="U172" s="2426"/>
      <c r="V172" s="2787"/>
      <c r="W172" s="2579"/>
      <c r="X172" s="1367">
        <v>7689733333</v>
      </c>
      <c r="Y172" s="1367">
        <v>5694051863</v>
      </c>
      <c r="Z172" s="1367">
        <v>5694051863</v>
      </c>
      <c r="AA172" s="1546" t="s">
        <v>2895</v>
      </c>
      <c r="AB172" s="3818"/>
      <c r="AC172" s="2397"/>
      <c r="AD172" s="3849"/>
      <c r="AE172" s="3843"/>
      <c r="AF172" s="3843"/>
      <c r="AG172" s="3007"/>
      <c r="AH172" s="3269"/>
      <c r="AI172" s="3843"/>
      <c r="AJ172" s="3843"/>
      <c r="AK172" s="3843"/>
      <c r="AL172" s="3843"/>
      <c r="AM172" s="3843"/>
      <c r="AN172" s="3843"/>
      <c r="AO172" s="3843"/>
      <c r="AP172" s="3843"/>
      <c r="AQ172" s="3843"/>
      <c r="AR172" s="3843"/>
      <c r="AS172" s="3843"/>
      <c r="AT172" s="3849"/>
      <c r="AU172" s="3849"/>
      <c r="AV172" s="3849"/>
      <c r="AW172" s="3849"/>
      <c r="AX172" s="3849"/>
      <c r="AY172" s="3849"/>
      <c r="AZ172" s="3849"/>
      <c r="BA172" s="3849"/>
      <c r="BB172" s="3849"/>
      <c r="BC172" s="3843"/>
      <c r="BD172" s="3843"/>
      <c r="BE172" s="3843"/>
      <c r="BF172" s="3843"/>
      <c r="BG172" s="3843"/>
      <c r="BH172" s="3237"/>
      <c r="BI172" s="3237"/>
      <c r="BJ172" s="3237"/>
      <c r="BK172" s="3846"/>
      <c r="BL172" s="3846"/>
      <c r="BM172" s="3839"/>
      <c r="BN172" s="3800"/>
      <c r="BO172" s="3800"/>
      <c r="BP172" s="3800"/>
      <c r="BQ172" s="3790"/>
      <c r="BR172" s="3790"/>
      <c r="BS172" s="3790"/>
      <c r="BT172" s="3790"/>
      <c r="BU172" s="3831"/>
    </row>
    <row r="173" spans="1:73" x14ac:dyDescent="0.25">
      <c r="A173" s="1620"/>
      <c r="B173" s="1769"/>
      <c r="C173" s="1619"/>
      <c r="D173" s="1769"/>
      <c r="G173" s="3819"/>
      <c r="H173" s="3822"/>
      <c r="I173" s="3819"/>
      <c r="J173" s="3822"/>
      <c r="K173" s="3819"/>
      <c r="L173" s="3825"/>
      <c r="M173" s="3819"/>
      <c r="N173" s="3825"/>
      <c r="O173" s="3870"/>
      <c r="P173" s="3870"/>
      <c r="Q173" s="2274"/>
      <c r="R173" s="3109"/>
      <c r="S173" s="3867"/>
      <c r="T173" s="3855"/>
      <c r="U173" s="2426"/>
      <c r="V173" s="2787"/>
      <c r="W173" s="2579"/>
      <c r="X173" s="1367">
        <v>947000000</v>
      </c>
      <c r="Y173" s="1367">
        <v>442651500</v>
      </c>
      <c r="Z173" s="1367">
        <v>442651500</v>
      </c>
      <c r="AA173" s="1546" t="s">
        <v>2896</v>
      </c>
      <c r="AB173" s="3818"/>
      <c r="AC173" s="2397"/>
      <c r="AD173" s="3849"/>
      <c r="AE173" s="3843"/>
      <c r="AF173" s="3843"/>
      <c r="AG173" s="3007"/>
      <c r="AH173" s="3269"/>
      <c r="AI173" s="3843"/>
      <c r="AJ173" s="3843"/>
      <c r="AK173" s="3843"/>
      <c r="AL173" s="3843"/>
      <c r="AM173" s="3843"/>
      <c r="AN173" s="3843"/>
      <c r="AO173" s="3843"/>
      <c r="AP173" s="3843"/>
      <c r="AQ173" s="3843"/>
      <c r="AR173" s="3843"/>
      <c r="AS173" s="3843"/>
      <c r="AT173" s="3849"/>
      <c r="AU173" s="3849"/>
      <c r="AV173" s="3849"/>
      <c r="AW173" s="3849"/>
      <c r="AX173" s="3849"/>
      <c r="AY173" s="3849"/>
      <c r="AZ173" s="3849"/>
      <c r="BA173" s="3849"/>
      <c r="BB173" s="3849"/>
      <c r="BC173" s="3843"/>
      <c r="BD173" s="3843"/>
      <c r="BE173" s="3843"/>
      <c r="BF173" s="3843"/>
      <c r="BG173" s="3843"/>
      <c r="BH173" s="3237"/>
      <c r="BI173" s="3237"/>
      <c r="BJ173" s="3237"/>
      <c r="BK173" s="3846"/>
      <c r="BL173" s="3846"/>
      <c r="BM173" s="3839"/>
      <c r="BN173" s="3800"/>
      <c r="BO173" s="3800"/>
      <c r="BP173" s="3800"/>
      <c r="BQ173" s="3790"/>
      <c r="BR173" s="3790"/>
      <c r="BS173" s="3790"/>
      <c r="BT173" s="3790"/>
      <c r="BU173" s="3831"/>
    </row>
    <row r="174" spans="1:73" x14ac:dyDescent="0.25">
      <c r="A174" s="1620"/>
      <c r="B174" s="1769"/>
      <c r="C174" s="1619"/>
      <c r="D174" s="1769"/>
      <c r="G174" s="3819"/>
      <c r="H174" s="3822"/>
      <c r="I174" s="3819"/>
      <c r="J174" s="3822"/>
      <c r="K174" s="3819"/>
      <c r="L174" s="3825"/>
      <c r="M174" s="3819"/>
      <c r="N174" s="3825"/>
      <c r="O174" s="3870"/>
      <c r="P174" s="3870"/>
      <c r="Q174" s="2274"/>
      <c r="R174" s="3109"/>
      <c r="S174" s="3867"/>
      <c r="T174" s="3855"/>
      <c r="U174" s="2426"/>
      <c r="V174" s="2787"/>
      <c r="W174" s="2579"/>
      <c r="X174" s="1367">
        <v>535000000</v>
      </c>
      <c r="Y174" s="1367">
        <v>298755339</v>
      </c>
      <c r="Z174" s="1367">
        <v>298755339</v>
      </c>
      <c r="AA174" s="1546" t="s">
        <v>2897</v>
      </c>
      <c r="AB174" s="3818"/>
      <c r="AC174" s="2397"/>
      <c r="AD174" s="3849"/>
      <c r="AE174" s="3843"/>
      <c r="AF174" s="3843"/>
      <c r="AG174" s="3007"/>
      <c r="AH174" s="3269"/>
      <c r="AI174" s="3843"/>
      <c r="AJ174" s="3843"/>
      <c r="AK174" s="3843"/>
      <c r="AL174" s="3843"/>
      <c r="AM174" s="3843"/>
      <c r="AN174" s="3843"/>
      <c r="AO174" s="3843"/>
      <c r="AP174" s="3843"/>
      <c r="AQ174" s="3843"/>
      <c r="AR174" s="3843"/>
      <c r="AS174" s="3843"/>
      <c r="AT174" s="3849"/>
      <c r="AU174" s="3849"/>
      <c r="AV174" s="3849"/>
      <c r="AW174" s="3849"/>
      <c r="AX174" s="3849"/>
      <c r="AY174" s="3849"/>
      <c r="AZ174" s="3849"/>
      <c r="BA174" s="3849"/>
      <c r="BB174" s="3849"/>
      <c r="BC174" s="3843"/>
      <c r="BD174" s="3843"/>
      <c r="BE174" s="3843"/>
      <c r="BF174" s="3843"/>
      <c r="BG174" s="3843"/>
      <c r="BH174" s="3237"/>
      <c r="BI174" s="3237"/>
      <c r="BJ174" s="3237"/>
      <c r="BK174" s="3846"/>
      <c r="BL174" s="3846"/>
      <c r="BM174" s="3839"/>
      <c r="BN174" s="3800"/>
      <c r="BO174" s="3800"/>
      <c r="BP174" s="3800"/>
      <c r="BQ174" s="3790"/>
      <c r="BR174" s="3790"/>
      <c r="BS174" s="3790"/>
      <c r="BT174" s="3790"/>
      <c r="BU174" s="3831"/>
    </row>
    <row r="175" spans="1:73" x14ac:dyDescent="0.25">
      <c r="A175" s="1620"/>
      <c r="B175" s="1769"/>
      <c r="C175" s="1619"/>
      <c r="D175" s="1769"/>
      <c r="G175" s="3819"/>
      <c r="H175" s="3822"/>
      <c r="I175" s="3819"/>
      <c r="J175" s="3822"/>
      <c r="K175" s="3819"/>
      <c r="L175" s="3825"/>
      <c r="M175" s="3819"/>
      <c r="N175" s="3825"/>
      <c r="O175" s="3870"/>
      <c r="P175" s="3870"/>
      <c r="Q175" s="2274"/>
      <c r="R175" s="3109"/>
      <c r="S175" s="3867"/>
      <c r="T175" s="3855"/>
      <c r="U175" s="2426"/>
      <c r="V175" s="2787"/>
      <c r="W175" s="2579"/>
      <c r="X175" s="1367">
        <v>535000000</v>
      </c>
      <c r="Y175" s="1367">
        <v>252775558</v>
      </c>
      <c r="Z175" s="1367">
        <v>252775558</v>
      </c>
      <c r="AA175" s="1546" t="s">
        <v>2898</v>
      </c>
      <c r="AB175" s="3818"/>
      <c r="AC175" s="2397"/>
      <c r="AD175" s="3849"/>
      <c r="AE175" s="3843"/>
      <c r="AF175" s="3843"/>
      <c r="AG175" s="3007"/>
      <c r="AH175" s="3269"/>
      <c r="AI175" s="3843"/>
      <c r="AJ175" s="3843"/>
      <c r="AK175" s="3843"/>
      <c r="AL175" s="3843"/>
      <c r="AM175" s="3843"/>
      <c r="AN175" s="3843"/>
      <c r="AO175" s="3843"/>
      <c r="AP175" s="3843"/>
      <c r="AQ175" s="3843"/>
      <c r="AR175" s="3843"/>
      <c r="AS175" s="3843"/>
      <c r="AT175" s="3849"/>
      <c r="AU175" s="3849"/>
      <c r="AV175" s="3849"/>
      <c r="AW175" s="3849"/>
      <c r="AX175" s="3849"/>
      <c r="AY175" s="3849"/>
      <c r="AZ175" s="3849"/>
      <c r="BA175" s="3849"/>
      <c r="BB175" s="3849"/>
      <c r="BC175" s="3843"/>
      <c r="BD175" s="3843"/>
      <c r="BE175" s="3843"/>
      <c r="BF175" s="3843"/>
      <c r="BG175" s="3843"/>
      <c r="BH175" s="3237"/>
      <c r="BI175" s="3237"/>
      <c r="BJ175" s="3237"/>
      <c r="BK175" s="3846"/>
      <c r="BL175" s="3846"/>
      <c r="BM175" s="3839"/>
      <c r="BN175" s="3800"/>
      <c r="BO175" s="3800"/>
      <c r="BP175" s="3800"/>
      <c r="BQ175" s="3790"/>
      <c r="BR175" s="3790"/>
      <c r="BS175" s="3790"/>
      <c r="BT175" s="3790"/>
      <c r="BU175" s="3831"/>
    </row>
    <row r="176" spans="1:73" x14ac:dyDescent="0.25">
      <c r="A176" s="1620"/>
      <c r="B176" s="1769"/>
      <c r="C176" s="1619"/>
      <c r="D176" s="1769"/>
      <c r="G176" s="3819"/>
      <c r="H176" s="3822"/>
      <c r="I176" s="3819"/>
      <c r="J176" s="3822"/>
      <c r="K176" s="3819"/>
      <c r="L176" s="3825"/>
      <c r="M176" s="3819"/>
      <c r="N176" s="3825"/>
      <c r="O176" s="3870"/>
      <c r="P176" s="3870"/>
      <c r="Q176" s="2274"/>
      <c r="R176" s="3109"/>
      <c r="S176" s="3867"/>
      <c r="T176" s="3855"/>
      <c r="U176" s="2426"/>
      <c r="V176" s="2787"/>
      <c r="W176" s="2579"/>
      <c r="X176" s="1367">
        <v>1048600000</v>
      </c>
      <c r="Y176" s="1367">
        <v>663162890</v>
      </c>
      <c r="Z176" s="1367">
        <v>663162890</v>
      </c>
      <c r="AA176" s="1546" t="s">
        <v>2899</v>
      </c>
      <c r="AB176" s="3818"/>
      <c r="AC176" s="2397"/>
      <c r="AD176" s="3849"/>
      <c r="AE176" s="3843"/>
      <c r="AF176" s="3843"/>
      <c r="AG176" s="3007"/>
      <c r="AH176" s="3269"/>
      <c r="AI176" s="3843"/>
      <c r="AJ176" s="3843"/>
      <c r="AK176" s="3843"/>
      <c r="AL176" s="3843"/>
      <c r="AM176" s="3843"/>
      <c r="AN176" s="3843"/>
      <c r="AO176" s="3843"/>
      <c r="AP176" s="3843"/>
      <c r="AQ176" s="3843"/>
      <c r="AR176" s="3843"/>
      <c r="AS176" s="3843"/>
      <c r="AT176" s="3849"/>
      <c r="AU176" s="3849"/>
      <c r="AV176" s="3849"/>
      <c r="AW176" s="3849"/>
      <c r="AX176" s="3849"/>
      <c r="AY176" s="3849"/>
      <c r="AZ176" s="3849"/>
      <c r="BA176" s="3849"/>
      <c r="BB176" s="3849"/>
      <c r="BC176" s="3843"/>
      <c r="BD176" s="3843"/>
      <c r="BE176" s="3843"/>
      <c r="BF176" s="3843"/>
      <c r="BG176" s="3843"/>
      <c r="BH176" s="3237"/>
      <c r="BI176" s="3237"/>
      <c r="BJ176" s="3237"/>
      <c r="BK176" s="3846"/>
      <c r="BL176" s="3846"/>
      <c r="BM176" s="3839"/>
      <c r="BN176" s="3800"/>
      <c r="BO176" s="3800"/>
      <c r="BP176" s="3800"/>
      <c r="BQ176" s="3790"/>
      <c r="BR176" s="3790"/>
      <c r="BS176" s="3790"/>
      <c r="BT176" s="3790"/>
      <c r="BU176" s="3831"/>
    </row>
    <row r="177" spans="1:73" ht="46.5" customHeight="1" x14ac:dyDescent="0.25">
      <c r="A177" s="1620"/>
      <c r="B177" s="1769"/>
      <c r="C177" s="1619"/>
      <c r="D177" s="1769"/>
      <c r="G177" s="3819"/>
      <c r="H177" s="3822"/>
      <c r="I177" s="3819"/>
      <c r="J177" s="3822"/>
      <c r="K177" s="3819"/>
      <c r="L177" s="3825"/>
      <c r="M177" s="3819"/>
      <c r="N177" s="3825"/>
      <c r="O177" s="3870"/>
      <c r="P177" s="3870"/>
      <c r="Q177" s="2274"/>
      <c r="R177" s="3109"/>
      <c r="S177" s="3867"/>
      <c r="T177" s="3855"/>
      <c r="U177" s="2426"/>
      <c r="V177" s="2787"/>
      <c r="W177" s="2579"/>
      <c r="X177" s="1653">
        <f>80000000+207017358.94</f>
        <v>287017358.94</v>
      </c>
      <c r="Y177" s="1653">
        <v>0</v>
      </c>
      <c r="Z177" s="1653">
        <v>0</v>
      </c>
      <c r="AA177" s="1546" t="s">
        <v>2900</v>
      </c>
      <c r="AB177" s="1788">
        <v>9</v>
      </c>
      <c r="AC177" s="1543" t="s">
        <v>2901</v>
      </c>
      <c r="AD177" s="3849"/>
      <c r="AE177" s="3843"/>
      <c r="AF177" s="3843"/>
      <c r="AG177" s="3007"/>
      <c r="AH177" s="3269"/>
      <c r="AI177" s="3843"/>
      <c r="AJ177" s="3843"/>
      <c r="AK177" s="3843"/>
      <c r="AL177" s="3843"/>
      <c r="AM177" s="3843"/>
      <c r="AN177" s="3843"/>
      <c r="AO177" s="3843"/>
      <c r="AP177" s="3843"/>
      <c r="AQ177" s="3843"/>
      <c r="AR177" s="3843"/>
      <c r="AS177" s="3843"/>
      <c r="AT177" s="3849"/>
      <c r="AU177" s="3849"/>
      <c r="AV177" s="3849"/>
      <c r="AW177" s="3849"/>
      <c r="AX177" s="3849"/>
      <c r="AY177" s="3849"/>
      <c r="AZ177" s="3849"/>
      <c r="BA177" s="3849"/>
      <c r="BB177" s="3849"/>
      <c r="BC177" s="3843"/>
      <c r="BD177" s="3843"/>
      <c r="BE177" s="3843"/>
      <c r="BF177" s="3843"/>
      <c r="BG177" s="3843"/>
      <c r="BH177" s="3237"/>
      <c r="BI177" s="3237"/>
      <c r="BJ177" s="3237"/>
      <c r="BK177" s="3846"/>
      <c r="BL177" s="3846"/>
      <c r="BM177" s="3839"/>
      <c r="BN177" s="3800"/>
      <c r="BO177" s="3800"/>
      <c r="BP177" s="3800"/>
      <c r="BQ177" s="3790"/>
      <c r="BR177" s="3790"/>
      <c r="BS177" s="3790"/>
      <c r="BT177" s="3790"/>
      <c r="BU177" s="3831"/>
    </row>
    <row r="178" spans="1:73" ht="48" customHeight="1" x14ac:dyDescent="0.25">
      <c r="A178" s="1620"/>
      <c r="B178" s="1769"/>
      <c r="C178" s="1619"/>
      <c r="D178" s="1769"/>
      <c r="G178" s="3819"/>
      <c r="H178" s="3822"/>
      <c r="I178" s="3819"/>
      <c r="J178" s="3822"/>
      <c r="K178" s="3819"/>
      <c r="L178" s="3825"/>
      <c r="M178" s="3819"/>
      <c r="N178" s="3825"/>
      <c r="O178" s="3870"/>
      <c r="P178" s="3870"/>
      <c r="Q178" s="2274"/>
      <c r="R178" s="3109"/>
      <c r="S178" s="3867"/>
      <c r="T178" s="3855"/>
      <c r="U178" s="2426"/>
      <c r="V178" s="2787"/>
      <c r="W178" s="2579"/>
      <c r="X178" s="1653">
        <v>188164805.88</v>
      </c>
      <c r="Y178" s="1653">
        <v>0</v>
      </c>
      <c r="Z178" s="1653">
        <v>0</v>
      </c>
      <c r="AA178" s="1546" t="s">
        <v>2902</v>
      </c>
      <c r="AB178" s="1788">
        <v>91</v>
      </c>
      <c r="AC178" s="1543" t="s">
        <v>2903</v>
      </c>
      <c r="AD178" s="3849"/>
      <c r="AE178" s="3843"/>
      <c r="AF178" s="3843"/>
      <c r="AG178" s="3007"/>
      <c r="AH178" s="3269"/>
      <c r="AI178" s="3843"/>
      <c r="AJ178" s="3843"/>
      <c r="AK178" s="3843"/>
      <c r="AL178" s="3843"/>
      <c r="AM178" s="3843"/>
      <c r="AN178" s="3843"/>
      <c r="AO178" s="3843"/>
      <c r="AP178" s="3843"/>
      <c r="AQ178" s="3843"/>
      <c r="AR178" s="3843"/>
      <c r="AS178" s="3843"/>
      <c r="AT178" s="3849"/>
      <c r="AU178" s="3849"/>
      <c r="AV178" s="3849"/>
      <c r="AW178" s="3849"/>
      <c r="AX178" s="3849"/>
      <c r="AY178" s="3849"/>
      <c r="AZ178" s="3849"/>
      <c r="BA178" s="3849"/>
      <c r="BB178" s="3849"/>
      <c r="BC178" s="3843"/>
      <c r="BD178" s="3843"/>
      <c r="BE178" s="3843"/>
      <c r="BF178" s="3843"/>
      <c r="BG178" s="3843"/>
      <c r="BH178" s="3237"/>
      <c r="BI178" s="3237"/>
      <c r="BJ178" s="3237"/>
      <c r="BK178" s="3846"/>
      <c r="BL178" s="3846"/>
      <c r="BM178" s="3839"/>
      <c r="BN178" s="3800"/>
      <c r="BO178" s="3800"/>
      <c r="BP178" s="3800"/>
      <c r="BQ178" s="3790"/>
      <c r="BR178" s="3790"/>
      <c r="BS178" s="3790"/>
      <c r="BT178" s="3790"/>
      <c r="BU178" s="3831"/>
    </row>
    <row r="179" spans="1:73" ht="99.75" customHeight="1" x14ac:dyDescent="0.25">
      <c r="A179" s="1620"/>
      <c r="B179" s="1769"/>
      <c r="C179" s="1619"/>
      <c r="D179" s="1769"/>
      <c r="G179" s="3819"/>
      <c r="H179" s="3822"/>
      <c r="I179" s="3819"/>
      <c r="J179" s="3822"/>
      <c r="K179" s="3819"/>
      <c r="L179" s="3825"/>
      <c r="M179" s="3819"/>
      <c r="N179" s="3825"/>
      <c r="O179" s="3870"/>
      <c r="P179" s="3870"/>
      <c r="Q179" s="2274"/>
      <c r="R179" s="3109"/>
      <c r="S179" s="3867"/>
      <c r="T179" s="3855"/>
      <c r="U179" s="2426"/>
      <c r="V179" s="2787"/>
      <c r="W179" s="3560" t="s">
        <v>2904</v>
      </c>
      <c r="X179" s="1367">
        <v>1923000000</v>
      </c>
      <c r="Y179" s="1367">
        <v>740556761</v>
      </c>
      <c r="Z179" s="1367">
        <v>739887691</v>
      </c>
      <c r="AA179" s="1546" t="s">
        <v>2905</v>
      </c>
      <c r="AB179" s="3818">
        <v>25</v>
      </c>
      <c r="AC179" s="2397" t="s">
        <v>2586</v>
      </c>
      <c r="AD179" s="3849"/>
      <c r="AE179" s="3843"/>
      <c r="AF179" s="3843"/>
      <c r="AG179" s="3007"/>
      <c r="AH179" s="3269"/>
      <c r="AI179" s="3843"/>
      <c r="AJ179" s="3843"/>
      <c r="AK179" s="3843"/>
      <c r="AL179" s="3843"/>
      <c r="AM179" s="3843"/>
      <c r="AN179" s="3843"/>
      <c r="AO179" s="3843"/>
      <c r="AP179" s="3843"/>
      <c r="AQ179" s="3843"/>
      <c r="AR179" s="3843"/>
      <c r="AS179" s="3843"/>
      <c r="AT179" s="3849"/>
      <c r="AU179" s="3849"/>
      <c r="AV179" s="3849"/>
      <c r="AW179" s="3849"/>
      <c r="AX179" s="3849"/>
      <c r="AY179" s="3849"/>
      <c r="AZ179" s="3849"/>
      <c r="BA179" s="3849"/>
      <c r="BB179" s="3849"/>
      <c r="BC179" s="3843"/>
      <c r="BD179" s="3843"/>
      <c r="BE179" s="3843"/>
      <c r="BF179" s="3843"/>
      <c r="BG179" s="3843"/>
      <c r="BH179" s="3237"/>
      <c r="BI179" s="3237"/>
      <c r="BJ179" s="3237"/>
      <c r="BK179" s="3846"/>
      <c r="BL179" s="3846"/>
      <c r="BM179" s="3839"/>
      <c r="BN179" s="3800"/>
      <c r="BO179" s="3800"/>
      <c r="BP179" s="3800"/>
      <c r="BQ179" s="3790"/>
      <c r="BR179" s="3790"/>
      <c r="BS179" s="3790"/>
      <c r="BT179" s="3790"/>
      <c r="BU179" s="3831"/>
    </row>
    <row r="180" spans="1:73" ht="15" customHeight="1" x14ac:dyDescent="0.25">
      <c r="A180" s="1620"/>
      <c r="B180" s="1769"/>
      <c r="C180" s="1619"/>
      <c r="D180" s="1769"/>
      <c r="G180" s="3819"/>
      <c r="H180" s="3822"/>
      <c r="I180" s="3819"/>
      <c r="J180" s="3822"/>
      <c r="K180" s="3819"/>
      <c r="L180" s="3825"/>
      <c r="M180" s="3819"/>
      <c r="N180" s="3825"/>
      <c r="O180" s="3870"/>
      <c r="P180" s="3870"/>
      <c r="Q180" s="2274"/>
      <c r="R180" s="3109"/>
      <c r="S180" s="3867"/>
      <c r="T180" s="3855"/>
      <c r="U180" s="2426"/>
      <c r="V180" s="2787"/>
      <c r="W180" s="2579"/>
      <c r="X180" s="1367">
        <v>70000000</v>
      </c>
      <c r="Y180" s="1367">
        <v>1839677</v>
      </c>
      <c r="Z180" s="1367">
        <v>1839677</v>
      </c>
      <c r="AA180" s="1546" t="s">
        <v>2906</v>
      </c>
      <c r="AB180" s="3818"/>
      <c r="AC180" s="2397"/>
      <c r="AD180" s="3849"/>
      <c r="AE180" s="3843"/>
      <c r="AF180" s="3843"/>
      <c r="AG180" s="3007"/>
      <c r="AH180" s="3269"/>
      <c r="AI180" s="3843"/>
      <c r="AJ180" s="3843"/>
      <c r="AK180" s="3843"/>
      <c r="AL180" s="3843"/>
      <c r="AM180" s="3843"/>
      <c r="AN180" s="3843"/>
      <c r="AO180" s="3843"/>
      <c r="AP180" s="3843"/>
      <c r="AQ180" s="3843"/>
      <c r="AR180" s="3843"/>
      <c r="AS180" s="3843"/>
      <c r="AT180" s="3849"/>
      <c r="AU180" s="3849"/>
      <c r="AV180" s="3849"/>
      <c r="AW180" s="3849"/>
      <c r="AX180" s="3849"/>
      <c r="AY180" s="3849"/>
      <c r="AZ180" s="3849"/>
      <c r="BA180" s="3849"/>
      <c r="BB180" s="3849"/>
      <c r="BC180" s="3843"/>
      <c r="BD180" s="3843"/>
      <c r="BE180" s="3843"/>
      <c r="BF180" s="3843"/>
      <c r="BG180" s="3843"/>
      <c r="BH180" s="3237"/>
      <c r="BI180" s="3237"/>
      <c r="BJ180" s="3237"/>
      <c r="BK180" s="3846"/>
      <c r="BL180" s="3846"/>
      <c r="BM180" s="3839"/>
      <c r="BN180" s="3800"/>
      <c r="BO180" s="3800"/>
      <c r="BP180" s="3800"/>
      <c r="BQ180" s="3790"/>
      <c r="BR180" s="3790"/>
      <c r="BS180" s="3790"/>
      <c r="BT180" s="3790"/>
      <c r="BU180" s="3831"/>
    </row>
    <row r="181" spans="1:73" ht="15" customHeight="1" x14ac:dyDescent="0.25">
      <c r="A181" s="1620"/>
      <c r="B181" s="1769"/>
      <c r="C181" s="1619"/>
      <c r="D181" s="1769"/>
      <c r="G181" s="3819"/>
      <c r="H181" s="3822"/>
      <c r="I181" s="3819"/>
      <c r="J181" s="3822"/>
      <c r="K181" s="3819"/>
      <c r="L181" s="3825"/>
      <c r="M181" s="3819"/>
      <c r="N181" s="3825"/>
      <c r="O181" s="3870"/>
      <c r="P181" s="3870"/>
      <c r="Q181" s="2274"/>
      <c r="R181" s="3109"/>
      <c r="S181" s="3867"/>
      <c r="T181" s="3855"/>
      <c r="U181" s="2426"/>
      <c r="V181" s="2787"/>
      <c r="W181" s="2579"/>
      <c r="X181" s="1367">
        <v>49000000</v>
      </c>
      <c r="Y181" s="1367">
        <v>24015217</v>
      </c>
      <c r="Z181" s="1367">
        <v>24015217</v>
      </c>
      <c r="AA181" s="1546" t="s">
        <v>2907</v>
      </c>
      <c r="AB181" s="3818"/>
      <c r="AC181" s="2397"/>
      <c r="AD181" s="3849"/>
      <c r="AE181" s="3843"/>
      <c r="AF181" s="3843"/>
      <c r="AG181" s="3007"/>
      <c r="AH181" s="3269"/>
      <c r="AI181" s="3843"/>
      <c r="AJ181" s="3843"/>
      <c r="AK181" s="3843"/>
      <c r="AL181" s="3843"/>
      <c r="AM181" s="3843"/>
      <c r="AN181" s="3843"/>
      <c r="AO181" s="3843"/>
      <c r="AP181" s="3843"/>
      <c r="AQ181" s="3843"/>
      <c r="AR181" s="3843"/>
      <c r="AS181" s="3843"/>
      <c r="AT181" s="3849"/>
      <c r="AU181" s="3849"/>
      <c r="AV181" s="3849"/>
      <c r="AW181" s="3849"/>
      <c r="AX181" s="3849"/>
      <c r="AY181" s="3849"/>
      <c r="AZ181" s="3849"/>
      <c r="BA181" s="3849"/>
      <c r="BB181" s="3849"/>
      <c r="BC181" s="3843"/>
      <c r="BD181" s="3843"/>
      <c r="BE181" s="3843"/>
      <c r="BF181" s="3843"/>
      <c r="BG181" s="3843"/>
      <c r="BH181" s="3237"/>
      <c r="BI181" s="3237"/>
      <c r="BJ181" s="3237"/>
      <c r="BK181" s="3846"/>
      <c r="BL181" s="3846"/>
      <c r="BM181" s="3839"/>
      <c r="BN181" s="3800"/>
      <c r="BO181" s="3800"/>
      <c r="BP181" s="3800"/>
      <c r="BQ181" s="3790"/>
      <c r="BR181" s="3790"/>
      <c r="BS181" s="3790"/>
      <c r="BT181" s="3790"/>
      <c r="BU181" s="3831"/>
    </row>
    <row r="182" spans="1:73" ht="15" customHeight="1" x14ac:dyDescent="0.25">
      <c r="A182" s="1620"/>
      <c r="B182" s="1769"/>
      <c r="C182" s="1619"/>
      <c r="D182" s="1769"/>
      <c r="G182" s="3819"/>
      <c r="H182" s="3822"/>
      <c r="I182" s="3819"/>
      <c r="J182" s="3822"/>
      <c r="K182" s="3819"/>
      <c r="L182" s="3825"/>
      <c r="M182" s="3819"/>
      <c r="N182" s="3825"/>
      <c r="O182" s="3870"/>
      <c r="P182" s="3870"/>
      <c r="Q182" s="2274"/>
      <c r="R182" s="3109"/>
      <c r="S182" s="3867"/>
      <c r="T182" s="3855"/>
      <c r="U182" s="2426"/>
      <c r="V182" s="2787"/>
      <c r="W182" s="2579"/>
      <c r="X182" s="1367">
        <v>155000000</v>
      </c>
      <c r="Y182" s="1367">
        <v>332938</v>
      </c>
      <c r="Z182" s="1367">
        <v>332938</v>
      </c>
      <c r="AA182" s="1546" t="s">
        <v>2908</v>
      </c>
      <c r="AB182" s="3818"/>
      <c r="AC182" s="2397"/>
      <c r="AD182" s="3849"/>
      <c r="AE182" s="3843"/>
      <c r="AF182" s="3843"/>
      <c r="AG182" s="3007"/>
      <c r="AH182" s="3269"/>
      <c r="AI182" s="3843"/>
      <c r="AJ182" s="3843"/>
      <c r="AK182" s="3843"/>
      <c r="AL182" s="3843"/>
      <c r="AM182" s="3843"/>
      <c r="AN182" s="3843"/>
      <c r="AO182" s="3843"/>
      <c r="AP182" s="3843"/>
      <c r="AQ182" s="3843"/>
      <c r="AR182" s="3843"/>
      <c r="AS182" s="3843"/>
      <c r="AT182" s="3849"/>
      <c r="AU182" s="3849"/>
      <c r="AV182" s="3849"/>
      <c r="AW182" s="3849"/>
      <c r="AX182" s="3849"/>
      <c r="AY182" s="3849"/>
      <c r="AZ182" s="3849"/>
      <c r="BA182" s="3849"/>
      <c r="BB182" s="3849"/>
      <c r="BC182" s="3843"/>
      <c r="BD182" s="3843"/>
      <c r="BE182" s="3843"/>
      <c r="BF182" s="3843"/>
      <c r="BG182" s="3843"/>
      <c r="BH182" s="3237"/>
      <c r="BI182" s="3237"/>
      <c r="BJ182" s="3237"/>
      <c r="BK182" s="3846"/>
      <c r="BL182" s="3846"/>
      <c r="BM182" s="3839"/>
      <c r="BN182" s="3800"/>
      <c r="BO182" s="3800"/>
      <c r="BP182" s="3800"/>
      <c r="BQ182" s="3790"/>
      <c r="BR182" s="3790"/>
      <c r="BS182" s="3790"/>
      <c r="BT182" s="3790"/>
      <c r="BU182" s="3831"/>
    </row>
    <row r="183" spans="1:73" ht="15" customHeight="1" x14ac:dyDescent="0.25">
      <c r="A183" s="1620"/>
      <c r="B183" s="1769"/>
      <c r="C183" s="1619"/>
      <c r="D183" s="1769"/>
      <c r="G183" s="3819"/>
      <c r="H183" s="3822"/>
      <c r="I183" s="3819"/>
      <c r="J183" s="3822"/>
      <c r="K183" s="3819"/>
      <c r="L183" s="3825"/>
      <c r="M183" s="3819"/>
      <c r="N183" s="3825"/>
      <c r="O183" s="3870"/>
      <c r="P183" s="3870"/>
      <c r="Q183" s="2274"/>
      <c r="R183" s="3109"/>
      <c r="S183" s="3867"/>
      <c r="T183" s="3855"/>
      <c r="U183" s="2426"/>
      <c r="V183" s="2787"/>
      <c r="W183" s="2579"/>
      <c r="X183" s="1367">
        <v>79000000</v>
      </c>
      <c r="Y183" s="1367">
        <v>25957031</v>
      </c>
      <c r="Z183" s="1367">
        <v>25957031</v>
      </c>
      <c r="AA183" s="1546" t="s">
        <v>2909</v>
      </c>
      <c r="AB183" s="3818"/>
      <c r="AC183" s="2397"/>
      <c r="AD183" s="3849"/>
      <c r="AE183" s="3843"/>
      <c r="AF183" s="3843"/>
      <c r="AG183" s="3007"/>
      <c r="AH183" s="3269"/>
      <c r="AI183" s="3843"/>
      <c r="AJ183" s="3843"/>
      <c r="AK183" s="3843"/>
      <c r="AL183" s="3843"/>
      <c r="AM183" s="3843"/>
      <c r="AN183" s="3843"/>
      <c r="AO183" s="3843"/>
      <c r="AP183" s="3843"/>
      <c r="AQ183" s="3843"/>
      <c r="AR183" s="3843"/>
      <c r="AS183" s="3843"/>
      <c r="AT183" s="3849"/>
      <c r="AU183" s="3849"/>
      <c r="AV183" s="3849"/>
      <c r="AW183" s="3849"/>
      <c r="AX183" s="3849"/>
      <c r="AY183" s="3849"/>
      <c r="AZ183" s="3849"/>
      <c r="BA183" s="3849"/>
      <c r="BB183" s="3849"/>
      <c r="BC183" s="3843"/>
      <c r="BD183" s="3843"/>
      <c r="BE183" s="3843"/>
      <c r="BF183" s="3843"/>
      <c r="BG183" s="3843"/>
      <c r="BH183" s="3237"/>
      <c r="BI183" s="3237"/>
      <c r="BJ183" s="3237"/>
      <c r="BK183" s="3846"/>
      <c r="BL183" s="3846"/>
      <c r="BM183" s="3839"/>
      <c r="BN183" s="3800"/>
      <c r="BO183" s="3800"/>
      <c r="BP183" s="3800"/>
      <c r="BQ183" s="3790"/>
      <c r="BR183" s="3790"/>
      <c r="BS183" s="3790"/>
      <c r="BT183" s="3790"/>
      <c r="BU183" s="3831"/>
    </row>
    <row r="184" spans="1:73" ht="15" customHeight="1" x14ac:dyDescent="0.25">
      <c r="A184" s="1620"/>
      <c r="B184" s="1769"/>
      <c r="C184" s="1619"/>
      <c r="D184" s="1769"/>
      <c r="G184" s="3819"/>
      <c r="H184" s="3822"/>
      <c r="I184" s="3819"/>
      <c r="J184" s="3822"/>
      <c r="K184" s="3819"/>
      <c r="L184" s="3825"/>
      <c r="M184" s="3819"/>
      <c r="N184" s="3825"/>
      <c r="O184" s="3870"/>
      <c r="P184" s="3870"/>
      <c r="Q184" s="2274"/>
      <c r="R184" s="3109"/>
      <c r="S184" s="3867"/>
      <c r="T184" s="3855"/>
      <c r="U184" s="2426"/>
      <c r="V184" s="2787"/>
      <c r="W184" s="2579"/>
      <c r="X184" s="1367">
        <v>20000000</v>
      </c>
      <c r="Y184" s="1367">
        <v>8502000</v>
      </c>
      <c r="Z184" s="1367">
        <v>8502000</v>
      </c>
      <c r="AA184" s="1546" t="s">
        <v>2910</v>
      </c>
      <c r="AB184" s="3818"/>
      <c r="AC184" s="2397"/>
      <c r="AD184" s="3849"/>
      <c r="AE184" s="3843"/>
      <c r="AF184" s="3843"/>
      <c r="AG184" s="3007"/>
      <c r="AH184" s="3269"/>
      <c r="AI184" s="3843"/>
      <c r="AJ184" s="3843"/>
      <c r="AK184" s="3843"/>
      <c r="AL184" s="3843"/>
      <c r="AM184" s="3843"/>
      <c r="AN184" s="3843"/>
      <c r="AO184" s="3843"/>
      <c r="AP184" s="3843"/>
      <c r="AQ184" s="3843"/>
      <c r="AR184" s="3843"/>
      <c r="AS184" s="3843"/>
      <c r="AT184" s="3849"/>
      <c r="AU184" s="3849"/>
      <c r="AV184" s="3849"/>
      <c r="AW184" s="3849"/>
      <c r="AX184" s="3849"/>
      <c r="AY184" s="3849"/>
      <c r="AZ184" s="3849"/>
      <c r="BA184" s="3849"/>
      <c r="BB184" s="3849"/>
      <c r="BC184" s="3843"/>
      <c r="BD184" s="3843"/>
      <c r="BE184" s="3843"/>
      <c r="BF184" s="3843"/>
      <c r="BG184" s="3843"/>
      <c r="BH184" s="3237"/>
      <c r="BI184" s="3237"/>
      <c r="BJ184" s="3237"/>
      <c r="BK184" s="3846"/>
      <c r="BL184" s="3846"/>
      <c r="BM184" s="3839"/>
      <c r="BN184" s="3800"/>
      <c r="BO184" s="3800"/>
      <c r="BP184" s="3800"/>
      <c r="BQ184" s="3790"/>
      <c r="BR184" s="3790"/>
      <c r="BS184" s="3790"/>
      <c r="BT184" s="3790"/>
      <c r="BU184" s="3831"/>
    </row>
    <row r="185" spans="1:73" ht="15" customHeight="1" x14ac:dyDescent="0.25">
      <c r="A185" s="1620"/>
      <c r="B185" s="1769"/>
      <c r="C185" s="1619"/>
      <c r="D185" s="1769"/>
      <c r="G185" s="3819"/>
      <c r="H185" s="3822"/>
      <c r="I185" s="3819"/>
      <c r="J185" s="3822"/>
      <c r="K185" s="3819"/>
      <c r="L185" s="3825"/>
      <c r="M185" s="3819"/>
      <c r="N185" s="3825"/>
      <c r="O185" s="3870"/>
      <c r="P185" s="3870"/>
      <c r="Q185" s="2274"/>
      <c r="R185" s="3109"/>
      <c r="S185" s="3867"/>
      <c r="T185" s="3855"/>
      <c r="U185" s="2426"/>
      <c r="V185" s="2787"/>
      <c r="W185" s="2579"/>
      <c r="X185" s="1367">
        <v>208000000</v>
      </c>
      <c r="Y185" s="1367">
        <v>92029400</v>
      </c>
      <c r="Z185" s="1367">
        <v>92029400</v>
      </c>
      <c r="AA185" s="1546" t="s">
        <v>2911</v>
      </c>
      <c r="AB185" s="3818"/>
      <c r="AC185" s="2397"/>
      <c r="AD185" s="3849"/>
      <c r="AE185" s="3843"/>
      <c r="AF185" s="3843"/>
      <c r="AG185" s="3007"/>
      <c r="AH185" s="3269"/>
      <c r="AI185" s="3843"/>
      <c r="AJ185" s="3843"/>
      <c r="AK185" s="3843"/>
      <c r="AL185" s="3843"/>
      <c r="AM185" s="3843"/>
      <c r="AN185" s="3843"/>
      <c r="AO185" s="3843"/>
      <c r="AP185" s="3843"/>
      <c r="AQ185" s="3843"/>
      <c r="AR185" s="3843"/>
      <c r="AS185" s="3843"/>
      <c r="AT185" s="3849"/>
      <c r="AU185" s="3849"/>
      <c r="AV185" s="3849"/>
      <c r="AW185" s="3849"/>
      <c r="AX185" s="3849"/>
      <c r="AY185" s="3849"/>
      <c r="AZ185" s="3849"/>
      <c r="BA185" s="3849"/>
      <c r="BB185" s="3849"/>
      <c r="BC185" s="3843"/>
      <c r="BD185" s="3843"/>
      <c r="BE185" s="3843"/>
      <c r="BF185" s="3843"/>
      <c r="BG185" s="3843"/>
      <c r="BH185" s="3237"/>
      <c r="BI185" s="3237"/>
      <c r="BJ185" s="3237"/>
      <c r="BK185" s="3846"/>
      <c r="BL185" s="3846"/>
      <c r="BM185" s="3839"/>
      <c r="BN185" s="3800"/>
      <c r="BO185" s="3800"/>
      <c r="BP185" s="3800"/>
      <c r="BQ185" s="3790"/>
      <c r="BR185" s="3790"/>
      <c r="BS185" s="3790"/>
      <c r="BT185" s="3790"/>
      <c r="BU185" s="3831"/>
    </row>
    <row r="186" spans="1:73" ht="15" customHeight="1" x14ac:dyDescent="0.25">
      <c r="A186" s="1620"/>
      <c r="B186" s="1769"/>
      <c r="C186" s="1619"/>
      <c r="D186" s="1769"/>
      <c r="G186" s="3819"/>
      <c r="H186" s="3822"/>
      <c r="I186" s="3819"/>
      <c r="J186" s="3822"/>
      <c r="K186" s="3819"/>
      <c r="L186" s="3825"/>
      <c r="M186" s="3819"/>
      <c r="N186" s="3825"/>
      <c r="O186" s="3870"/>
      <c r="P186" s="3870"/>
      <c r="Q186" s="2274"/>
      <c r="R186" s="3109"/>
      <c r="S186" s="3867"/>
      <c r="T186" s="3855"/>
      <c r="U186" s="2426"/>
      <c r="V186" s="2787"/>
      <c r="W186" s="2579"/>
      <c r="X186" s="1367">
        <v>148000000</v>
      </c>
      <c r="Y186" s="1367">
        <v>65187800</v>
      </c>
      <c r="Z186" s="1367">
        <v>65187800</v>
      </c>
      <c r="AA186" s="1546" t="s">
        <v>2912</v>
      </c>
      <c r="AB186" s="3818"/>
      <c r="AC186" s="2397"/>
      <c r="AD186" s="3849"/>
      <c r="AE186" s="3843"/>
      <c r="AF186" s="3843"/>
      <c r="AG186" s="3007"/>
      <c r="AH186" s="3269"/>
      <c r="AI186" s="3843"/>
      <c r="AJ186" s="3843"/>
      <c r="AK186" s="3843"/>
      <c r="AL186" s="3843"/>
      <c r="AM186" s="3843"/>
      <c r="AN186" s="3843"/>
      <c r="AO186" s="3843"/>
      <c r="AP186" s="3843"/>
      <c r="AQ186" s="3843"/>
      <c r="AR186" s="3843"/>
      <c r="AS186" s="3843"/>
      <c r="AT186" s="3849"/>
      <c r="AU186" s="3849"/>
      <c r="AV186" s="3849"/>
      <c r="AW186" s="3849"/>
      <c r="AX186" s="3849"/>
      <c r="AY186" s="3849"/>
      <c r="AZ186" s="3849"/>
      <c r="BA186" s="3849"/>
      <c r="BB186" s="3849"/>
      <c r="BC186" s="3843"/>
      <c r="BD186" s="3843"/>
      <c r="BE186" s="3843"/>
      <c r="BF186" s="3843"/>
      <c r="BG186" s="3843"/>
      <c r="BH186" s="3237"/>
      <c r="BI186" s="3237"/>
      <c r="BJ186" s="3237"/>
      <c r="BK186" s="3846"/>
      <c r="BL186" s="3846"/>
      <c r="BM186" s="3839"/>
      <c r="BN186" s="3800"/>
      <c r="BO186" s="3800"/>
      <c r="BP186" s="3800"/>
      <c r="BQ186" s="3790"/>
      <c r="BR186" s="3790"/>
      <c r="BS186" s="3790"/>
      <c r="BT186" s="3790"/>
      <c r="BU186" s="3831"/>
    </row>
    <row r="187" spans="1:73" ht="15" customHeight="1" x14ac:dyDescent="0.25">
      <c r="A187" s="1620"/>
      <c r="B187" s="1769"/>
      <c r="C187" s="1619"/>
      <c r="D187" s="1769"/>
      <c r="G187" s="3819"/>
      <c r="H187" s="3822"/>
      <c r="I187" s="3819"/>
      <c r="J187" s="3822"/>
      <c r="K187" s="3819"/>
      <c r="L187" s="3825"/>
      <c r="M187" s="3819"/>
      <c r="N187" s="3825"/>
      <c r="O187" s="3870"/>
      <c r="P187" s="3870"/>
      <c r="Q187" s="2274"/>
      <c r="R187" s="3109"/>
      <c r="S187" s="3867"/>
      <c r="T187" s="3855"/>
      <c r="U187" s="2426"/>
      <c r="V187" s="2787"/>
      <c r="W187" s="2579"/>
      <c r="X187" s="1367">
        <v>371000000</v>
      </c>
      <c r="Y187" s="1367">
        <v>146312454</v>
      </c>
      <c r="Z187" s="1367">
        <v>146312454</v>
      </c>
      <c r="AA187" s="1546" t="s">
        <v>2913</v>
      </c>
      <c r="AB187" s="3818"/>
      <c r="AC187" s="2397"/>
      <c r="AD187" s="3849"/>
      <c r="AE187" s="3843"/>
      <c r="AF187" s="3843"/>
      <c r="AG187" s="3007"/>
      <c r="AH187" s="3269"/>
      <c r="AI187" s="3843"/>
      <c r="AJ187" s="3843"/>
      <c r="AK187" s="3843"/>
      <c r="AL187" s="3843"/>
      <c r="AM187" s="3843"/>
      <c r="AN187" s="3843"/>
      <c r="AO187" s="3843"/>
      <c r="AP187" s="3843"/>
      <c r="AQ187" s="3843"/>
      <c r="AR187" s="3843"/>
      <c r="AS187" s="3843"/>
      <c r="AT187" s="3849"/>
      <c r="AU187" s="3849"/>
      <c r="AV187" s="3849"/>
      <c r="AW187" s="3849"/>
      <c r="AX187" s="3849"/>
      <c r="AY187" s="3849"/>
      <c r="AZ187" s="3849"/>
      <c r="BA187" s="3849"/>
      <c r="BB187" s="3849"/>
      <c r="BC187" s="3843"/>
      <c r="BD187" s="3843"/>
      <c r="BE187" s="3843"/>
      <c r="BF187" s="3843"/>
      <c r="BG187" s="3843"/>
      <c r="BH187" s="3237"/>
      <c r="BI187" s="3237"/>
      <c r="BJ187" s="3237"/>
      <c r="BK187" s="3846"/>
      <c r="BL187" s="3846"/>
      <c r="BM187" s="3839"/>
      <c r="BN187" s="3800"/>
      <c r="BO187" s="3800"/>
      <c r="BP187" s="3800"/>
      <c r="BQ187" s="3790"/>
      <c r="BR187" s="3790"/>
      <c r="BS187" s="3790"/>
      <c r="BT187" s="3790"/>
      <c r="BU187" s="3831"/>
    </row>
    <row r="188" spans="1:73" ht="15" customHeight="1" x14ac:dyDescent="0.25">
      <c r="A188" s="1620"/>
      <c r="B188" s="1769"/>
      <c r="C188" s="1619"/>
      <c r="D188" s="1769"/>
      <c r="G188" s="3819"/>
      <c r="H188" s="3822"/>
      <c r="I188" s="3819"/>
      <c r="J188" s="3822"/>
      <c r="K188" s="3819"/>
      <c r="L188" s="3825"/>
      <c r="M188" s="3819"/>
      <c r="N188" s="3825"/>
      <c r="O188" s="3870"/>
      <c r="P188" s="3870"/>
      <c r="Q188" s="2274"/>
      <c r="R188" s="3109"/>
      <c r="S188" s="3867"/>
      <c r="T188" s="3855"/>
      <c r="U188" s="2426"/>
      <c r="V188" s="2787"/>
      <c r="W188" s="2579"/>
      <c r="X188" s="1367">
        <v>75000000</v>
      </c>
      <c r="Y188" s="1367">
        <v>34854200</v>
      </c>
      <c r="Z188" s="1367">
        <v>34854200</v>
      </c>
      <c r="AA188" s="1546" t="s">
        <v>2914</v>
      </c>
      <c r="AB188" s="3818"/>
      <c r="AC188" s="2397"/>
      <c r="AD188" s="3849"/>
      <c r="AE188" s="3843"/>
      <c r="AF188" s="3843"/>
      <c r="AG188" s="3007"/>
      <c r="AH188" s="3269"/>
      <c r="AI188" s="3843"/>
      <c r="AJ188" s="3843"/>
      <c r="AK188" s="3843"/>
      <c r="AL188" s="3843"/>
      <c r="AM188" s="3843"/>
      <c r="AN188" s="3843"/>
      <c r="AO188" s="3843"/>
      <c r="AP188" s="3843"/>
      <c r="AQ188" s="3843"/>
      <c r="AR188" s="3843"/>
      <c r="AS188" s="3843"/>
      <c r="AT188" s="3849"/>
      <c r="AU188" s="3849"/>
      <c r="AV188" s="3849"/>
      <c r="AW188" s="3849"/>
      <c r="AX188" s="3849"/>
      <c r="AY188" s="3849"/>
      <c r="AZ188" s="3849"/>
      <c r="BA188" s="3849"/>
      <c r="BB188" s="3849"/>
      <c r="BC188" s="3843"/>
      <c r="BD188" s="3843"/>
      <c r="BE188" s="3843"/>
      <c r="BF188" s="3843"/>
      <c r="BG188" s="3843"/>
      <c r="BH188" s="3237"/>
      <c r="BI188" s="3237"/>
      <c r="BJ188" s="3237"/>
      <c r="BK188" s="3846"/>
      <c r="BL188" s="3846"/>
      <c r="BM188" s="3839"/>
      <c r="BN188" s="3800"/>
      <c r="BO188" s="3800"/>
      <c r="BP188" s="3800"/>
      <c r="BQ188" s="3790"/>
      <c r="BR188" s="3790"/>
      <c r="BS188" s="3790"/>
      <c r="BT188" s="3790"/>
      <c r="BU188" s="3831"/>
    </row>
    <row r="189" spans="1:73" ht="15" customHeight="1" x14ac:dyDescent="0.25">
      <c r="A189" s="1620"/>
      <c r="B189" s="1769"/>
      <c r="C189" s="1619"/>
      <c r="D189" s="1769"/>
      <c r="G189" s="3819"/>
      <c r="H189" s="3822"/>
      <c r="I189" s="3819"/>
      <c r="J189" s="3822"/>
      <c r="K189" s="3819"/>
      <c r="L189" s="3825"/>
      <c r="M189" s="3819"/>
      <c r="N189" s="3825"/>
      <c r="O189" s="3870"/>
      <c r="P189" s="3870"/>
      <c r="Q189" s="2274"/>
      <c r="R189" s="3109"/>
      <c r="S189" s="3867"/>
      <c r="T189" s="3855"/>
      <c r="U189" s="2426"/>
      <c r="V189" s="2787"/>
      <c r="W189" s="2579"/>
      <c r="X189" s="1367">
        <v>10000000</v>
      </c>
      <c r="Y189" s="1367">
        <v>3793200</v>
      </c>
      <c r="Z189" s="1367">
        <v>3793200</v>
      </c>
      <c r="AA189" s="1546" t="s">
        <v>2915</v>
      </c>
      <c r="AB189" s="3818"/>
      <c r="AC189" s="2397"/>
      <c r="AD189" s="3849"/>
      <c r="AE189" s="3843"/>
      <c r="AF189" s="3843"/>
      <c r="AG189" s="3007"/>
      <c r="AH189" s="3269"/>
      <c r="AI189" s="3843"/>
      <c r="AJ189" s="3843"/>
      <c r="AK189" s="3843"/>
      <c r="AL189" s="3843"/>
      <c r="AM189" s="3843"/>
      <c r="AN189" s="3843"/>
      <c r="AO189" s="3843"/>
      <c r="AP189" s="3843"/>
      <c r="AQ189" s="3843"/>
      <c r="AR189" s="3843"/>
      <c r="AS189" s="3843"/>
      <c r="AT189" s="3849"/>
      <c r="AU189" s="3849"/>
      <c r="AV189" s="3849"/>
      <c r="AW189" s="3849"/>
      <c r="AX189" s="3849"/>
      <c r="AY189" s="3849"/>
      <c r="AZ189" s="3849"/>
      <c r="BA189" s="3849"/>
      <c r="BB189" s="3849"/>
      <c r="BC189" s="3843"/>
      <c r="BD189" s="3843"/>
      <c r="BE189" s="3843"/>
      <c r="BF189" s="3843"/>
      <c r="BG189" s="3843"/>
      <c r="BH189" s="3237"/>
      <c r="BI189" s="3237"/>
      <c r="BJ189" s="3237"/>
      <c r="BK189" s="3846"/>
      <c r="BL189" s="3846"/>
      <c r="BM189" s="3839"/>
      <c r="BN189" s="3800"/>
      <c r="BO189" s="3800"/>
      <c r="BP189" s="3800"/>
      <c r="BQ189" s="3790"/>
      <c r="BR189" s="3790"/>
      <c r="BS189" s="3790"/>
      <c r="BT189" s="3790"/>
      <c r="BU189" s="3831"/>
    </row>
    <row r="190" spans="1:73" ht="15" customHeight="1" x14ac:dyDescent="0.25">
      <c r="A190" s="1620"/>
      <c r="B190" s="1769"/>
      <c r="C190" s="1619"/>
      <c r="D190" s="1769"/>
      <c r="G190" s="3819"/>
      <c r="H190" s="3822"/>
      <c r="I190" s="3819"/>
      <c r="J190" s="3822"/>
      <c r="K190" s="3819"/>
      <c r="L190" s="3825"/>
      <c r="M190" s="3819"/>
      <c r="N190" s="3825"/>
      <c r="O190" s="3870"/>
      <c r="P190" s="3870"/>
      <c r="Q190" s="2274"/>
      <c r="R190" s="3109"/>
      <c r="S190" s="3867"/>
      <c r="T190" s="3855"/>
      <c r="U190" s="2426"/>
      <c r="V190" s="2787"/>
      <c r="W190" s="2579"/>
      <c r="X190" s="1367">
        <v>57000000</v>
      </c>
      <c r="Y190" s="1367">
        <v>26143400</v>
      </c>
      <c r="Z190" s="1367">
        <v>26143400</v>
      </c>
      <c r="AA190" s="1546" t="s">
        <v>2916</v>
      </c>
      <c r="AB190" s="3818"/>
      <c r="AC190" s="2397"/>
      <c r="AD190" s="3849"/>
      <c r="AE190" s="3843"/>
      <c r="AF190" s="3843"/>
      <c r="AG190" s="3007"/>
      <c r="AH190" s="3269"/>
      <c r="AI190" s="3843"/>
      <c r="AJ190" s="3843"/>
      <c r="AK190" s="3843"/>
      <c r="AL190" s="3843"/>
      <c r="AM190" s="3843"/>
      <c r="AN190" s="3843"/>
      <c r="AO190" s="3843"/>
      <c r="AP190" s="3843"/>
      <c r="AQ190" s="3843"/>
      <c r="AR190" s="3843"/>
      <c r="AS190" s="3843"/>
      <c r="AT190" s="3849"/>
      <c r="AU190" s="3849"/>
      <c r="AV190" s="3849"/>
      <c r="AW190" s="3849"/>
      <c r="AX190" s="3849"/>
      <c r="AY190" s="3849"/>
      <c r="AZ190" s="3849"/>
      <c r="BA190" s="3849"/>
      <c r="BB190" s="3849"/>
      <c r="BC190" s="3843"/>
      <c r="BD190" s="3843"/>
      <c r="BE190" s="3843"/>
      <c r="BF190" s="3843"/>
      <c r="BG190" s="3843"/>
      <c r="BH190" s="3237"/>
      <c r="BI190" s="3237"/>
      <c r="BJ190" s="3237"/>
      <c r="BK190" s="3846"/>
      <c r="BL190" s="3846"/>
      <c r="BM190" s="3839"/>
      <c r="BN190" s="3800"/>
      <c r="BO190" s="3800"/>
      <c r="BP190" s="3800"/>
      <c r="BQ190" s="3790"/>
      <c r="BR190" s="3790"/>
      <c r="BS190" s="3790"/>
      <c r="BT190" s="3790"/>
      <c r="BU190" s="3831"/>
    </row>
    <row r="191" spans="1:73" ht="15" customHeight="1" x14ac:dyDescent="0.25">
      <c r="A191" s="1620"/>
      <c r="B191" s="1769"/>
      <c r="C191" s="1619"/>
      <c r="D191" s="1769"/>
      <c r="G191" s="3819"/>
      <c r="H191" s="3822"/>
      <c r="I191" s="3819"/>
      <c r="J191" s="3822"/>
      <c r="K191" s="3819"/>
      <c r="L191" s="3825"/>
      <c r="M191" s="3819"/>
      <c r="N191" s="3825"/>
      <c r="O191" s="3870"/>
      <c r="P191" s="3870"/>
      <c r="Q191" s="2274"/>
      <c r="R191" s="3109"/>
      <c r="S191" s="3867"/>
      <c r="T191" s="3855"/>
      <c r="U191" s="2426"/>
      <c r="V191" s="2787"/>
      <c r="W191" s="2579"/>
      <c r="X191" s="1367">
        <v>10000000</v>
      </c>
      <c r="Y191" s="1367">
        <v>4364200</v>
      </c>
      <c r="Z191" s="1367">
        <v>4364200</v>
      </c>
      <c r="AA191" s="1546" t="s">
        <v>2917</v>
      </c>
      <c r="AB191" s="3818"/>
      <c r="AC191" s="2397"/>
      <c r="AD191" s="3849"/>
      <c r="AE191" s="3843"/>
      <c r="AF191" s="3843"/>
      <c r="AG191" s="3007"/>
      <c r="AH191" s="3269"/>
      <c r="AI191" s="3843"/>
      <c r="AJ191" s="3843"/>
      <c r="AK191" s="3843"/>
      <c r="AL191" s="3843"/>
      <c r="AM191" s="3843"/>
      <c r="AN191" s="3843"/>
      <c r="AO191" s="3843"/>
      <c r="AP191" s="3843"/>
      <c r="AQ191" s="3843"/>
      <c r="AR191" s="3843"/>
      <c r="AS191" s="3843"/>
      <c r="AT191" s="3849"/>
      <c r="AU191" s="3849"/>
      <c r="AV191" s="3849"/>
      <c r="AW191" s="3849"/>
      <c r="AX191" s="3849"/>
      <c r="AY191" s="3849"/>
      <c r="AZ191" s="3849"/>
      <c r="BA191" s="3849"/>
      <c r="BB191" s="3849"/>
      <c r="BC191" s="3843"/>
      <c r="BD191" s="3843"/>
      <c r="BE191" s="3843"/>
      <c r="BF191" s="3843"/>
      <c r="BG191" s="3843"/>
      <c r="BH191" s="3237"/>
      <c r="BI191" s="3237"/>
      <c r="BJ191" s="3237"/>
      <c r="BK191" s="3846"/>
      <c r="BL191" s="3846"/>
      <c r="BM191" s="3839"/>
      <c r="BN191" s="3800"/>
      <c r="BO191" s="3800"/>
      <c r="BP191" s="3800"/>
      <c r="BQ191" s="3790"/>
      <c r="BR191" s="3790"/>
      <c r="BS191" s="3790"/>
      <c r="BT191" s="3790"/>
      <c r="BU191" s="3831"/>
    </row>
    <row r="192" spans="1:73" ht="15" customHeight="1" x14ac:dyDescent="0.25">
      <c r="A192" s="1620"/>
      <c r="B192" s="1769"/>
      <c r="C192" s="1619"/>
      <c r="D192" s="1769"/>
      <c r="G192" s="3819"/>
      <c r="H192" s="3822"/>
      <c r="I192" s="3819"/>
      <c r="J192" s="3822"/>
      <c r="K192" s="3819"/>
      <c r="L192" s="3825"/>
      <c r="M192" s="3819"/>
      <c r="N192" s="3825"/>
      <c r="O192" s="3870"/>
      <c r="P192" s="3870"/>
      <c r="Q192" s="2274"/>
      <c r="R192" s="3109"/>
      <c r="S192" s="3867"/>
      <c r="T192" s="3855"/>
      <c r="U192" s="2426"/>
      <c r="V192" s="2787"/>
      <c r="W192" s="2579"/>
      <c r="X192" s="1367">
        <v>10000000</v>
      </c>
      <c r="Y192" s="1367">
        <v>4364200</v>
      </c>
      <c r="Z192" s="1367">
        <v>4364200</v>
      </c>
      <c r="AA192" s="1546" t="s">
        <v>2918</v>
      </c>
      <c r="AB192" s="3818"/>
      <c r="AC192" s="2397"/>
      <c r="AD192" s="3849"/>
      <c r="AE192" s="3843"/>
      <c r="AF192" s="3843"/>
      <c r="AG192" s="3007"/>
      <c r="AH192" s="3269"/>
      <c r="AI192" s="3843"/>
      <c r="AJ192" s="3843"/>
      <c r="AK192" s="3843"/>
      <c r="AL192" s="3843"/>
      <c r="AM192" s="3843"/>
      <c r="AN192" s="3843"/>
      <c r="AO192" s="3843"/>
      <c r="AP192" s="3843"/>
      <c r="AQ192" s="3843"/>
      <c r="AR192" s="3843"/>
      <c r="AS192" s="3843"/>
      <c r="AT192" s="3849"/>
      <c r="AU192" s="3849"/>
      <c r="AV192" s="3849"/>
      <c r="AW192" s="3849"/>
      <c r="AX192" s="3849"/>
      <c r="AY192" s="3849"/>
      <c r="AZ192" s="3849"/>
      <c r="BA192" s="3849"/>
      <c r="BB192" s="3849"/>
      <c r="BC192" s="3843"/>
      <c r="BD192" s="3843"/>
      <c r="BE192" s="3843"/>
      <c r="BF192" s="3843"/>
      <c r="BG192" s="3843"/>
      <c r="BH192" s="3237"/>
      <c r="BI192" s="3237"/>
      <c r="BJ192" s="3237"/>
      <c r="BK192" s="3846"/>
      <c r="BL192" s="3846"/>
      <c r="BM192" s="3839"/>
      <c r="BN192" s="3800"/>
      <c r="BO192" s="3800"/>
      <c r="BP192" s="3800"/>
      <c r="BQ192" s="3790"/>
      <c r="BR192" s="3790"/>
      <c r="BS192" s="3790"/>
      <c r="BT192" s="3790"/>
      <c r="BU192" s="3831"/>
    </row>
    <row r="193" spans="1:73" ht="15" customHeight="1" x14ac:dyDescent="0.25">
      <c r="A193" s="1620"/>
      <c r="B193" s="1769"/>
      <c r="C193" s="1619"/>
      <c r="D193" s="1769"/>
      <c r="G193" s="3819"/>
      <c r="H193" s="3822"/>
      <c r="I193" s="3819"/>
      <c r="J193" s="3822"/>
      <c r="K193" s="3819"/>
      <c r="L193" s="3825"/>
      <c r="M193" s="3819"/>
      <c r="N193" s="3825"/>
      <c r="O193" s="3870"/>
      <c r="P193" s="3870"/>
      <c r="Q193" s="2274"/>
      <c r="R193" s="3109"/>
      <c r="S193" s="3867"/>
      <c r="T193" s="3855"/>
      <c r="U193" s="2426"/>
      <c r="V193" s="2787"/>
      <c r="W193" s="2579"/>
      <c r="X193" s="1367">
        <v>19000000</v>
      </c>
      <c r="Y193" s="1367">
        <v>8719800</v>
      </c>
      <c r="Z193" s="1367">
        <v>8719800</v>
      </c>
      <c r="AA193" s="1546" t="s">
        <v>2919</v>
      </c>
      <c r="AB193" s="3818"/>
      <c r="AC193" s="2397"/>
      <c r="AD193" s="3849"/>
      <c r="AE193" s="3843"/>
      <c r="AF193" s="3843"/>
      <c r="AG193" s="3007"/>
      <c r="AH193" s="3269"/>
      <c r="AI193" s="3843"/>
      <c r="AJ193" s="3843"/>
      <c r="AK193" s="3843"/>
      <c r="AL193" s="3843"/>
      <c r="AM193" s="3843"/>
      <c r="AN193" s="3843"/>
      <c r="AO193" s="3843"/>
      <c r="AP193" s="3843"/>
      <c r="AQ193" s="3843"/>
      <c r="AR193" s="3843"/>
      <c r="AS193" s="3843"/>
      <c r="AT193" s="3849"/>
      <c r="AU193" s="3849"/>
      <c r="AV193" s="3849"/>
      <c r="AW193" s="3849"/>
      <c r="AX193" s="3849"/>
      <c r="AY193" s="3849"/>
      <c r="AZ193" s="3849"/>
      <c r="BA193" s="3849"/>
      <c r="BB193" s="3849"/>
      <c r="BC193" s="3843"/>
      <c r="BD193" s="3843"/>
      <c r="BE193" s="3843"/>
      <c r="BF193" s="3843"/>
      <c r="BG193" s="3843"/>
      <c r="BH193" s="3237"/>
      <c r="BI193" s="3237"/>
      <c r="BJ193" s="3237"/>
      <c r="BK193" s="3846"/>
      <c r="BL193" s="3846"/>
      <c r="BM193" s="3839"/>
      <c r="BN193" s="3800"/>
      <c r="BO193" s="3800"/>
      <c r="BP193" s="3800"/>
      <c r="BQ193" s="3790"/>
      <c r="BR193" s="3790"/>
      <c r="BS193" s="3790"/>
      <c r="BT193" s="3790"/>
      <c r="BU193" s="3831"/>
    </row>
    <row r="194" spans="1:73" ht="15" customHeight="1" x14ac:dyDescent="0.25">
      <c r="A194" s="1620"/>
      <c r="B194" s="1769"/>
      <c r="C194" s="1619"/>
      <c r="D194" s="1769"/>
      <c r="G194" s="3819"/>
      <c r="H194" s="3822"/>
      <c r="I194" s="3819"/>
      <c r="J194" s="3822"/>
      <c r="K194" s="3819"/>
      <c r="L194" s="3825"/>
      <c r="M194" s="3819"/>
      <c r="N194" s="3825"/>
      <c r="O194" s="3870"/>
      <c r="P194" s="3870"/>
      <c r="Q194" s="2274"/>
      <c r="R194" s="3109"/>
      <c r="S194" s="3867"/>
      <c r="T194" s="3855"/>
      <c r="U194" s="2426"/>
      <c r="V194" s="2787"/>
      <c r="W194" s="2579"/>
      <c r="X194" s="1367">
        <v>16000000</v>
      </c>
      <c r="Y194" s="1367">
        <v>2045400</v>
      </c>
      <c r="Z194" s="1367">
        <v>2045400</v>
      </c>
      <c r="AA194" s="1546" t="s">
        <v>2920</v>
      </c>
      <c r="AB194" s="3818"/>
      <c r="AC194" s="2397"/>
      <c r="AD194" s="3849"/>
      <c r="AE194" s="3843"/>
      <c r="AF194" s="3843"/>
      <c r="AG194" s="3007"/>
      <c r="AH194" s="3269"/>
      <c r="AI194" s="3843"/>
      <c r="AJ194" s="3843"/>
      <c r="AK194" s="3843"/>
      <c r="AL194" s="3843"/>
      <c r="AM194" s="3843"/>
      <c r="AN194" s="3843"/>
      <c r="AO194" s="3843"/>
      <c r="AP194" s="3843"/>
      <c r="AQ194" s="3843"/>
      <c r="AR194" s="3843"/>
      <c r="AS194" s="3843"/>
      <c r="AT194" s="3849"/>
      <c r="AU194" s="3849"/>
      <c r="AV194" s="3849"/>
      <c r="AW194" s="3849"/>
      <c r="AX194" s="3849"/>
      <c r="AY194" s="3849"/>
      <c r="AZ194" s="3849"/>
      <c r="BA194" s="3849"/>
      <c r="BB194" s="3849"/>
      <c r="BC194" s="3843"/>
      <c r="BD194" s="3843"/>
      <c r="BE194" s="3843"/>
      <c r="BF194" s="3843"/>
      <c r="BG194" s="3843"/>
      <c r="BH194" s="3237"/>
      <c r="BI194" s="3237"/>
      <c r="BJ194" s="3237"/>
      <c r="BK194" s="3846"/>
      <c r="BL194" s="3846"/>
      <c r="BM194" s="3839"/>
      <c r="BN194" s="3800"/>
      <c r="BO194" s="3800"/>
      <c r="BP194" s="3800"/>
      <c r="BQ194" s="3790"/>
      <c r="BR194" s="3790"/>
      <c r="BS194" s="3790"/>
      <c r="BT194" s="3790"/>
      <c r="BU194" s="3831"/>
    </row>
    <row r="195" spans="1:73" ht="15" customHeight="1" x14ac:dyDescent="0.25">
      <c r="A195" s="1620"/>
      <c r="B195" s="1769"/>
      <c r="C195" s="1619"/>
      <c r="D195" s="1769"/>
      <c r="G195" s="3819"/>
      <c r="H195" s="3822"/>
      <c r="I195" s="3819"/>
      <c r="J195" s="3822"/>
      <c r="K195" s="3819"/>
      <c r="L195" s="3825"/>
      <c r="M195" s="3819"/>
      <c r="N195" s="3825"/>
      <c r="O195" s="3870"/>
      <c r="P195" s="3870"/>
      <c r="Q195" s="2274"/>
      <c r="R195" s="3109"/>
      <c r="S195" s="3867"/>
      <c r="T195" s="3855"/>
      <c r="U195" s="2426"/>
      <c r="V195" s="2787"/>
      <c r="W195" s="2579"/>
      <c r="X195" s="1367">
        <v>10000000</v>
      </c>
      <c r="Y195" s="1367">
        <v>3236093</v>
      </c>
      <c r="Z195" s="1367">
        <v>3236093</v>
      </c>
      <c r="AA195" s="1546" t="s">
        <v>2921</v>
      </c>
      <c r="AB195" s="3818"/>
      <c r="AC195" s="2397"/>
      <c r="AD195" s="3849"/>
      <c r="AE195" s="3843"/>
      <c r="AF195" s="3843"/>
      <c r="AG195" s="3007"/>
      <c r="AH195" s="3269"/>
      <c r="AI195" s="3843"/>
      <c r="AJ195" s="3843"/>
      <c r="AK195" s="3843"/>
      <c r="AL195" s="3843"/>
      <c r="AM195" s="3843"/>
      <c r="AN195" s="3843"/>
      <c r="AO195" s="3843"/>
      <c r="AP195" s="3843"/>
      <c r="AQ195" s="3843"/>
      <c r="AR195" s="3843"/>
      <c r="AS195" s="3843"/>
      <c r="AT195" s="3849"/>
      <c r="AU195" s="3849"/>
      <c r="AV195" s="3849"/>
      <c r="AW195" s="3849"/>
      <c r="AX195" s="3849"/>
      <c r="AY195" s="3849"/>
      <c r="AZ195" s="3849"/>
      <c r="BA195" s="3849"/>
      <c r="BB195" s="3849"/>
      <c r="BC195" s="3843"/>
      <c r="BD195" s="3843"/>
      <c r="BE195" s="3843"/>
      <c r="BF195" s="3843"/>
      <c r="BG195" s="3843"/>
      <c r="BH195" s="3237"/>
      <c r="BI195" s="3237"/>
      <c r="BJ195" s="3237"/>
      <c r="BK195" s="3846"/>
      <c r="BL195" s="3846"/>
      <c r="BM195" s="3839"/>
      <c r="BN195" s="3800"/>
      <c r="BO195" s="3800"/>
      <c r="BP195" s="3800"/>
      <c r="BQ195" s="3790"/>
      <c r="BR195" s="3790"/>
      <c r="BS195" s="3790"/>
      <c r="BT195" s="3790"/>
      <c r="BU195" s="3831"/>
    </row>
    <row r="196" spans="1:73" ht="15" customHeight="1" x14ac:dyDescent="0.25">
      <c r="A196" s="1620"/>
      <c r="B196" s="1769"/>
      <c r="C196" s="1619"/>
      <c r="D196" s="1769"/>
      <c r="G196" s="3819"/>
      <c r="H196" s="3822"/>
      <c r="I196" s="3819"/>
      <c r="J196" s="3822"/>
      <c r="K196" s="3819"/>
      <c r="L196" s="3825"/>
      <c r="M196" s="3819"/>
      <c r="N196" s="3825"/>
      <c r="O196" s="3870"/>
      <c r="P196" s="3870"/>
      <c r="Q196" s="2274"/>
      <c r="R196" s="3109"/>
      <c r="S196" s="3867"/>
      <c r="T196" s="3855"/>
      <c r="U196" s="2426"/>
      <c r="V196" s="2787"/>
      <c r="W196" s="2579"/>
      <c r="X196" s="1367">
        <v>100000000</v>
      </c>
      <c r="Y196" s="1367">
        <v>0</v>
      </c>
      <c r="Z196" s="1367">
        <v>0</v>
      </c>
      <c r="AA196" s="1546" t="s">
        <v>2922</v>
      </c>
      <c r="AB196" s="3818"/>
      <c r="AC196" s="2397"/>
      <c r="AD196" s="3849"/>
      <c r="AE196" s="3843"/>
      <c r="AF196" s="3843"/>
      <c r="AG196" s="3007"/>
      <c r="AH196" s="3269"/>
      <c r="AI196" s="3843"/>
      <c r="AJ196" s="3843"/>
      <c r="AK196" s="3843"/>
      <c r="AL196" s="3843"/>
      <c r="AM196" s="3843"/>
      <c r="AN196" s="3843"/>
      <c r="AO196" s="3843"/>
      <c r="AP196" s="3843"/>
      <c r="AQ196" s="3843"/>
      <c r="AR196" s="3843"/>
      <c r="AS196" s="3843"/>
      <c r="AT196" s="3849"/>
      <c r="AU196" s="3849"/>
      <c r="AV196" s="3849"/>
      <c r="AW196" s="3849"/>
      <c r="AX196" s="3849"/>
      <c r="AY196" s="3849"/>
      <c r="AZ196" s="3849"/>
      <c r="BA196" s="3849"/>
      <c r="BB196" s="3849"/>
      <c r="BC196" s="3843"/>
      <c r="BD196" s="3843"/>
      <c r="BE196" s="3843"/>
      <c r="BF196" s="3843"/>
      <c r="BG196" s="3843"/>
      <c r="BH196" s="3237"/>
      <c r="BI196" s="3237"/>
      <c r="BJ196" s="3237"/>
      <c r="BK196" s="3846"/>
      <c r="BL196" s="3846"/>
      <c r="BM196" s="3839"/>
      <c r="BN196" s="3800"/>
      <c r="BO196" s="3800"/>
      <c r="BP196" s="3800"/>
      <c r="BQ196" s="3790"/>
      <c r="BR196" s="3790"/>
      <c r="BS196" s="3790"/>
      <c r="BT196" s="3790"/>
      <c r="BU196" s="3831"/>
    </row>
    <row r="197" spans="1:73" ht="15" customHeight="1" x14ac:dyDescent="0.25">
      <c r="A197" s="1620"/>
      <c r="B197" s="1769"/>
      <c r="C197" s="1619"/>
      <c r="D197" s="1769"/>
      <c r="G197" s="3819"/>
      <c r="H197" s="3822"/>
      <c r="I197" s="3819"/>
      <c r="J197" s="3822"/>
      <c r="K197" s="3819"/>
      <c r="L197" s="3825"/>
      <c r="M197" s="3819"/>
      <c r="N197" s="3825"/>
      <c r="O197" s="3870"/>
      <c r="P197" s="3870"/>
      <c r="Q197" s="2274"/>
      <c r="R197" s="3109"/>
      <c r="S197" s="3867"/>
      <c r="T197" s="3855"/>
      <c r="U197" s="2426"/>
      <c r="V197" s="2787"/>
      <c r="W197" s="2579"/>
      <c r="X197" s="1367">
        <v>70000000</v>
      </c>
      <c r="Y197" s="1367">
        <v>5000000</v>
      </c>
      <c r="Z197" s="1367">
        <v>0</v>
      </c>
      <c r="AA197" s="1546" t="s">
        <v>2923</v>
      </c>
      <c r="AB197" s="3818"/>
      <c r="AC197" s="2397"/>
      <c r="AD197" s="3849"/>
      <c r="AE197" s="3843"/>
      <c r="AF197" s="3843"/>
      <c r="AG197" s="3007"/>
      <c r="AH197" s="3269"/>
      <c r="AI197" s="3843"/>
      <c r="AJ197" s="3843"/>
      <c r="AK197" s="3843"/>
      <c r="AL197" s="3843"/>
      <c r="AM197" s="3843"/>
      <c r="AN197" s="3843"/>
      <c r="AO197" s="3843"/>
      <c r="AP197" s="3843"/>
      <c r="AQ197" s="3843"/>
      <c r="AR197" s="3843"/>
      <c r="AS197" s="3843"/>
      <c r="AT197" s="3849"/>
      <c r="AU197" s="3849"/>
      <c r="AV197" s="3849"/>
      <c r="AW197" s="3849"/>
      <c r="AX197" s="3849"/>
      <c r="AY197" s="3849"/>
      <c r="AZ197" s="3849"/>
      <c r="BA197" s="3849"/>
      <c r="BB197" s="3849"/>
      <c r="BC197" s="3843"/>
      <c r="BD197" s="3843"/>
      <c r="BE197" s="3843"/>
      <c r="BF197" s="3843"/>
      <c r="BG197" s="3843"/>
      <c r="BH197" s="3237"/>
      <c r="BI197" s="3237"/>
      <c r="BJ197" s="3237"/>
      <c r="BK197" s="3846"/>
      <c r="BL197" s="3846"/>
      <c r="BM197" s="3839"/>
      <c r="BN197" s="3800"/>
      <c r="BO197" s="3800"/>
      <c r="BP197" s="3800"/>
      <c r="BQ197" s="3790"/>
      <c r="BR197" s="3790"/>
      <c r="BS197" s="3790"/>
      <c r="BT197" s="3790"/>
      <c r="BU197" s="3831"/>
    </row>
    <row r="198" spans="1:73" ht="15" customHeight="1" x14ac:dyDescent="0.25">
      <c r="A198" s="1620"/>
      <c r="B198" s="1769"/>
      <c r="C198" s="1619"/>
      <c r="D198" s="1769"/>
      <c r="G198" s="3819"/>
      <c r="H198" s="3822"/>
      <c r="I198" s="3819"/>
      <c r="J198" s="3822"/>
      <c r="K198" s="3819"/>
      <c r="L198" s="3825"/>
      <c r="M198" s="3819"/>
      <c r="N198" s="3825"/>
      <c r="O198" s="3870"/>
      <c r="P198" s="3870"/>
      <c r="Q198" s="2274"/>
      <c r="R198" s="3109"/>
      <c r="S198" s="3867"/>
      <c r="T198" s="3855"/>
      <c r="U198" s="2426"/>
      <c r="V198" s="2787"/>
      <c r="W198" s="2579"/>
      <c r="X198" s="1367">
        <v>177000000</v>
      </c>
      <c r="Y198" s="1367">
        <v>10000000</v>
      </c>
      <c r="Z198" s="1367">
        <v>0</v>
      </c>
      <c r="AA198" s="1546" t="s">
        <v>2924</v>
      </c>
      <c r="AB198" s="3818"/>
      <c r="AC198" s="2397"/>
      <c r="AD198" s="3849"/>
      <c r="AE198" s="3843"/>
      <c r="AF198" s="3843"/>
      <c r="AG198" s="3007"/>
      <c r="AH198" s="3269"/>
      <c r="AI198" s="3843"/>
      <c r="AJ198" s="3843"/>
      <c r="AK198" s="3843"/>
      <c r="AL198" s="3843"/>
      <c r="AM198" s="3843"/>
      <c r="AN198" s="3843"/>
      <c r="AO198" s="3843"/>
      <c r="AP198" s="3843"/>
      <c r="AQ198" s="3843"/>
      <c r="AR198" s="3843"/>
      <c r="AS198" s="3843"/>
      <c r="AT198" s="3849"/>
      <c r="AU198" s="3849"/>
      <c r="AV198" s="3849"/>
      <c r="AW198" s="3849"/>
      <c r="AX198" s="3849"/>
      <c r="AY198" s="3849"/>
      <c r="AZ198" s="3849"/>
      <c r="BA198" s="3849"/>
      <c r="BB198" s="3849"/>
      <c r="BC198" s="3843"/>
      <c r="BD198" s="3843"/>
      <c r="BE198" s="3843"/>
      <c r="BF198" s="3843"/>
      <c r="BG198" s="3843"/>
      <c r="BH198" s="3237"/>
      <c r="BI198" s="3237"/>
      <c r="BJ198" s="3237"/>
      <c r="BK198" s="3846"/>
      <c r="BL198" s="3846"/>
      <c r="BM198" s="3839"/>
      <c r="BN198" s="3800"/>
      <c r="BO198" s="3800"/>
      <c r="BP198" s="3800"/>
      <c r="BQ198" s="3790"/>
      <c r="BR198" s="3790"/>
      <c r="BS198" s="3790"/>
      <c r="BT198" s="3790"/>
      <c r="BU198" s="3831"/>
    </row>
    <row r="199" spans="1:73" ht="15" customHeight="1" x14ac:dyDescent="0.25">
      <c r="A199" s="1620"/>
      <c r="B199" s="1769"/>
      <c r="C199" s="1619"/>
      <c r="D199" s="1769"/>
      <c r="G199" s="3819"/>
      <c r="H199" s="3822"/>
      <c r="I199" s="3819"/>
      <c r="J199" s="3822"/>
      <c r="K199" s="3819"/>
      <c r="L199" s="3825"/>
      <c r="M199" s="3819"/>
      <c r="N199" s="3825"/>
      <c r="O199" s="3870"/>
      <c r="P199" s="3870"/>
      <c r="Q199" s="2274"/>
      <c r="R199" s="3109"/>
      <c r="S199" s="3867"/>
      <c r="T199" s="3855"/>
      <c r="U199" s="2426"/>
      <c r="V199" s="2787"/>
      <c r="W199" s="2579"/>
      <c r="X199" s="1367">
        <v>50000000</v>
      </c>
      <c r="Y199" s="1367">
        <v>0</v>
      </c>
      <c r="Z199" s="1367">
        <v>0</v>
      </c>
      <c r="AA199" s="1546" t="s">
        <v>2925</v>
      </c>
      <c r="AB199" s="3818"/>
      <c r="AC199" s="2397"/>
      <c r="AD199" s="3849"/>
      <c r="AE199" s="3843"/>
      <c r="AF199" s="3843"/>
      <c r="AG199" s="3007"/>
      <c r="AH199" s="3269"/>
      <c r="AI199" s="3843"/>
      <c r="AJ199" s="3843"/>
      <c r="AK199" s="3843"/>
      <c r="AL199" s="3843"/>
      <c r="AM199" s="3843"/>
      <c r="AN199" s="3843"/>
      <c r="AO199" s="3843"/>
      <c r="AP199" s="3843"/>
      <c r="AQ199" s="3843"/>
      <c r="AR199" s="3843"/>
      <c r="AS199" s="3843"/>
      <c r="AT199" s="3849"/>
      <c r="AU199" s="3849"/>
      <c r="AV199" s="3849"/>
      <c r="AW199" s="3849"/>
      <c r="AX199" s="3849"/>
      <c r="AY199" s="3849"/>
      <c r="AZ199" s="3849"/>
      <c r="BA199" s="3849"/>
      <c r="BB199" s="3849"/>
      <c r="BC199" s="3843"/>
      <c r="BD199" s="3843"/>
      <c r="BE199" s="3843"/>
      <c r="BF199" s="3843"/>
      <c r="BG199" s="3843"/>
      <c r="BH199" s="3237"/>
      <c r="BI199" s="3237"/>
      <c r="BJ199" s="3237"/>
      <c r="BK199" s="3846"/>
      <c r="BL199" s="3846"/>
      <c r="BM199" s="3839"/>
      <c r="BN199" s="3800"/>
      <c r="BO199" s="3800"/>
      <c r="BP199" s="3800"/>
      <c r="BQ199" s="3790"/>
      <c r="BR199" s="3790"/>
      <c r="BS199" s="3790"/>
      <c r="BT199" s="3790"/>
      <c r="BU199" s="3831"/>
    </row>
    <row r="200" spans="1:73" ht="32.25" customHeight="1" x14ac:dyDescent="0.25">
      <c r="A200" s="1620"/>
      <c r="B200" s="1769"/>
      <c r="C200" s="1619"/>
      <c r="D200" s="1769"/>
      <c r="G200" s="3819"/>
      <c r="H200" s="3822"/>
      <c r="I200" s="3819"/>
      <c r="J200" s="3822"/>
      <c r="K200" s="3819"/>
      <c r="L200" s="3825"/>
      <c r="M200" s="3819"/>
      <c r="N200" s="3825"/>
      <c r="O200" s="3870"/>
      <c r="P200" s="3870"/>
      <c r="Q200" s="2274"/>
      <c r="R200" s="3109"/>
      <c r="S200" s="3867"/>
      <c r="T200" s="3855"/>
      <c r="U200" s="2426"/>
      <c r="V200" s="2787"/>
      <c r="W200" s="3561"/>
      <c r="X200" s="1367">
        <v>3120000</v>
      </c>
      <c r="Y200" s="1367">
        <v>3120000</v>
      </c>
      <c r="Z200" s="1367">
        <v>886000</v>
      </c>
      <c r="AA200" s="1779" t="s">
        <v>2926</v>
      </c>
      <c r="AB200" s="1790">
        <v>188</v>
      </c>
      <c r="AC200" s="1542" t="s">
        <v>2927</v>
      </c>
      <c r="AD200" s="3849"/>
      <c r="AE200" s="3843"/>
      <c r="AF200" s="3843"/>
      <c r="AG200" s="3007"/>
      <c r="AH200" s="3269"/>
      <c r="AI200" s="3843"/>
      <c r="AJ200" s="3843"/>
      <c r="AK200" s="3843"/>
      <c r="AL200" s="3843"/>
      <c r="AM200" s="3843"/>
      <c r="AN200" s="3843"/>
      <c r="AO200" s="3843"/>
      <c r="AP200" s="3843"/>
      <c r="AQ200" s="3843"/>
      <c r="AR200" s="3843"/>
      <c r="AS200" s="3843"/>
      <c r="AT200" s="3849"/>
      <c r="AU200" s="3849"/>
      <c r="AV200" s="3849"/>
      <c r="AW200" s="3849"/>
      <c r="AX200" s="3849"/>
      <c r="AY200" s="3849"/>
      <c r="AZ200" s="3849"/>
      <c r="BA200" s="3849"/>
      <c r="BB200" s="3849"/>
      <c r="BC200" s="3843"/>
      <c r="BD200" s="3843"/>
      <c r="BE200" s="3843"/>
      <c r="BF200" s="3843"/>
      <c r="BG200" s="3843"/>
      <c r="BH200" s="3237"/>
      <c r="BI200" s="3237"/>
      <c r="BJ200" s="3237"/>
      <c r="BK200" s="3846"/>
      <c r="BL200" s="3846"/>
      <c r="BM200" s="3839"/>
      <c r="BN200" s="3800"/>
      <c r="BO200" s="3800"/>
      <c r="BP200" s="3800"/>
      <c r="BQ200" s="3790"/>
      <c r="BR200" s="3790"/>
      <c r="BS200" s="3790"/>
      <c r="BT200" s="3790"/>
      <c r="BU200" s="3831"/>
    </row>
    <row r="201" spans="1:73" ht="17.25" customHeight="1" x14ac:dyDescent="0.25">
      <c r="A201" s="1620"/>
      <c r="B201" s="1769"/>
      <c r="C201" s="1619"/>
      <c r="D201" s="1769"/>
      <c r="G201" s="3819"/>
      <c r="H201" s="3822"/>
      <c r="I201" s="3819"/>
      <c r="J201" s="3822"/>
      <c r="K201" s="3819"/>
      <c r="L201" s="3825"/>
      <c r="M201" s="3819"/>
      <c r="N201" s="3825"/>
      <c r="O201" s="3870"/>
      <c r="P201" s="3870"/>
      <c r="Q201" s="2274"/>
      <c r="R201" s="3109"/>
      <c r="S201" s="3867"/>
      <c r="T201" s="3855"/>
      <c r="U201" s="2426"/>
      <c r="V201" s="2787"/>
      <c r="W201" s="3560" t="s">
        <v>2928</v>
      </c>
      <c r="X201" s="1653">
        <v>86709124.420000002</v>
      </c>
      <c r="Y201" s="1653">
        <v>86709124.420000002</v>
      </c>
      <c r="Z201" s="1653">
        <v>54611153</v>
      </c>
      <c r="AA201" s="1546" t="s">
        <v>2929</v>
      </c>
      <c r="AB201" s="3816">
        <v>35</v>
      </c>
      <c r="AC201" s="2426" t="s">
        <v>2930</v>
      </c>
      <c r="AD201" s="3849"/>
      <c r="AE201" s="3843"/>
      <c r="AF201" s="3843"/>
      <c r="AG201" s="3007"/>
      <c r="AH201" s="3269"/>
      <c r="AI201" s="3843"/>
      <c r="AJ201" s="3843"/>
      <c r="AK201" s="3843"/>
      <c r="AL201" s="3843"/>
      <c r="AM201" s="3843"/>
      <c r="AN201" s="3843"/>
      <c r="AO201" s="3843"/>
      <c r="AP201" s="3843"/>
      <c r="AQ201" s="3843"/>
      <c r="AR201" s="3843"/>
      <c r="AS201" s="3843"/>
      <c r="AT201" s="3849"/>
      <c r="AU201" s="3849"/>
      <c r="AV201" s="3849"/>
      <c r="AW201" s="3849"/>
      <c r="AX201" s="3849"/>
      <c r="AY201" s="3849"/>
      <c r="AZ201" s="3849"/>
      <c r="BA201" s="3849"/>
      <c r="BB201" s="3849"/>
      <c r="BC201" s="3843"/>
      <c r="BD201" s="3843"/>
      <c r="BE201" s="3843"/>
      <c r="BF201" s="3843"/>
      <c r="BG201" s="3843"/>
      <c r="BH201" s="3237"/>
      <c r="BI201" s="3237"/>
      <c r="BJ201" s="3237"/>
      <c r="BK201" s="3846"/>
      <c r="BL201" s="3846"/>
      <c r="BM201" s="3839"/>
      <c r="BN201" s="3800"/>
      <c r="BO201" s="3800"/>
      <c r="BP201" s="3800"/>
      <c r="BQ201" s="3790"/>
      <c r="BR201" s="3790"/>
      <c r="BS201" s="3790"/>
      <c r="BT201" s="3790"/>
      <c r="BU201" s="3831"/>
    </row>
    <row r="202" spans="1:73" ht="17.25" customHeight="1" x14ac:dyDescent="0.25">
      <c r="A202" s="1620"/>
      <c r="B202" s="1769"/>
      <c r="C202" s="1619"/>
      <c r="D202" s="1769"/>
      <c r="G202" s="3819"/>
      <c r="H202" s="3822"/>
      <c r="I202" s="3819"/>
      <c r="J202" s="3822"/>
      <c r="K202" s="3819"/>
      <c r="L202" s="3825"/>
      <c r="M202" s="3819"/>
      <c r="N202" s="3825"/>
      <c r="O202" s="3870"/>
      <c r="P202" s="3870"/>
      <c r="Q202" s="2274"/>
      <c r="R202" s="3109"/>
      <c r="S202" s="3867"/>
      <c r="T202" s="3855"/>
      <c r="U202" s="2426"/>
      <c r="V202" s="2787"/>
      <c r="W202" s="2579"/>
      <c r="X202" s="1653">
        <v>538444026.51999998</v>
      </c>
      <c r="Y202" s="1653">
        <v>538444026.51999998</v>
      </c>
      <c r="Z202" s="1653">
        <v>0</v>
      </c>
      <c r="AA202" s="1546" t="s">
        <v>2931</v>
      </c>
      <c r="AB202" s="3816"/>
      <c r="AC202" s="2426"/>
      <c r="AD202" s="3849"/>
      <c r="AE202" s="3843"/>
      <c r="AF202" s="3843"/>
      <c r="AG202" s="3007"/>
      <c r="AH202" s="3269"/>
      <c r="AI202" s="3843"/>
      <c r="AJ202" s="3843"/>
      <c r="AK202" s="3843"/>
      <c r="AL202" s="3843"/>
      <c r="AM202" s="3843"/>
      <c r="AN202" s="3843"/>
      <c r="AO202" s="3843"/>
      <c r="AP202" s="3843"/>
      <c r="AQ202" s="3843"/>
      <c r="AR202" s="3843"/>
      <c r="AS202" s="3843"/>
      <c r="AT202" s="3849"/>
      <c r="AU202" s="3849"/>
      <c r="AV202" s="3849"/>
      <c r="AW202" s="3849"/>
      <c r="AX202" s="3849"/>
      <c r="AY202" s="3849"/>
      <c r="AZ202" s="3849"/>
      <c r="BA202" s="3849"/>
      <c r="BB202" s="3849"/>
      <c r="BC202" s="3843"/>
      <c r="BD202" s="3843"/>
      <c r="BE202" s="3843"/>
      <c r="BF202" s="3843"/>
      <c r="BG202" s="3843"/>
      <c r="BH202" s="3237"/>
      <c r="BI202" s="3237"/>
      <c r="BJ202" s="3237"/>
      <c r="BK202" s="3846"/>
      <c r="BL202" s="3846"/>
      <c r="BM202" s="3839"/>
      <c r="BN202" s="3800"/>
      <c r="BO202" s="3800"/>
      <c r="BP202" s="3800"/>
      <c r="BQ202" s="3790"/>
      <c r="BR202" s="3790"/>
      <c r="BS202" s="3790"/>
      <c r="BT202" s="3790"/>
      <c r="BU202" s="3831"/>
    </row>
    <row r="203" spans="1:73" ht="17.25" customHeight="1" x14ac:dyDescent="0.25">
      <c r="A203" s="1620"/>
      <c r="B203" s="1769"/>
      <c r="C203" s="1619"/>
      <c r="D203" s="1769"/>
      <c r="G203" s="3819"/>
      <c r="H203" s="3822"/>
      <c r="I203" s="3819"/>
      <c r="J203" s="3822"/>
      <c r="K203" s="3819"/>
      <c r="L203" s="3825"/>
      <c r="M203" s="3819"/>
      <c r="N203" s="3825"/>
      <c r="O203" s="3870"/>
      <c r="P203" s="3870"/>
      <c r="Q203" s="2274"/>
      <c r="R203" s="3109"/>
      <c r="S203" s="3867"/>
      <c r="T203" s="3855"/>
      <c r="U203" s="2426"/>
      <c r="V203" s="2787"/>
      <c r="W203" s="2579"/>
      <c r="X203" s="1653">
        <v>489456988.42000002</v>
      </c>
      <c r="Y203" s="1653">
        <v>489456988.42000002</v>
      </c>
      <c r="Z203" s="1653">
        <v>0</v>
      </c>
      <c r="AA203" s="1546" t="s">
        <v>2932</v>
      </c>
      <c r="AB203" s="3816"/>
      <c r="AC203" s="2426"/>
      <c r="AD203" s="3849"/>
      <c r="AE203" s="3843"/>
      <c r="AF203" s="3843"/>
      <c r="AG203" s="3007"/>
      <c r="AH203" s="3269"/>
      <c r="AI203" s="3843"/>
      <c r="AJ203" s="3843"/>
      <c r="AK203" s="3843"/>
      <c r="AL203" s="3843"/>
      <c r="AM203" s="3843"/>
      <c r="AN203" s="3843"/>
      <c r="AO203" s="3843"/>
      <c r="AP203" s="3843"/>
      <c r="AQ203" s="3843"/>
      <c r="AR203" s="3843"/>
      <c r="AS203" s="3843"/>
      <c r="AT203" s="3849"/>
      <c r="AU203" s="3849"/>
      <c r="AV203" s="3849"/>
      <c r="AW203" s="3849"/>
      <c r="AX203" s="3849"/>
      <c r="AY203" s="3849"/>
      <c r="AZ203" s="3849"/>
      <c r="BA203" s="3849"/>
      <c r="BB203" s="3849"/>
      <c r="BC203" s="3843"/>
      <c r="BD203" s="3843"/>
      <c r="BE203" s="3843"/>
      <c r="BF203" s="3843"/>
      <c r="BG203" s="3843"/>
      <c r="BH203" s="3237"/>
      <c r="BI203" s="3237"/>
      <c r="BJ203" s="3237"/>
      <c r="BK203" s="3846"/>
      <c r="BL203" s="3846"/>
      <c r="BM203" s="3839"/>
      <c r="BN203" s="3800"/>
      <c r="BO203" s="3800"/>
      <c r="BP203" s="3800"/>
      <c r="BQ203" s="3790"/>
      <c r="BR203" s="3790"/>
      <c r="BS203" s="3790"/>
      <c r="BT203" s="3790"/>
      <c r="BU203" s="3831"/>
    </row>
    <row r="204" spans="1:73" ht="17.25" customHeight="1" x14ac:dyDescent="0.25">
      <c r="A204" s="1620"/>
      <c r="B204" s="1769"/>
      <c r="C204" s="1619"/>
      <c r="D204" s="1769"/>
      <c r="G204" s="3819"/>
      <c r="H204" s="3822"/>
      <c r="I204" s="3819"/>
      <c r="J204" s="3822"/>
      <c r="K204" s="3819"/>
      <c r="L204" s="3825"/>
      <c r="M204" s="3819"/>
      <c r="N204" s="3825"/>
      <c r="O204" s="3870"/>
      <c r="P204" s="3870"/>
      <c r="Q204" s="2274"/>
      <c r="R204" s="3109"/>
      <c r="S204" s="3867"/>
      <c r="T204" s="3855"/>
      <c r="U204" s="2426"/>
      <c r="V204" s="2787"/>
      <c r="W204" s="2579"/>
      <c r="X204" s="1653">
        <v>190367350.63999999</v>
      </c>
      <c r="Y204" s="1653">
        <v>190367350.63999999</v>
      </c>
      <c r="Z204" s="1653">
        <v>0</v>
      </c>
      <c r="AA204" s="1546" t="s">
        <v>2933</v>
      </c>
      <c r="AB204" s="3816"/>
      <c r="AC204" s="2426"/>
      <c r="AD204" s="3849"/>
      <c r="AE204" s="3843"/>
      <c r="AF204" s="3843"/>
      <c r="AG204" s="3007"/>
      <c r="AH204" s="3269"/>
      <c r="AI204" s="3843"/>
      <c r="AJ204" s="3843"/>
      <c r="AK204" s="3843"/>
      <c r="AL204" s="3843"/>
      <c r="AM204" s="3843"/>
      <c r="AN204" s="3843"/>
      <c r="AO204" s="3843"/>
      <c r="AP204" s="3843"/>
      <c r="AQ204" s="3843"/>
      <c r="AR204" s="3843"/>
      <c r="AS204" s="3843"/>
      <c r="AT204" s="3849"/>
      <c r="AU204" s="3849"/>
      <c r="AV204" s="3849"/>
      <c r="AW204" s="3849"/>
      <c r="AX204" s="3849"/>
      <c r="AY204" s="3849"/>
      <c r="AZ204" s="3849"/>
      <c r="BA204" s="3849"/>
      <c r="BB204" s="3849"/>
      <c r="BC204" s="3843"/>
      <c r="BD204" s="3843"/>
      <c r="BE204" s="3843"/>
      <c r="BF204" s="3843"/>
      <c r="BG204" s="3843"/>
      <c r="BH204" s="3237"/>
      <c r="BI204" s="3237"/>
      <c r="BJ204" s="3237"/>
      <c r="BK204" s="3846"/>
      <c r="BL204" s="3846"/>
      <c r="BM204" s="3839"/>
      <c r="BN204" s="3800"/>
      <c r="BO204" s="3800"/>
      <c r="BP204" s="3800"/>
      <c r="BQ204" s="3790"/>
      <c r="BR204" s="3790"/>
      <c r="BS204" s="3790"/>
      <c r="BT204" s="3790"/>
      <c r="BU204" s="3831"/>
    </row>
    <row r="205" spans="1:73" ht="31.5" customHeight="1" x14ac:dyDescent="0.25">
      <c r="A205" s="1620"/>
      <c r="B205" s="1769"/>
      <c r="C205" s="1619"/>
      <c r="D205" s="1769"/>
      <c r="G205" s="3819"/>
      <c r="H205" s="3822"/>
      <c r="I205" s="3819"/>
      <c r="J205" s="3822"/>
      <c r="K205" s="3819"/>
      <c r="L205" s="3825"/>
      <c r="M205" s="3819"/>
      <c r="N205" s="3825"/>
      <c r="O205" s="3870"/>
      <c r="P205" s="3870"/>
      <c r="Q205" s="2274"/>
      <c r="R205" s="3109"/>
      <c r="S205" s="3867"/>
      <c r="T205" s="3855"/>
      <c r="U205" s="2426"/>
      <c r="V205" s="2787"/>
      <c r="W205" s="2579"/>
      <c r="X205" s="1653">
        <v>80777982.780000001</v>
      </c>
      <c r="Y205" s="1653">
        <v>80777982.780000001</v>
      </c>
      <c r="Z205" s="1653">
        <v>80777982.780000001</v>
      </c>
      <c r="AA205" s="1546" t="s">
        <v>2934</v>
      </c>
      <c r="AB205" s="1791">
        <v>91</v>
      </c>
      <c r="AC205" s="1555" t="s">
        <v>2903</v>
      </c>
      <c r="AD205" s="3849"/>
      <c r="AE205" s="3843"/>
      <c r="AF205" s="3843"/>
      <c r="AG205" s="3007"/>
      <c r="AH205" s="3269"/>
      <c r="AI205" s="3843"/>
      <c r="AJ205" s="3843"/>
      <c r="AK205" s="3843"/>
      <c r="AL205" s="3843"/>
      <c r="AM205" s="3843"/>
      <c r="AN205" s="3843"/>
      <c r="AO205" s="3843"/>
      <c r="AP205" s="3843"/>
      <c r="AQ205" s="3843"/>
      <c r="AR205" s="3843"/>
      <c r="AS205" s="3843"/>
      <c r="AT205" s="3849"/>
      <c r="AU205" s="3849"/>
      <c r="AV205" s="3849"/>
      <c r="AW205" s="3849"/>
      <c r="AX205" s="3849"/>
      <c r="AY205" s="3849"/>
      <c r="AZ205" s="3849"/>
      <c r="BA205" s="3849"/>
      <c r="BB205" s="3849"/>
      <c r="BC205" s="3843"/>
      <c r="BD205" s="3843"/>
      <c r="BE205" s="3843"/>
      <c r="BF205" s="3843"/>
      <c r="BG205" s="3843"/>
      <c r="BH205" s="3237"/>
      <c r="BI205" s="3237"/>
      <c r="BJ205" s="3237"/>
      <c r="BK205" s="3846"/>
      <c r="BL205" s="3846"/>
      <c r="BM205" s="3839"/>
      <c r="BN205" s="3800"/>
      <c r="BO205" s="3800"/>
      <c r="BP205" s="3800"/>
      <c r="BQ205" s="3790"/>
      <c r="BR205" s="3790"/>
      <c r="BS205" s="3790"/>
      <c r="BT205" s="3790"/>
      <c r="BU205" s="3831"/>
    </row>
    <row r="206" spans="1:73" ht="36" customHeight="1" x14ac:dyDescent="0.25">
      <c r="A206" s="1620"/>
      <c r="B206" s="1769"/>
      <c r="C206" s="1619"/>
      <c r="D206" s="1769"/>
      <c r="G206" s="3819"/>
      <c r="H206" s="3822"/>
      <c r="I206" s="3819"/>
      <c r="J206" s="3822"/>
      <c r="K206" s="3819"/>
      <c r="L206" s="3825"/>
      <c r="M206" s="3819"/>
      <c r="N206" s="3825"/>
      <c r="O206" s="3870"/>
      <c r="P206" s="3870"/>
      <c r="Q206" s="2274"/>
      <c r="R206" s="3109"/>
      <c r="S206" s="3867"/>
      <c r="T206" s="3855"/>
      <c r="U206" s="2426"/>
      <c r="V206" s="2787"/>
      <c r="W206" s="2579"/>
      <c r="X206" s="1653">
        <v>209925998.22</v>
      </c>
      <c r="Y206" s="1653">
        <v>209925998.22</v>
      </c>
      <c r="Z206" s="1653">
        <v>209925998.22</v>
      </c>
      <c r="AA206" s="1546" t="s">
        <v>2935</v>
      </c>
      <c r="AB206" s="1791">
        <v>88</v>
      </c>
      <c r="AC206" s="1555" t="s">
        <v>2936</v>
      </c>
      <c r="AD206" s="3849"/>
      <c r="AE206" s="3843"/>
      <c r="AF206" s="3843"/>
      <c r="AG206" s="3007"/>
      <c r="AH206" s="3269"/>
      <c r="AI206" s="3843"/>
      <c r="AJ206" s="3843"/>
      <c r="AK206" s="3843"/>
      <c r="AL206" s="3843"/>
      <c r="AM206" s="3843"/>
      <c r="AN206" s="3843"/>
      <c r="AO206" s="3843"/>
      <c r="AP206" s="3843"/>
      <c r="AQ206" s="3843"/>
      <c r="AR206" s="3843"/>
      <c r="AS206" s="3843"/>
      <c r="AT206" s="3849"/>
      <c r="AU206" s="3849"/>
      <c r="AV206" s="3849"/>
      <c r="AW206" s="3849"/>
      <c r="AX206" s="3849"/>
      <c r="AY206" s="3849"/>
      <c r="AZ206" s="3849"/>
      <c r="BA206" s="3849"/>
      <c r="BB206" s="3849"/>
      <c r="BC206" s="3843"/>
      <c r="BD206" s="3843"/>
      <c r="BE206" s="3843"/>
      <c r="BF206" s="3843"/>
      <c r="BG206" s="3843"/>
      <c r="BH206" s="3237"/>
      <c r="BI206" s="3237"/>
      <c r="BJ206" s="3237"/>
      <c r="BK206" s="3846"/>
      <c r="BL206" s="3846"/>
      <c r="BM206" s="3839"/>
      <c r="BN206" s="3800"/>
      <c r="BO206" s="3800"/>
      <c r="BP206" s="3800"/>
      <c r="BQ206" s="3790"/>
      <c r="BR206" s="3790"/>
      <c r="BS206" s="3790"/>
      <c r="BT206" s="3790"/>
      <c r="BU206" s="3831"/>
    </row>
    <row r="207" spans="1:73" ht="27" customHeight="1" x14ac:dyDescent="0.25">
      <c r="A207" s="1620"/>
      <c r="B207" s="1769"/>
      <c r="C207" s="1619"/>
      <c r="D207" s="1769"/>
      <c r="G207" s="3819"/>
      <c r="H207" s="3822"/>
      <c r="I207" s="3819"/>
      <c r="J207" s="3822"/>
      <c r="K207" s="3819"/>
      <c r="L207" s="3825"/>
      <c r="M207" s="3819"/>
      <c r="N207" s="3825"/>
      <c r="O207" s="3870"/>
      <c r="P207" s="3870"/>
      <c r="Q207" s="2274"/>
      <c r="R207" s="3109"/>
      <c r="S207" s="3867"/>
      <c r="T207" s="3855"/>
      <c r="U207" s="2426"/>
      <c r="V207" s="2787"/>
      <c r="W207" s="2579"/>
      <c r="X207" s="1367">
        <f>258513743.251604-49287773.25</f>
        <v>209225970.00160399</v>
      </c>
      <c r="Y207" s="1367">
        <v>209225970</v>
      </c>
      <c r="Z207" s="1367">
        <v>209225970</v>
      </c>
      <c r="AA207" s="1624" t="s">
        <v>2937</v>
      </c>
      <c r="AB207" s="3816">
        <v>20</v>
      </c>
      <c r="AC207" s="2426" t="s">
        <v>1614</v>
      </c>
      <c r="AD207" s="3849"/>
      <c r="AE207" s="3843"/>
      <c r="AF207" s="3843"/>
      <c r="AG207" s="3007"/>
      <c r="AH207" s="3269"/>
      <c r="AI207" s="3843"/>
      <c r="AJ207" s="3843"/>
      <c r="AK207" s="3843"/>
      <c r="AL207" s="3843"/>
      <c r="AM207" s="3843"/>
      <c r="AN207" s="3843"/>
      <c r="AO207" s="3843"/>
      <c r="AP207" s="3843"/>
      <c r="AQ207" s="3843"/>
      <c r="AR207" s="3843"/>
      <c r="AS207" s="3843"/>
      <c r="AT207" s="3849"/>
      <c r="AU207" s="3849"/>
      <c r="AV207" s="3849"/>
      <c r="AW207" s="3849"/>
      <c r="AX207" s="3849"/>
      <c r="AY207" s="3849"/>
      <c r="AZ207" s="3849"/>
      <c r="BA207" s="3849"/>
      <c r="BB207" s="3849"/>
      <c r="BC207" s="3843"/>
      <c r="BD207" s="3843"/>
      <c r="BE207" s="3843"/>
      <c r="BF207" s="3843"/>
      <c r="BG207" s="3843"/>
      <c r="BH207" s="3237"/>
      <c r="BI207" s="3237"/>
      <c r="BJ207" s="3237"/>
      <c r="BK207" s="3846"/>
      <c r="BL207" s="3846"/>
      <c r="BM207" s="3839"/>
      <c r="BN207" s="3800"/>
      <c r="BO207" s="3800"/>
      <c r="BP207" s="3800"/>
      <c r="BQ207" s="3790"/>
      <c r="BR207" s="3790"/>
      <c r="BS207" s="3790"/>
      <c r="BT207" s="3790"/>
      <c r="BU207" s="3831"/>
    </row>
    <row r="208" spans="1:73" ht="17.25" customHeight="1" x14ac:dyDescent="0.25">
      <c r="A208" s="1620"/>
      <c r="B208" s="1769"/>
      <c r="C208" s="1619"/>
      <c r="D208" s="1769"/>
      <c r="G208" s="3819"/>
      <c r="H208" s="3822"/>
      <c r="I208" s="3819"/>
      <c r="J208" s="3822"/>
      <c r="K208" s="3819"/>
      <c r="L208" s="3825"/>
      <c r="M208" s="3819"/>
      <c r="N208" s="3825"/>
      <c r="O208" s="3870"/>
      <c r="P208" s="3870"/>
      <c r="Q208" s="2274"/>
      <c r="R208" s="3109"/>
      <c r="S208" s="3867"/>
      <c r="T208" s="3855"/>
      <c r="U208" s="2426"/>
      <c r="V208" s="2787"/>
      <c r="W208" s="2579"/>
      <c r="X208" s="1367">
        <f>1605311802.55168-86525649.55</f>
        <v>1518786153.0016801</v>
      </c>
      <c r="Y208" s="1367">
        <v>1471746509</v>
      </c>
      <c r="Z208" s="1367">
        <v>1471746509</v>
      </c>
      <c r="AA208" s="1546" t="s">
        <v>2938</v>
      </c>
      <c r="AB208" s="3816"/>
      <c r="AC208" s="2426"/>
      <c r="AD208" s="3849"/>
      <c r="AE208" s="3843"/>
      <c r="AF208" s="3843"/>
      <c r="AG208" s="3007"/>
      <c r="AH208" s="3269"/>
      <c r="AI208" s="3843"/>
      <c r="AJ208" s="3843"/>
      <c r="AK208" s="3843"/>
      <c r="AL208" s="3843"/>
      <c r="AM208" s="3843"/>
      <c r="AN208" s="3843"/>
      <c r="AO208" s="3843"/>
      <c r="AP208" s="3843"/>
      <c r="AQ208" s="3843"/>
      <c r="AR208" s="3843"/>
      <c r="AS208" s="3843"/>
      <c r="AT208" s="3849"/>
      <c r="AU208" s="3849"/>
      <c r="AV208" s="3849"/>
      <c r="AW208" s="3849"/>
      <c r="AX208" s="3849"/>
      <c r="AY208" s="3849"/>
      <c r="AZ208" s="3849"/>
      <c r="BA208" s="3849"/>
      <c r="BB208" s="3849"/>
      <c r="BC208" s="3843"/>
      <c r="BD208" s="3843"/>
      <c r="BE208" s="3843"/>
      <c r="BF208" s="3843"/>
      <c r="BG208" s="3843"/>
      <c r="BH208" s="3237"/>
      <c r="BI208" s="3237"/>
      <c r="BJ208" s="3237"/>
      <c r="BK208" s="3846"/>
      <c r="BL208" s="3846"/>
      <c r="BM208" s="3839"/>
      <c r="BN208" s="3800"/>
      <c r="BO208" s="3800"/>
      <c r="BP208" s="3800"/>
      <c r="BQ208" s="3790"/>
      <c r="BR208" s="3790"/>
      <c r="BS208" s="3790"/>
      <c r="BT208" s="3790"/>
      <c r="BU208" s="3831"/>
    </row>
    <row r="209" spans="1:73" ht="17.25" customHeight="1" x14ac:dyDescent="0.25">
      <c r="A209" s="1620"/>
      <c r="B209" s="1769"/>
      <c r="C209" s="1619"/>
      <c r="D209" s="1769"/>
      <c r="G209" s="3819"/>
      <c r="H209" s="3822"/>
      <c r="I209" s="3819"/>
      <c r="J209" s="3822"/>
      <c r="K209" s="3819"/>
      <c r="L209" s="3825"/>
      <c r="M209" s="3819"/>
      <c r="N209" s="3825"/>
      <c r="O209" s="3870"/>
      <c r="P209" s="3870"/>
      <c r="Q209" s="2274"/>
      <c r="R209" s="3109"/>
      <c r="S209" s="3867"/>
      <c r="T209" s="3855"/>
      <c r="U209" s="2426"/>
      <c r="V209" s="2787"/>
      <c r="W209" s="2579"/>
      <c r="X209" s="1653">
        <v>1415075744.6600001</v>
      </c>
      <c r="Y209" s="1653">
        <v>1413477475.6600001</v>
      </c>
      <c r="Z209" s="1653">
        <v>411903982.66000003</v>
      </c>
      <c r="AA209" s="1546" t="s">
        <v>2939</v>
      </c>
      <c r="AB209" s="3816"/>
      <c r="AC209" s="2426"/>
      <c r="AD209" s="3849"/>
      <c r="AE209" s="3843"/>
      <c r="AF209" s="3843"/>
      <c r="AG209" s="3007"/>
      <c r="AH209" s="3269"/>
      <c r="AI209" s="3843"/>
      <c r="AJ209" s="3843"/>
      <c r="AK209" s="3843"/>
      <c r="AL209" s="3843"/>
      <c r="AM209" s="3843"/>
      <c r="AN209" s="3843"/>
      <c r="AO209" s="3843"/>
      <c r="AP209" s="3843"/>
      <c r="AQ209" s="3843"/>
      <c r="AR209" s="3843"/>
      <c r="AS209" s="3843"/>
      <c r="AT209" s="3849"/>
      <c r="AU209" s="3849"/>
      <c r="AV209" s="3849"/>
      <c r="AW209" s="3849"/>
      <c r="AX209" s="3849"/>
      <c r="AY209" s="3849"/>
      <c r="AZ209" s="3849"/>
      <c r="BA209" s="3849"/>
      <c r="BB209" s="3849"/>
      <c r="BC209" s="3843"/>
      <c r="BD209" s="3843"/>
      <c r="BE209" s="3843"/>
      <c r="BF209" s="3843"/>
      <c r="BG209" s="3843"/>
      <c r="BH209" s="3237"/>
      <c r="BI209" s="3237"/>
      <c r="BJ209" s="3237"/>
      <c r="BK209" s="3846"/>
      <c r="BL209" s="3846"/>
      <c r="BM209" s="3839"/>
      <c r="BN209" s="3800"/>
      <c r="BO209" s="3800"/>
      <c r="BP209" s="3800"/>
      <c r="BQ209" s="3790"/>
      <c r="BR209" s="3790"/>
      <c r="BS209" s="3790"/>
      <c r="BT209" s="3790"/>
      <c r="BU209" s="3831"/>
    </row>
    <row r="210" spans="1:73" ht="17.25" customHeight="1" x14ac:dyDescent="0.25">
      <c r="A210" s="1620"/>
      <c r="B210" s="1769"/>
      <c r="C210" s="1619"/>
      <c r="D210" s="1769"/>
      <c r="G210" s="3819"/>
      <c r="H210" s="3822"/>
      <c r="I210" s="3819"/>
      <c r="J210" s="3822"/>
      <c r="K210" s="3819"/>
      <c r="L210" s="3825"/>
      <c r="M210" s="3819"/>
      <c r="N210" s="3825"/>
      <c r="O210" s="3870"/>
      <c r="P210" s="3870"/>
      <c r="Q210" s="2274"/>
      <c r="R210" s="3109"/>
      <c r="S210" s="3867"/>
      <c r="T210" s="3855"/>
      <c r="U210" s="2426"/>
      <c r="V210" s="2787"/>
      <c r="W210" s="3561"/>
      <c r="X210" s="1653">
        <v>567559374.34000003</v>
      </c>
      <c r="Y210" s="1653">
        <v>567559374.34000003</v>
      </c>
      <c r="Z210" s="1653">
        <v>423904091.33999997</v>
      </c>
      <c r="AA210" s="1546" t="s">
        <v>2940</v>
      </c>
      <c r="AB210" s="3816"/>
      <c r="AC210" s="2426"/>
      <c r="AD210" s="3849"/>
      <c r="AE210" s="3843"/>
      <c r="AF210" s="3843"/>
      <c r="AG210" s="3007"/>
      <c r="AH210" s="3269"/>
      <c r="AI210" s="3843"/>
      <c r="AJ210" s="3843"/>
      <c r="AK210" s="3843"/>
      <c r="AL210" s="3843"/>
      <c r="AM210" s="3843"/>
      <c r="AN210" s="3843"/>
      <c r="AO210" s="3843"/>
      <c r="AP210" s="3843"/>
      <c r="AQ210" s="3843"/>
      <c r="AR210" s="3843"/>
      <c r="AS210" s="3843"/>
      <c r="AT210" s="3849"/>
      <c r="AU210" s="3849"/>
      <c r="AV210" s="3849"/>
      <c r="AW210" s="3849"/>
      <c r="AX210" s="3849"/>
      <c r="AY210" s="3849"/>
      <c r="AZ210" s="3849"/>
      <c r="BA210" s="3849"/>
      <c r="BB210" s="3849"/>
      <c r="BC210" s="3843"/>
      <c r="BD210" s="3843"/>
      <c r="BE210" s="3843"/>
      <c r="BF210" s="3843"/>
      <c r="BG210" s="3843"/>
      <c r="BH210" s="3237"/>
      <c r="BI210" s="3237"/>
      <c r="BJ210" s="3237"/>
      <c r="BK210" s="3846"/>
      <c r="BL210" s="3846"/>
      <c r="BM210" s="3839"/>
      <c r="BN210" s="3800"/>
      <c r="BO210" s="3800"/>
      <c r="BP210" s="3800"/>
      <c r="BQ210" s="3790"/>
      <c r="BR210" s="3790"/>
      <c r="BS210" s="3790"/>
      <c r="BT210" s="3790"/>
      <c r="BU210" s="3831"/>
    </row>
    <row r="211" spans="1:73" ht="66.75" customHeight="1" x14ac:dyDescent="0.25">
      <c r="A211" s="1620"/>
      <c r="B211" s="1769"/>
      <c r="C211" s="1619"/>
      <c r="D211" s="1769"/>
      <c r="G211" s="3819"/>
      <c r="H211" s="3822"/>
      <c r="I211" s="3819"/>
      <c r="J211" s="3822"/>
      <c r="K211" s="3819"/>
      <c r="L211" s="3825"/>
      <c r="M211" s="3819"/>
      <c r="N211" s="3825"/>
      <c r="O211" s="3870"/>
      <c r="P211" s="3870"/>
      <c r="Q211" s="2274"/>
      <c r="R211" s="3109"/>
      <c r="S211" s="3867"/>
      <c r="T211" s="3855"/>
      <c r="U211" s="2426"/>
      <c r="V211" s="2787"/>
      <c r="W211" s="3560" t="s">
        <v>2941</v>
      </c>
      <c r="X211" s="1653">
        <v>119071453.84999999</v>
      </c>
      <c r="Y211" s="1653">
        <v>81858239.099999994</v>
      </c>
      <c r="Z211" s="1653">
        <v>74088418.099999994</v>
      </c>
      <c r="AA211" s="1546" t="s">
        <v>2942</v>
      </c>
      <c r="AB211" s="1792">
        <v>187</v>
      </c>
      <c r="AC211" s="1555" t="s">
        <v>2943</v>
      </c>
      <c r="AD211" s="3849"/>
      <c r="AE211" s="3843"/>
      <c r="AF211" s="3843"/>
      <c r="AG211" s="3007"/>
      <c r="AH211" s="3269"/>
      <c r="AI211" s="3843"/>
      <c r="AJ211" s="3843"/>
      <c r="AK211" s="3843"/>
      <c r="AL211" s="3843"/>
      <c r="AM211" s="3843"/>
      <c r="AN211" s="3843"/>
      <c r="AO211" s="3843"/>
      <c r="AP211" s="3843"/>
      <c r="AQ211" s="3843"/>
      <c r="AR211" s="3843"/>
      <c r="AS211" s="3843"/>
      <c r="AT211" s="3849"/>
      <c r="AU211" s="3849"/>
      <c r="AV211" s="3849"/>
      <c r="AW211" s="3849"/>
      <c r="AX211" s="3849"/>
      <c r="AY211" s="3849"/>
      <c r="AZ211" s="3849"/>
      <c r="BA211" s="3849"/>
      <c r="BB211" s="3849"/>
      <c r="BC211" s="3843"/>
      <c r="BD211" s="3843"/>
      <c r="BE211" s="3843"/>
      <c r="BF211" s="3843"/>
      <c r="BG211" s="3843"/>
      <c r="BH211" s="3237"/>
      <c r="BI211" s="3237"/>
      <c r="BJ211" s="3237"/>
      <c r="BK211" s="3846"/>
      <c r="BL211" s="3846"/>
      <c r="BM211" s="3839"/>
      <c r="BN211" s="3800"/>
      <c r="BO211" s="3800"/>
      <c r="BP211" s="3800"/>
      <c r="BQ211" s="3790"/>
      <c r="BR211" s="3790"/>
      <c r="BS211" s="3790"/>
      <c r="BT211" s="3790"/>
      <c r="BU211" s="3831"/>
    </row>
    <row r="212" spans="1:73" ht="66.75" customHeight="1" x14ac:dyDescent="0.25">
      <c r="A212" s="1620"/>
      <c r="B212" s="1769"/>
      <c r="C212" s="1619"/>
      <c r="D212" s="1769"/>
      <c r="G212" s="3819"/>
      <c r="H212" s="3822"/>
      <c r="I212" s="3819"/>
      <c r="J212" s="3822"/>
      <c r="K212" s="3819"/>
      <c r="L212" s="3825"/>
      <c r="M212" s="3819"/>
      <c r="N212" s="3825"/>
      <c r="O212" s="3870"/>
      <c r="P212" s="3870"/>
      <c r="Q212" s="2274"/>
      <c r="R212" s="3109"/>
      <c r="S212" s="3867"/>
      <c r="T212" s="3855"/>
      <c r="U212" s="2426"/>
      <c r="V212" s="2787"/>
      <c r="W212" s="2579"/>
      <c r="X212" s="1367">
        <v>739406762</v>
      </c>
      <c r="Y212" s="1367">
        <v>609114600</v>
      </c>
      <c r="Z212" s="1367">
        <v>436136544</v>
      </c>
      <c r="AA212" s="1546" t="s">
        <v>2944</v>
      </c>
      <c r="AB212" s="1792">
        <v>187</v>
      </c>
      <c r="AC212" s="1555" t="s">
        <v>2943</v>
      </c>
      <c r="AD212" s="3849"/>
      <c r="AE212" s="3843"/>
      <c r="AF212" s="3843"/>
      <c r="AG212" s="3007"/>
      <c r="AH212" s="3269"/>
      <c r="AI212" s="3843"/>
      <c r="AJ212" s="3843"/>
      <c r="AK212" s="3843"/>
      <c r="AL212" s="3843"/>
      <c r="AM212" s="3843"/>
      <c r="AN212" s="3843"/>
      <c r="AO212" s="3843"/>
      <c r="AP212" s="3843"/>
      <c r="AQ212" s="3843"/>
      <c r="AR212" s="3843"/>
      <c r="AS212" s="3843"/>
      <c r="AT212" s="3849"/>
      <c r="AU212" s="3849"/>
      <c r="AV212" s="3849"/>
      <c r="AW212" s="3849"/>
      <c r="AX212" s="3849"/>
      <c r="AY212" s="3849"/>
      <c r="AZ212" s="3849"/>
      <c r="BA212" s="3849"/>
      <c r="BB212" s="3849"/>
      <c r="BC212" s="3843"/>
      <c r="BD212" s="3843"/>
      <c r="BE212" s="3843"/>
      <c r="BF212" s="3843"/>
      <c r="BG212" s="3843"/>
      <c r="BH212" s="3237"/>
      <c r="BI212" s="3237"/>
      <c r="BJ212" s="3237"/>
      <c r="BK212" s="3846"/>
      <c r="BL212" s="3846"/>
      <c r="BM212" s="3839"/>
      <c r="BN212" s="3800"/>
      <c r="BO212" s="3800"/>
      <c r="BP212" s="3800"/>
      <c r="BQ212" s="3790"/>
      <c r="BR212" s="3790"/>
      <c r="BS212" s="3790"/>
      <c r="BT212" s="3790"/>
      <c r="BU212" s="3831"/>
    </row>
    <row r="213" spans="1:73" ht="38.25" customHeight="1" x14ac:dyDescent="0.25">
      <c r="A213" s="1620"/>
      <c r="B213" s="1769"/>
      <c r="C213" s="1619"/>
      <c r="D213" s="1769"/>
      <c r="G213" s="3819"/>
      <c r="H213" s="3822"/>
      <c r="I213" s="3819"/>
      <c r="J213" s="3822"/>
      <c r="K213" s="3819"/>
      <c r="L213" s="3825"/>
      <c r="M213" s="3819"/>
      <c r="N213" s="3825"/>
      <c r="O213" s="3870"/>
      <c r="P213" s="3870"/>
      <c r="Q213" s="2274"/>
      <c r="R213" s="3109"/>
      <c r="S213" s="3867"/>
      <c r="T213" s="3855"/>
      <c r="U213" s="2426"/>
      <c r="V213" s="2787"/>
      <c r="W213" s="2579"/>
      <c r="X213" s="1367">
        <v>672136357</v>
      </c>
      <c r="Y213" s="1367">
        <v>557227119</v>
      </c>
      <c r="Z213" s="1367">
        <v>393586634</v>
      </c>
      <c r="AA213" s="1546" t="s">
        <v>2945</v>
      </c>
      <c r="AB213" s="1792">
        <v>187</v>
      </c>
      <c r="AC213" s="1555" t="s">
        <v>2943</v>
      </c>
      <c r="AD213" s="3849"/>
      <c r="AE213" s="3843"/>
      <c r="AF213" s="3843"/>
      <c r="AG213" s="3007"/>
      <c r="AH213" s="3269"/>
      <c r="AI213" s="3843"/>
      <c r="AJ213" s="3843"/>
      <c r="AK213" s="3843"/>
      <c r="AL213" s="3843"/>
      <c r="AM213" s="3843"/>
      <c r="AN213" s="3843"/>
      <c r="AO213" s="3843"/>
      <c r="AP213" s="3843"/>
      <c r="AQ213" s="3843"/>
      <c r="AR213" s="3843"/>
      <c r="AS213" s="3843"/>
      <c r="AT213" s="3849"/>
      <c r="AU213" s="3849"/>
      <c r="AV213" s="3849"/>
      <c r="AW213" s="3849"/>
      <c r="AX213" s="3849"/>
      <c r="AY213" s="3849"/>
      <c r="AZ213" s="3849"/>
      <c r="BA213" s="3849"/>
      <c r="BB213" s="3849"/>
      <c r="BC213" s="3843"/>
      <c r="BD213" s="3843"/>
      <c r="BE213" s="3843"/>
      <c r="BF213" s="3843"/>
      <c r="BG213" s="3843"/>
      <c r="BH213" s="3237"/>
      <c r="BI213" s="3237"/>
      <c r="BJ213" s="3237"/>
      <c r="BK213" s="3846"/>
      <c r="BL213" s="3846"/>
      <c r="BM213" s="3839"/>
      <c r="BN213" s="3800"/>
      <c r="BO213" s="3800"/>
      <c r="BP213" s="3800"/>
      <c r="BQ213" s="3790"/>
      <c r="BR213" s="3790"/>
      <c r="BS213" s="3790"/>
      <c r="BT213" s="3790"/>
      <c r="BU213" s="3831"/>
    </row>
    <row r="214" spans="1:73" ht="39.75" customHeight="1" x14ac:dyDescent="0.25">
      <c r="A214" s="1620"/>
      <c r="B214" s="1769"/>
      <c r="C214" s="1619"/>
      <c r="D214" s="1769"/>
      <c r="G214" s="3820"/>
      <c r="H214" s="3823"/>
      <c r="I214" s="3820"/>
      <c r="J214" s="3823"/>
      <c r="K214" s="3820"/>
      <c r="L214" s="3826"/>
      <c r="M214" s="3820"/>
      <c r="N214" s="3826"/>
      <c r="O214" s="3870"/>
      <c r="P214" s="3870"/>
      <c r="Q214" s="2274"/>
      <c r="R214" s="3110"/>
      <c r="S214" s="3867"/>
      <c r="T214" s="3855"/>
      <c r="U214" s="2426"/>
      <c r="V214" s="2787"/>
      <c r="W214" s="2579"/>
      <c r="X214" s="1367">
        <v>261417900</v>
      </c>
      <c r="Y214" s="1367">
        <v>222497500.84</v>
      </c>
      <c r="Z214" s="1367">
        <v>159562166.12</v>
      </c>
      <c r="AA214" s="1546" t="s">
        <v>2946</v>
      </c>
      <c r="AB214" s="1793">
        <v>187</v>
      </c>
      <c r="AC214" s="1558" t="s">
        <v>2943</v>
      </c>
      <c r="AD214" s="3850"/>
      <c r="AE214" s="3843"/>
      <c r="AF214" s="3843"/>
      <c r="AG214" s="3008"/>
      <c r="AH214" s="3269"/>
      <c r="AI214" s="3843"/>
      <c r="AJ214" s="3843"/>
      <c r="AK214" s="3843"/>
      <c r="AL214" s="3843"/>
      <c r="AM214" s="3843"/>
      <c r="AN214" s="3843"/>
      <c r="AO214" s="3843"/>
      <c r="AP214" s="3843"/>
      <c r="AQ214" s="3843"/>
      <c r="AR214" s="3843"/>
      <c r="AS214" s="3843"/>
      <c r="AT214" s="3849"/>
      <c r="AU214" s="3849"/>
      <c r="AV214" s="3849"/>
      <c r="AW214" s="3849"/>
      <c r="AX214" s="3849"/>
      <c r="AY214" s="3849"/>
      <c r="AZ214" s="3849"/>
      <c r="BA214" s="3849"/>
      <c r="BB214" s="3849"/>
      <c r="BC214" s="3843"/>
      <c r="BD214" s="3843"/>
      <c r="BE214" s="3843"/>
      <c r="BF214" s="3843"/>
      <c r="BG214" s="3843"/>
      <c r="BH214" s="3237"/>
      <c r="BI214" s="3237"/>
      <c r="BJ214" s="3844"/>
      <c r="BK214" s="3847"/>
      <c r="BL214" s="3847"/>
      <c r="BM214" s="3840"/>
      <c r="BN214" s="3841"/>
      <c r="BO214" s="3841"/>
      <c r="BP214" s="3841"/>
      <c r="BQ214" s="3830"/>
      <c r="BR214" s="3830"/>
      <c r="BS214" s="3830"/>
      <c r="BT214" s="3830"/>
      <c r="BU214" s="3832"/>
    </row>
    <row r="215" spans="1:73" ht="18.75" customHeight="1" x14ac:dyDescent="0.25">
      <c r="A215" s="1620"/>
      <c r="B215" s="1769"/>
      <c r="C215" s="1619"/>
      <c r="D215" s="1769"/>
      <c r="E215" s="392">
        <v>2202</v>
      </c>
      <c r="F215" s="3065" t="s">
        <v>2947</v>
      </c>
      <c r="G215" s="2272"/>
      <c r="H215" s="2272"/>
      <c r="I215" s="2272"/>
      <c r="J215" s="2272"/>
      <c r="K215" s="2272"/>
      <c r="L215" s="2272"/>
      <c r="M215" s="2272"/>
      <c r="N215" s="2272"/>
      <c r="O215" s="2272"/>
      <c r="P215" s="2272"/>
      <c r="Q215" s="2272"/>
      <c r="R215" s="415"/>
      <c r="S215" s="392"/>
      <c r="T215" s="392"/>
      <c r="U215" s="935"/>
      <c r="V215" s="935"/>
      <c r="W215" s="935"/>
      <c r="X215" s="1794"/>
      <c r="Y215" s="1794"/>
      <c r="Z215" s="1794"/>
      <c r="AA215" s="1795"/>
      <c r="AB215" s="392"/>
      <c r="AC215" s="935"/>
      <c r="AD215" s="1756"/>
      <c r="AE215" s="1756"/>
      <c r="AF215" s="1756"/>
      <c r="AG215" s="1796"/>
      <c r="AH215" s="1796"/>
      <c r="AI215" s="1756"/>
      <c r="AJ215" s="1756"/>
      <c r="AK215" s="1756"/>
      <c r="AL215" s="1756"/>
      <c r="AM215" s="1756"/>
      <c r="AN215" s="1756"/>
      <c r="AO215" s="1756"/>
      <c r="AP215" s="1756"/>
      <c r="AQ215" s="1756"/>
      <c r="AR215" s="1756"/>
      <c r="AS215" s="1756"/>
      <c r="AT215" s="1756"/>
      <c r="AU215" s="1756"/>
      <c r="AV215" s="1756"/>
      <c r="AW215" s="1756"/>
      <c r="AX215" s="1756"/>
      <c r="AY215" s="1756"/>
      <c r="AZ215" s="1756"/>
      <c r="BA215" s="1756"/>
      <c r="BB215" s="1756"/>
      <c r="BC215" s="1756"/>
      <c r="BD215" s="1756"/>
      <c r="BE215" s="1756"/>
      <c r="BF215" s="1756"/>
      <c r="BG215" s="1756"/>
      <c r="BH215" s="1756"/>
      <c r="BI215" s="1756"/>
      <c r="BJ215" s="1756"/>
      <c r="BK215" s="1756"/>
      <c r="BL215" s="1756"/>
      <c r="BM215" s="1756"/>
      <c r="BN215" s="1756"/>
      <c r="BO215" s="1756"/>
      <c r="BP215" s="1756"/>
      <c r="BQ215" s="392"/>
      <c r="BR215" s="392"/>
      <c r="BS215" s="392"/>
      <c r="BT215" s="392"/>
      <c r="BU215" s="88"/>
    </row>
    <row r="216" spans="1:73" ht="171.75" customHeight="1" x14ac:dyDescent="0.25">
      <c r="A216" s="1626"/>
      <c r="B216" s="1797"/>
      <c r="C216" s="1625"/>
      <c r="D216" s="1797"/>
      <c r="G216" s="1798" t="s">
        <v>74</v>
      </c>
      <c r="H216" s="1544" t="s">
        <v>2948</v>
      </c>
      <c r="I216" s="1798" t="s">
        <v>2949</v>
      </c>
      <c r="J216" s="1544" t="s">
        <v>2948</v>
      </c>
      <c r="K216" s="1537" t="s">
        <v>74</v>
      </c>
      <c r="L216" s="1544" t="s">
        <v>2950</v>
      </c>
      <c r="M216" s="1537">
        <v>220200604</v>
      </c>
      <c r="N216" s="1544" t="s">
        <v>2951</v>
      </c>
      <c r="O216" s="1799">
        <v>2</v>
      </c>
      <c r="P216" s="1799">
        <v>2</v>
      </c>
      <c r="Q216" s="1562" t="s">
        <v>2952</v>
      </c>
      <c r="R216" s="1548" t="s">
        <v>2953</v>
      </c>
      <c r="S216" s="1800">
        <f>X216/T216</f>
        <v>1</v>
      </c>
      <c r="T216" s="1801">
        <f>SUM(X216)</f>
        <v>100000000</v>
      </c>
      <c r="U216" s="1559" t="s">
        <v>2954</v>
      </c>
      <c r="V216" s="1549" t="s">
        <v>2955</v>
      </c>
      <c r="W216" s="1802" t="s">
        <v>2956</v>
      </c>
      <c r="X216" s="1367">
        <v>100000000</v>
      </c>
      <c r="Y216" s="1367">
        <v>49701376</v>
      </c>
      <c r="Z216" s="1367">
        <v>49701376</v>
      </c>
      <c r="AA216" s="1546" t="s">
        <v>2957</v>
      </c>
      <c r="AB216" s="1803">
        <v>20</v>
      </c>
      <c r="AC216" s="1549" t="s">
        <v>86</v>
      </c>
      <c r="AD216" s="1804">
        <v>3994</v>
      </c>
      <c r="AE216" s="1804"/>
      <c r="AF216" s="1804">
        <v>3934</v>
      </c>
      <c r="AH216" s="1804">
        <v>1474</v>
      </c>
      <c r="AI216" s="1804"/>
      <c r="AJ216" s="1804">
        <v>6425</v>
      </c>
      <c r="AK216" s="1804"/>
      <c r="AL216" s="1804">
        <v>29</v>
      </c>
      <c r="AM216" s="1804"/>
      <c r="AN216" s="1804">
        <v>0</v>
      </c>
      <c r="AO216" s="1804"/>
      <c r="AP216" s="1804">
        <v>23</v>
      </c>
      <c r="AQ216" s="1804"/>
      <c r="AR216" s="1804">
        <v>101</v>
      </c>
      <c r="AS216" s="1804"/>
      <c r="AT216" s="1804">
        <v>0</v>
      </c>
      <c r="AU216" s="1804"/>
      <c r="AV216" s="1804">
        <v>0</v>
      </c>
      <c r="AW216" s="1804"/>
      <c r="AX216" s="1804">
        <v>0</v>
      </c>
      <c r="AY216" s="1804"/>
      <c r="AZ216" s="1804">
        <v>0</v>
      </c>
      <c r="BA216" s="1804"/>
      <c r="BB216" s="1804">
        <v>664</v>
      </c>
      <c r="BC216" s="1804"/>
      <c r="BD216" s="1804">
        <v>425</v>
      </c>
      <c r="BE216" s="1804"/>
      <c r="BF216" s="1804">
        <v>13</v>
      </c>
      <c r="BG216" s="1804"/>
      <c r="BH216" s="1804">
        <f>+AD216+AF216</f>
        <v>7928</v>
      </c>
      <c r="BI216" s="1804"/>
      <c r="BJ216" s="1804"/>
      <c r="BK216" s="1804">
        <f>SUM(Y216)</f>
        <v>49701376</v>
      </c>
      <c r="BL216" s="1804">
        <f>SUM(Z216)</f>
        <v>49701376</v>
      </c>
      <c r="BM216" s="1804"/>
      <c r="BN216" s="1804"/>
      <c r="BO216" s="1804"/>
      <c r="BP216" s="1804"/>
      <c r="BQ216" s="1805">
        <v>44198</v>
      </c>
      <c r="BR216" s="1805"/>
      <c r="BS216" s="1805">
        <v>44560</v>
      </c>
      <c r="BT216" s="1806"/>
      <c r="BU216" s="1807" t="s">
        <v>2590</v>
      </c>
    </row>
    <row r="217" spans="1:73" ht="17.25" customHeight="1" x14ac:dyDescent="0.25">
      <c r="A217" s="1808">
        <v>2</v>
      </c>
      <c r="B217" s="3810" t="s">
        <v>723</v>
      </c>
      <c r="C217" s="3811"/>
      <c r="D217" s="3811"/>
      <c r="E217" s="3811"/>
      <c r="F217" s="3811"/>
      <c r="G217" s="3811"/>
      <c r="H217" s="3811"/>
      <c r="I217" s="1809"/>
      <c r="J217" s="1810"/>
      <c r="K217" s="1809"/>
      <c r="L217" s="1810"/>
      <c r="M217" s="1809"/>
      <c r="N217" s="1810"/>
      <c r="O217" s="1809"/>
      <c r="P217" s="1809"/>
      <c r="Q217" s="1809"/>
      <c r="R217" s="1810"/>
      <c r="S217" s="1809"/>
      <c r="T217" s="1809"/>
      <c r="U217" s="1810"/>
      <c r="V217" s="1810"/>
      <c r="W217" s="1810"/>
      <c r="X217" s="1811"/>
      <c r="Y217" s="1811"/>
      <c r="Z217" s="1811"/>
      <c r="AA217" s="1812"/>
      <c r="AB217" s="1809"/>
      <c r="AC217" s="1810"/>
      <c r="AD217" s="1809"/>
      <c r="AE217" s="1809"/>
      <c r="AF217" s="1809"/>
      <c r="AG217" s="1809"/>
      <c r="AH217" s="1809"/>
      <c r="AI217" s="1809"/>
      <c r="AJ217" s="1809"/>
      <c r="AK217" s="1809"/>
      <c r="AL217" s="1809"/>
      <c r="AM217" s="1809"/>
      <c r="AN217" s="1809"/>
      <c r="AO217" s="1809"/>
      <c r="AP217" s="1809"/>
      <c r="AQ217" s="1809"/>
      <c r="AR217" s="1809"/>
      <c r="AS217" s="1809"/>
      <c r="AT217" s="1809"/>
      <c r="AU217" s="1809"/>
      <c r="AV217" s="1809"/>
      <c r="AW217" s="1809"/>
      <c r="AX217" s="1809"/>
      <c r="AY217" s="1809"/>
      <c r="AZ217" s="1809"/>
      <c r="BA217" s="1809"/>
      <c r="BB217" s="1809"/>
      <c r="BC217" s="1809"/>
      <c r="BD217" s="1809"/>
      <c r="BE217" s="1809"/>
      <c r="BF217" s="1809"/>
      <c r="BG217" s="1809"/>
      <c r="BH217" s="1809"/>
      <c r="BI217" s="1809"/>
      <c r="BJ217" s="1809"/>
      <c r="BK217" s="1809"/>
      <c r="BL217" s="1809"/>
      <c r="BM217" s="1809"/>
      <c r="BN217" s="1809"/>
      <c r="BO217" s="1809"/>
      <c r="BP217" s="1809"/>
      <c r="BQ217" s="1809"/>
      <c r="BR217" s="1809"/>
      <c r="BS217" s="1809"/>
      <c r="BT217" s="1809"/>
      <c r="BU217" s="1813"/>
    </row>
    <row r="218" spans="1:73" ht="17.25" customHeight="1" x14ac:dyDescent="0.25">
      <c r="A218" s="1814"/>
      <c r="B218" s="1815"/>
      <c r="C218" s="1816">
        <v>39</v>
      </c>
      <c r="D218" s="3812" t="s">
        <v>1844</v>
      </c>
      <c r="E218" s="3813"/>
      <c r="F218" s="3813"/>
      <c r="G218" s="3813"/>
      <c r="H218" s="1817"/>
      <c r="I218" s="1818"/>
      <c r="J218" s="1817"/>
      <c r="K218" s="1818"/>
      <c r="L218" s="1817"/>
      <c r="M218" s="1818"/>
      <c r="N218" s="1817"/>
      <c r="O218" s="1818"/>
      <c r="P218" s="1818"/>
      <c r="Q218" s="1818"/>
      <c r="R218" s="1817"/>
      <c r="S218" s="1818"/>
      <c r="T218" s="1818"/>
      <c r="U218" s="1817"/>
      <c r="V218" s="1817"/>
      <c r="W218" s="1817"/>
      <c r="X218" s="1819"/>
      <c r="Y218" s="1819"/>
      <c r="Z218" s="1819"/>
      <c r="AA218" s="1818"/>
      <c r="AB218" s="1818"/>
      <c r="AC218" s="1817"/>
      <c r="AD218" s="1818"/>
      <c r="AE218" s="1818"/>
      <c r="AF218" s="1818"/>
      <c r="AG218" s="1818"/>
      <c r="AH218" s="1818"/>
      <c r="AI218" s="1818"/>
      <c r="AJ218" s="1818"/>
      <c r="AK218" s="1818"/>
      <c r="AL218" s="1818"/>
      <c r="AM218" s="1818"/>
      <c r="AN218" s="1818"/>
      <c r="AO218" s="1818"/>
      <c r="AP218" s="1818"/>
      <c r="AQ218" s="1818"/>
      <c r="AR218" s="1818"/>
      <c r="AS218" s="1818"/>
      <c r="AT218" s="1818"/>
      <c r="AU218" s="1818"/>
      <c r="AV218" s="1818"/>
      <c r="AW218" s="1818"/>
      <c r="AX218" s="1818"/>
      <c r="AY218" s="1818"/>
      <c r="AZ218" s="1818"/>
      <c r="BA218" s="1818"/>
      <c r="BB218" s="1818"/>
      <c r="BC218" s="1818"/>
      <c r="BD218" s="1818"/>
      <c r="BE218" s="1818"/>
      <c r="BF218" s="1818"/>
      <c r="BG218" s="1818"/>
      <c r="BH218" s="1818"/>
      <c r="BI218" s="1818"/>
      <c r="BJ218" s="1818"/>
      <c r="BK218" s="1818"/>
      <c r="BL218" s="1818"/>
      <c r="BM218" s="1818"/>
      <c r="BN218" s="1818"/>
      <c r="BO218" s="1818"/>
      <c r="BP218" s="1818"/>
      <c r="BQ218" s="1818"/>
      <c r="BR218" s="1818"/>
      <c r="BS218" s="1818"/>
      <c r="BT218" s="1818"/>
      <c r="BU218" s="1820"/>
    </row>
    <row r="219" spans="1:73" ht="15.75" x14ac:dyDescent="0.25">
      <c r="A219" s="1620"/>
      <c r="B219" s="1769"/>
      <c r="C219" s="1821"/>
      <c r="D219" s="1822"/>
      <c r="E219" s="211">
        <v>3904</v>
      </c>
      <c r="F219" s="2620" t="s">
        <v>2958</v>
      </c>
      <c r="G219" s="2621"/>
      <c r="H219" s="2621"/>
      <c r="I219" s="2621"/>
      <c r="J219" s="2621"/>
      <c r="K219" s="2621"/>
      <c r="L219" s="2621"/>
      <c r="M219" s="2621"/>
      <c r="N219" s="2621"/>
      <c r="O219" s="2621"/>
      <c r="P219" s="2621"/>
      <c r="Q219" s="2621"/>
      <c r="R219" s="935"/>
      <c r="S219" s="392"/>
      <c r="T219" s="392"/>
      <c r="U219" s="935"/>
      <c r="V219" s="935"/>
      <c r="W219" s="935"/>
      <c r="X219" s="1794"/>
      <c r="Y219" s="1794"/>
      <c r="Z219" s="1794"/>
      <c r="AA219" s="1280"/>
      <c r="AB219" s="392"/>
      <c r="AC219" s="935"/>
      <c r="AD219" s="1756"/>
      <c r="AE219" s="1756"/>
      <c r="AF219" s="1756"/>
      <c r="AG219" s="1756"/>
      <c r="AH219" s="1756"/>
      <c r="AI219" s="1756"/>
      <c r="AJ219" s="1756"/>
      <c r="AK219" s="1756"/>
      <c r="AL219" s="1756"/>
      <c r="AM219" s="1756"/>
      <c r="AN219" s="1756"/>
      <c r="AO219" s="1756"/>
      <c r="AP219" s="1756"/>
      <c r="AQ219" s="1756"/>
      <c r="AR219" s="1756"/>
      <c r="AS219" s="1756"/>
      <c r="AT219" s="1756"/>
      <c r="AU219" s="1756"/>
      <c r="AV219" s="1756"/>
      <c r="AW219" s="1756"/>
      <c r="AX219" s="1756"/>
      <c r="AY219" s="1756"/>
      <c r="AZ219" s="1756"/>
      <c r="BA219" s="1756"/>
      <c r="BB219" s="1756"/>
      <c r="BC219" s="1756"/>
      <c r="BD219" s="1756"/>
      <c r="BE219" s="1756"/>
      <c r="BF219" s="1756"/>
      <c r="BG219" s="1756"/>
      <c r="BH219" s="1756"/>
      <c r="BI219" s="1756"/>
      <c r="BJ219" s="1756"/>
      <c r="BK219" s="1756"/>
      <c r="BL219" s="1756"/>
      <c r="BM219" s="1756"/>
      <c r="BN219" s="1756"/>
      <c r="BO219" s="1756"/>
      <c r="BP219" s="1756"/>
      <c r="BQ219" s="392"/>
      <c r="BR219" s="392"/>
      <c r="BS219" s="392"/>
      <c r="BT219" s="392"/>
      <c r="BU219" s="88"/>
    </row>
    <row r="220" spans="1:73" ht="110.25" customHeight="1" x14ac:dyDescent="0.25">
      <c r="A220" s="1620"/>
      <c r="B220" s="1769"/>
      <c r="C220" s="1619"/>
      <c r="D220" s="1769"/>
      <c r="E220" s="1821"/>
      <c r="F220" s="1822"/>
      <c r="G220" s="3814">
        <v>3904006</v>
      </c>
      <c r="H220" s="2427" t="s">
        <v>2959</v>
      </c>
      <c r="I220" s="3814">
        <v>3904006</v>
      </c>
      <c r="J220" s="2427" t="s">
        <v>2959</v>
      </c>
      <c r="K220" s="3322">
        <v>390400604</v>
      </c>
      <c r="L220" s="2974" t="s">
        <v>2960</v>
      </c>
      <c r="M220" s="3322">
        <v>390400604</v>
      </c>
      <c r="N220" s="2974" t="s">
        <v>2960</v>
      </c>
      <c r="O220" s="3806">
        <v>18</v>
      </c>
      <c r="P220" s="3806">
        <v>0</v>
      </c>
      <c r="Q220" s="3808" t="s">
        <v>2961</v>
      </c>
      <c r="R220" s="2426" t="s">
        <v>2962</v>
      </c>
      <c r="S220" s="3801">
        <f>SUM(X220:X221)/T220</f>
        <v>1</v>
      </c>
      <c r="T220" s="3802">
        <f>SUM(X220:X221)</f>
        <v>7500000</v>
      </c>
      <c r="U220" s="2426" t="s">
        <v>2963</v>
      </c>
      <c r="V220" s="2787" t="s">
        <v>2964</v>
      </c>
      <c r="W220" s="3803" t="s">
        <v>2965</v>
      </c>
      <c r="X220" s="1367">
        <v>5400000</v>
      </c>
      <c r="Y220" s="1367"/>
      <c r="Z220" s="1367"/>
      <c r="AA220" s="1546" t="s">
        <v>2966</v>
      </c>
      <c r="AB220" s="3804">
        <v>20</v>
      </c>
      <c r="AC220" s="2504" t="s">
        <v>86</v>
      </c>
      <c r="AD220" s="3794">
        <v>3994</v>
      </c>
      <c r="AE220" s="3794"/>
      <c r="AF220" s="3794">
        <v>3934</v>
      </c>
      <c r="AH220" s="3794">
        <v>1474</v>
      </c>
      <c r="AI220" s="3794"/>
      <c r="AJ220" s="3794">
        <v>6425</v>
      </c>
      <c r="AK220" s="3794"/>
      <c r="AL220" s="3794">
        <v>29</v>
      </c>
      <c r="AM220" s="3794"/>
      <c r="AN220" s="3794">
        <v>0</v>
      </c>
      <c r="AO220" s="3794"/>
      <c r="AP220" s="3794">
        <v>23</v>
      </c>
      <c r="AQ220" s="3794"/>
      <c r="AR220" s="3794">
        <v>101</v>
      </c>
      <c r="AS220" s="3794"/>
      <c r="AT220" s="3794">
        <v>0</v>
      </c>
      <c r="AU220" s="3794"/>
      <c r="AV220" s="3794">
        <v>0</v>
      </c>
      <c r="AW220" s="3794"/>
      <c r="AX220" s="3794">
        <v>0</v>
      </c>
      <c r="AY220" s="3794"/>
      <c r="AZ220" s="3794">
        <v>0</v>
      </c>
      <c r="BA220" s="3794"/>
      <c r="BB220" s="3794">
        <v>664</v>
      </c>
      <c r="BC220" s="3794"/>
      <c r="BD220" s="3794">
        <v>425</v>
      </c>
      <c r="BE220" s="3794"/>
      <c r="BF220" s="3794">
        <v>13</v>
      </c>
      <c r="BG220" s="3794"/>
      <c r="BH220" s="3794">
        <f>AD2173</f>
        <v>0</v>
      </c>
      <c r="BI220" s="3794"/>
      <c r="BJ220" s="3793"/>
      <c r="BK220" s="3793">
        <f>SUM(Y220:Y221)</f>
        <v>0</v>
      </c>
      <c r="BL220" s="3793">
        <f>SUM(Z220:Z221)</f>
        <v>0</v>
      </c>
      <c r="BM220" s="3793"/>
      <c r="BN220" s="3793"/>
      <c r="BO220" s="3793"/>
      <c r="BP220" s="3793"/>
      <c r="BQ220" s="3795">
        <v>44198</v>
      </c>
      <c r="BR220" s="3797"/>
      <c r="BS220" s="3795">
        <v>44560</v>
      </c>
      <c r="BT220" s="3789"/>
      <c r="BU220" s="3791" t="s">
        <v>2590</v>
      </c>
    </row>
    <row r="221" spans="1:73" ht="110.25" customHeight="1" x14ac:dyDescent="0.25">
      <c r="A221" s="1620"/>
      <c r="B221" s="1769"/>
      <c r="C221" s="1619"/>
      <c r="D221" s="1769"/>
      <c r="E221" s="1619"/>
      <c r="F221" s="1769"/>
      <c r="G221" s="3815"/>
      <c r="H221" s="2425"/>
      <c r="I221" s="3815"/>
      <c r="J221" s="2425"/>
      <c r="K221" s="3320"/>
      <c r="L221" s="2972"/>
      <c r="M221" s="3320"/>
      <c r="N221" s="2972"/>
      <c r="O221" s="3807"/>
      <c r="P221" s="3807"/>
      <c r="Q221" s="3809"/>
      <c r="R221" s="2426"/>
      <c r="S221" s="3801"/>
      <c r="T221" s="3802"/>
      <c r="U221" s="2426"/>
      <c r="V221" s="2787"/>
      <c r="W221" s="3803"/>
      <c r="X221" s="1823">
        <v>2100000</v>
      </c>
      <c r="Y221" s="1823"/>
      <c r="Z221" s="1823"/>
      <c r="AA221" s="1560" t="s">
        <v>2967</v>
      </c>
      <c r="AB221" s="3805"/>
      <c r="AC221" s="2299"/>
      <c r="AD221" s="3799"/>
      <c r="AE221" s="3799"/>
      <c r="AF221" s="3799"/>
      <c r="AH221" s="3799"/>
      <c r="AI221" s="3799"/>
      <c r="AJ221" s="3799"/>
      <c r="AK221" s="3799"/>
      <c r="AL221" s="3799"/>
      <c r="AM221" s="3799"/>
      <c r="AN221" s="3799"/>
      <c r="AO221" s="3799"/>
      <c r="AP221" s="3799"/>
      <c r="AQ221" s="3799"/>
      <c r="AR221" s="3799"/>
      <c r="AS221" s="3799"/>
      <c r="AT221" s="3799"/>
      <c r="AU221" s="3799"/>
      <c r="AV221" s="3799"/>
      <c r="AW221" s="3799"/>
      <c r="AX221" s="3799"/>
      <c r="AY221" s="3799"/>
      <c r="AZ221" s="3799"/>
      <c r="BA221" s="3799"/>
      <c r="BB221" s="3799"/>
      <c r="BC221" s="3799"/>
      <c r="BD221" s="3799"/>
      <c r="BE221" s="3799"/>
      <c r="BF221" s="3799"/>
      <c r="BG221" s="3799"/>
      <c r="BH221" s="3799"/>
      <c r="BI221" s="3799"/>
      <c r="BJ221" s="3800"/>
      <c r="BK221" s="3794"/>
      <c r="BL221" s="3794"/>
      <c r="BM221" s="3794"/>
      <c r="BN221" s="3794"/>
      <c r="BO221" s="3794"/>
      <c r="BP221" s="3794"/>
      <c r="BQ221" s="3796"/>
      <c r="BR221" s="3798"/>
      <c r="BS221" s="3796"/>
      <c r="BT221" s="3790"/>
      <c r="BU221" s="3792"/>
    </row>
    <row r="222" spans="1:73" ht="31.5" customHeight="1" x14ac:dyDescent="0.25">
      <c r="A222" s="1824"/>
      <c r="B222" s="1825"/>
      <c r="C222" s="1825"/>
      <c r="D222" s="1825"/>
      <c r="E222" s="1825"/>
      <c r="F222" s="1825"/>
      <c r="G222" s="1825"/>
      <c r="H222" s="1826"/>
      <c r="I222" s="1825"/>
      <c r="J222" s="1826"/>
      <c r="K222" s="1825"/>
      <c r="L222" s="1826"/>
      <c r="M222" s="1825"/>
      <c r="N222" s="1826"/>
      <c r="O222" s="1825"/>
      <c r="P222" s="1825"/>
      <c r="Q222" s="1825"/>
      <c r="R222" s="1826"/>
      <c r="S222" s="1827"/>
      <c r="T222" s="1828">
        <f>SUM(T10:T221)</f>
        <v>190698739865.30334</v>
      </c>
      <c r="U222" s="1826"/>
      <c r="V222" s="1826"/>
      <c r="W222" s="1829" t="s">
        <v>127</v>
      </c>
      <c r="X222" s="1830">
        <f>SUM(X10:X221)</f>
        <v>190698739865.30334</v>
      </c>
      <c r="Y222" s="1830">
        <f>SUM(Y10:Y221)</f>
        <v>90709955605.089996</v>
      </c>
      <c r="Z222" s="1830">
        <f>SUM(Z10:Z221)</f>
        <v>80846994311.110001</v>
      </c>
      <c r="AA222" s="1831"/>
      <c r="AB222" s="1824"/>
      <c r="AC222" s="1826"/>
      <c r="AD222" s="1826"/>
      <c r="AE222" s="1826"/>
      <c r="AF222" s="1826"/>
      <c r="AG222" s="1826"/>
      <c r="AH222" s="1826"/>
      <c r="AI222" s="1826"/>
      <c r="AJ222" s="1826"/>
      <c r="AK222" s="1826"/>
      <c r="AL222" s="1826"/>
      <c r="AM222" s="1826"/>
      <c r="AN222" s="1826"/>
      <c r="AO222" s="1826"/>
      <c r="AP222" s="1826"/>
      <c r="AQ222" s="1826"/>
      <c r="AR222" s="1826"/>
      <c r="AS222" s="1826"/>
      <c r="AT222" s="1826"/>
      <c r="AU222" s="1826"/>
      <c r="AV222" s="1826"/>
      <c r="AW222" s="1826"/>
      <c r="AX222" s="1826"/>
      <c r="AY222" s="1826"/>
      <c r="AZ222" s="1826"/>
      <c r="BA222" s="1826"/>
      <c r="BB222" s="1826"/>
      <c r="BC222" s="1826"/>
      <c r="BD222" s="1826"/>
      <c r="BE222" s="1826"/>
      <c r="BF222" s="1826"/>
      <c r="BG222" s="1826"/>
      <c r="BH222" s="1826"/>
      <c r="BI222" s="1826"/>
      <c r="BJ222" s="1832"/>
      <c r="BK222" s="1830">
        <f>SUM(BK13:BK221)</f>
        <v>90709955605.089996</v>
      </c>
      <c r="BL222" s="1830">
        <f>SUM(BL13:BL221)</f>
        <v>80846994311.110001</v>
      </c>
      <c r="BM222" s="1833"/>
      <c r="BN222" s="1833"/>
      <c r="BO222" s="1833"/>
      <c r="BP222" s="1833"/>
      <c r="BQ222" s="1833"/>
      <c r="BR222" s="1826"/>
      <c r="BS222" s="1826"/>
      <c r="BT222" s="1826"/>
      <c r="BU222" s="1826"/>
    </row>
    <row r="223" spans="1:73" x14ac:dyDescent="0.25">
      <c r="X223" s="1838"/>
      <c r="Y223" s="1838"/>
      <c r="Z223" s="1838"/>
      <c r="AA223" s="1839"/>
    </row>
    <row r="224" spans="1:73" x14ac:dyDescent="0.25">
      <c r="X224" s="1842"/>
      <c r="Y224" s="1838"/>
      <c r="Z224" s="1838"/>
    </row>
    <row r="227" spans="1:93" x14ac:dyDescent="0.25">
      <c r="BK227" s="1845"/>
      <c r="BL227" s="1845"/>
    </row>
    <row r="228" spans="1:93" x14ac:dyDescent="0.25">
      <c r="X228" s="1842"/>
    </row>
    <row r="231" spans="1:93" x14ac:dyDescent="0.25">
      <c r="BK231" s="1846"/>
      <c r="BL231" s="1846"/>
    </row>
    <row r="233" spans="1:93" x14ac:dyDescent="0.25">
      <c r="BK233" s="1847"/>
      <c r="BL233" s="1847"/>
    </row>
    <row r="235" spans="1:93" s="1835" customFormat="1" ht="15.75" x14ac:dyDescent="0.25">
      <c r="A235" s="1834"/>
      <c r="B235" s="1717"/>
      <c r="C235" s="1717"/>
      <c r="D235" s="1717"/>
      <c r="E235" s="1717"/>
      <c r="F235" s="1848"/>
      <c r="G235" s="1717"/>
      <c r="I235" s="1717"/>
      <c r="K235" s="1716"/>
      <c r="L235" s="1849"/>
      <c r="M235" s="1716"/>
      <c r="N235" s="1849"/>
      <c r="O235" s="1717"/>
      <c r="P235" s="1717"/>
      <c r="Q235" s="1717"/>
      <c r="S235" s="1836"/>
      <c r="T235" s="1837"/>
      <c r="X235" s="1844"/>
      <c r="Y235" s="1844"/>
      <c r="Z235" s="1844"/>
      <c r="AA235" s="1843"/>
      <c r="AB235" s="1840"/>
      <c r="AD235" s="1717"/>
      <c r="AE235" s="1717"/>
      <c r="AF235" s="1717"/>
      <c r="AG235" s="1717"/>
      <c r="AH235" s="1717"/>
      <c r="AI235" s="1717"/>
      <c r="AJ235" s="1717"/>
      <c r="AK235" s="1717"/>
      <c r="AL235" s="1717"/>
      <c r="AM235" s="1717"/>
      <c r="AN235" s="1717"/>
      <c r="AO235" s="1717"/>
      <c r="AP235" s="1717"/>
      <c r="AQ235" s="1717"/>
      <c r="AR235" s="1717"/>
      <c r="AS235" s="1717"/>
      <c r="AT235" s="1717"/>
      <c r="AU235" s="1717"/>
      <c r="AV235" s="1717"/>
      <c r="AW235" s="1717"/>
      <c r="AX235" s="1717"/>
      <c r="AY235" s="1717"/>
      <c r="AZ235" s="1717"/>
      <c r="BA235" s="1717"/>
      <c r="BB235" s="1717"/>
      <c r="BC235" s="1717"/>
      <c r="BD235" s="1717"/>
      <c r="BE235" s="1717"/>
      <c r="BF235" s="1717"/>
      <c r="BG235" s="1717"/>
      <c r="BH235" s="1717"/>
      <c r="BI235" s="1717"/>
      <c r="BJ235" s="1717"/>
      <c r="BK235" s="1717"/>
      <c r="BL235" s="1717"/>
      <c r="BM235" s="1717"/>
      <c r="BN235" s="1717"/>
      <c r="BO235" s="1717"/>
      <c r="BP235" s="1717"/>
      <c r="BQ235" s="1841"/>
      <c r="BR235" s="1841"/>
      <c r="BS235" s="1841"/>
      <c r="BT235" s="1841"/>
      <c r="BU235" s="1717"/>
      <c r="BV235" s="1717"/>
      <c r="BW235" s="1717"/>
      <c r="BX235" s="1717"/>
      <c r="BY235" s="1717"/>
      <c r="BZ235" s="1717"/>
      <c r="CA235" s="1717"/>
      <c r="CB235" s="1717"/>
      <c r="CC235" s="1717"/>
      <c r="CD235" s="1717"/>
      <c r="CE235" s="1717"/>
      <c r="CF235" s="1717"/>
      <c r="CG235" s="1717"/>
      <c r="CH235" s="1717"/>
      <c r="CI235" s="1717"/>
      <c r="CJ235" s="1717"/>
      <c r="CK235" s="1717"/>
      <c r="CL235" s="1717"/>
      <c r="CM235" s="1717"/>
      <c r="CN235" s="1717"/>
      <c r="CO235" s="1717"/>
    </row>
    <row r="236" spans="1:93" s="1835" customFormat="1" ht="15.75" x14ac:dyDescent="0.25">
      <c r="A236" s="1834"/>
      <c r="B236" s="1717"/>
      <c r="C236" s="1717"/>
      <c r="D236" s="1717"/>
      <c r="E236" s="1717"/>
      <c r="F236" s="62"/>
      <c r="G236" s="1717"/>
      <c r="I236" s="1717"/>
      <c r="K236" s="1716"/>
      <c r="L236" s="1849"/>
      <c r="M236" s="1716"/>
      <c r="N236" s="1849"/>
      <c r="O236" s="1717"/>
      <c r="P236" s="1717"/>
      <c r="Q236" s="1717"/>
      <c r="S236" s="1836"/>
      <c r="T236" s="1837"/>
      <c r="X236" s="1844"/>
      <c r="Y236" s="1844"/>
      <c r="Z236" s="1844"/>
      <c r="AA236" s="1843"/>
      <c r="AB236" s="1840"/>
      <c r="AD236" s="1717"/>
      <c r="AE236" s="1717"/>
      <c r="AF236" s="1717"/>
      <c r="AG236" s="1717"/>
      <c r="AH236" s="1717"/>
      <c r="AI236" s="1717"/>
      <c r="AJ236" s="1717"/>
      <c r="AK236" s="1717"/>
      <c r="AL236" s="1717"/>
      <c r="AM236" s="1717"/>
      <c r="AN236" s="1717"/>
      <c r="AO236" s="1717"/>
      <c r="AP236" s="1717"/>
      <c r="AQ236" s="1717"/>
      <c r="AR236" s="1717"/>
      <c r="AS236" s="1717"/>
      <c r="AT236" s="1717"/>
      <c r="AU236" s="1717"/>
      <c r="AV236" s="1717"/>
      <c r="AW236" s="1717"/>
      <c r="AX236" s="1717"/>
      <c r="AY236" s="1717"/>
      <c r="AZ236" s="1717"/>
      <c r="BA236" s="1717"/>
      <c r="BB236" s="1717"/>
      <c r="BC236" s="1717"/>
      <c r="BD236" s="1717"/>
      <c r="BE236" s="1717"/>
      <c r="BF236" s="1717"/>
      <c r="BG236" s="1717"/>
      <c r="BH236" s="1717"/>
      <c r="BI236" s="1717"/>
      <c r="BJ236" s="1717"/>
      <c r="BK236" s="1717"/>
      <c r="BL236" s="1717"/>
      <c r="BM236" s="1717"/>
      <c r="BN236" s="1717"/>
      <c r="BO236" s="1717"/>
      <c r="BP236" s="1717"/>
      <c r="BQ236" s="1841"/>
      <c r="BR236" s="1841"/>
      <c r="BS236" s="1841"/>
      <c r="BT236" s="1841"/>
      <c r="BU236" s="1717"/>
      <c r="BV236" s="1717"/>
      <c r="BW236" s="1717"/>
      <c r="BX236" s="1717"/>
      <c r="BY236" s="1717"/>
      <c r="BZ236" s="1717"/>
      <c r="CA236" s="1717"/>
      <c r="CB236" s="1717"/>
      <c r="CC236" s="1717"/>
      <c r="CD236" s="1717"/>
      <c r="CE236" s="1717"/>
      <c r="CF236" s="1717"/>
      <c r="CG236" s="1717"/>
      <c r="CH236" s="1717"/>
      <c r="CI236" s="1717"/>
      <c r="CJ236" s="1717"/>
      <c r="CK236" s="1717"/>
      <c r="CL236" s="1717"/>
      <c r="CM236" s="1717"/>
      <c r="CN236" s="1717"/>
      <c r="CO236" s="1717"/>
    </row>
    <row r="237" spans="1:93" s="1835" customFormat="1" x14ac:dyDescent="0.25">
      <c r="A237" s="1834"/>
      <c r="B237" s="1717"/>
      <c r="C237" s="1717"/>
      <c r="D237" s="1717"/>
      <c r="E237" s="1717"/>
      <c r="F237" s="1717"/>
      <c r="G237" s="1717"/>
      <c r="I237" s="1717"/>
      <c r="K237" s="1716"/>
      <c r="L237" s="1849"/>
      <c r="M237" s="1716"/>
      <c r="N237" s="1849"/>
      <c r="O237" s="1717"/>
      <c r="P237" s="1717"/>
      <c r="Q237" s="1717"/>
      <c r="S237" s="1836"/>
      <c r="T237" s="1837"/>
      <c r="X237" s="1844"/>
      <c r="Y237" s="1844"/>
      <c r="Z237" s="1844"/>
      <c r="AA237" s="1843"/>
      <c r="AB237" s="1840"/>
      <c r="AD237" s="1717"/>
      <c r="AE237" s="1717"/>
      <c r="AF237" s="1717"/>
      <c r="AG237" s="1717"/>
      <c r="AH237" s="1717"/>
      <c r="AI237" s="1717"/>
      <c r="AJ237" s="1717"/>
      <c r="AK237" s="1717"/>
      <c r="AL237" s="1717"/>
      <c r="AM237" s="1717"/>
      <c r="AN237" s="1717"/>
      <c r="AO237" s="1717"/>
      <c r="AP237" s="1717"/>
      <c r="AQ237" s="1717"/>
      <c r="AR237" s="1717"/>
      <c r="AS237" s="1717"/>
      <c r="AT237" s="1717"/>
      <c r="AU237" s="1717"/>
      <c r="AV237" s="1717"/>
      <c r="AW237" s="1717"/>
      <c r="AX237" s="1717"/>
      <c r="AY237" s="1717"/>
      <c r="AZ237" s="1717"/>
      <c r="BA237" s="1717"/>
      <c r="BB237" s="1717"/>
      <c r="BC237" s="1717"/>
      <c r="BD237" s="1717"/>
      <c r="BE237" s="1717"/>
      <c r="BF237" s="1717"/>
      <c r="BG237" s="1717"/>
      <c r="BH237" s="1717"/>
      <c r="BI237" s="1717"/>
      <c r="BJ237" s="1717"/>
      <c r="BK237" s="1717"/>
      <c r="BL237" s="1717"/>
      <c r="BM237" s="1717"/>
      <c r="BN237" s="1717"/>
      <c r="BO237" s="1717"/>
      <c r="BP237" s="1717"/>
      <c r="BQ237" s="1841"/>
      <c r="BR237" s="1841"/>
      <c r="BS237" s="1841"/>
      <c r="BT237" s="1841"/>
      <c r="BU237" s="1717"/>
      <c r="BV237" s="1717"/>
      <c r="BW237" s="1717"/>
      <c r="BX237" s="1717"/>
      <c r="BY237" s="1717"/>
      <c r="BZ237" s="1717"/>
      <c r="CA237" s="1717"/>
      <c r="CB237" s="1717"/>
      <c r="CC237" s="1717"/>
      <c r="CD237" s="1717"/>
      <c r="CE237" s="1717"/>
      <c r="CF237" s="1717"/>
      <c r="CG237" s="1717"/>
      <c r="CH237" s="1717"/>
      <c r="CI237" s="1717"/>
      <c r="CJ237" s="1717"/>
      <c r="CK237" s="1717"/>
      <c r="CL237" s="1717"/>
      <c r="CM237" s="1717"/>
      <c r="CN237" s="1717"/>
      <c r="CO237" s="1717"/>
    </row>
    <row r="238" spans="1:93" s="1835" customFormat="1" x14ac:dyDescent="0.25">
      <c r="A238" s="1834"/>
      <c r="B238" s="1717"/>
      <c r="C238" s="1717"/>
      <c r="D238" s="1717"/>
      <c r="E238" s="1717"/>
      <c r="F238" s="1717"/>
      <c r="G238" s="1717"/>
      <c r="I238" s="1717"/>
      <c r="K238" s="1716"/>
      <c r="L238" s="1849"/>
      <c r="M238" s="1716"/>
      <c r="N238" s="1849"/>
      <c r="O238" s="1717"/>
      <c r="P238" s="1717"/>
      <c r="Q238" s="1717"/>
      <c r="S238" s="1836"/>
      <c r="T238" s="1837"/>
      <c r="V238" s="1850"/>
      <c r="X238" s="1844"/>
      <c r="Y238" s="1844"/>
      <c r="Z238" s="1844"/>
      <c r="AA238" s="1843"/>
      <c r="AB238" s="1840"/>
      <c r="AD238" s="1717"/>
      <c r="AE238" s="1717"/>
      <c r="AF238" s="1717"/>
      <c r="AG238" s="1717"/>
      <c r="AH238" s="1717"/>
      <c r="AI238" s="1717"/>
      <c r="AJ238" s="1717"/>
      <c r="AK238" s="1717"/>
      <c r="AL238" s="1717"/>
      <c r="AM238" s="1717"/>
      <c r="AN238" s="1717"/>
      <c r="AO238" s="1717"/>
      <c r="AP238" s="1717"/>
      <c r="AQ238" s="1717"/>
      <c r="AR238" s="1717"/>
      <c r="AS238" s="1717"/>
      <c r="AT238" s="1717"/>
      <c r="AU238" s="1717"/>
      <c r="AV238" s="1717"/>
      <c r="AW238" s="1717"/>
      <c r="AX238" s="1717"/>
      <c r="AY238" s="1717"/>
      <c r="AZ238" s="1717"/>
      <c r="BA238" s="1717"/>
      <c r="BB238" s="1717"/>
      <c r="BC238" s="1717"/>
      <c r="BD238" s="1717"/>
      <c r="BE238" s="1717"/>
      <c r="BF238" s="1717"/>
      <c r="BG238" s="1717"/>
      <c r="BH238" s="1717"/>
      <c r="BI238" s="1717"/>
      <c r="BJ238" s="1717"/>
      <c r="BK238" s="1717"/>
      <c r="BL238" s="1717"/>
      <c r="BM238" s="1717"/>
      <c r="BN238" s="1717"/>
      <c r="BO238" s="1717"/>
      <c r="BP238" s="1717"/>
      <c r="BQ238" s="1841"/>
      <c r="BR238" s="1841"/>
      <c r="BS238" s="1841"/>
      <c r="BT238" s="1841"/>
      <c r="BU238" s="1717"/>
      <c r="BV238" s="1717"/>
      <c r="BW238" s="1717"/>
      <c r="BX238" s="1717"/>
      <c r="BY238" s="1717"/>
      <c r="BZ238" s="1717"/>
      <c r="CA238" s="1717"/>
      <c r="CB238" s="1717"/>
      <c r="CC238" s="1717"/>
      <c r="CD238" s="1717"/>
      <c r="CE238" s="1717"/>
      <c r="CF238" s="1717"/>
      <c r="CG238" s="1717"/>
      <c r="CH238" s="1717"/>
      <c r="CI238" s="1717"/>
      <c r="CJ238" s="1717"/>
      <c r="CK238" s="1717"/>
      <c r="CL238" s="1717"/>
      <c r="CM238" s="1717"/>
      <c r="CN238" s="1717"/>
      <c r="CO238" s="1717"/>
    </row>
    <row r="239" spans="1:93" s="1835" customFormat="1" x14ac:dyDescent="0.25">
      <c r="A239" s="1834"/>
      <c r="B239" s="1717"/>
      <c r="C239" s="1717"/>
      <c r="D239" s="1717"/>
      <c r="E239" s="1717"/>
      <c r="F239" s="1717"/>
      <c r="G239" s="1717"/>
      <c r="I239" s="1717"/>
      <c r="K239" s="1716"/>
      <c r="L239" s="1849"/>
      <c r="M239" s="1716"/>
      <c r="N239" s="1849"/>
      <c r="O239" s="1717"/>
      <c r="P239" s="1717"/>
      <c r="Q239" s="1717"/>
      <c r="S239" s="1836"/>
      <c r="T239" s="1837"/>
      <c r="X239" s="1844"/>
      <c r="Y239" s="1844"/>
      <c r="Z239" s="1844"/>
      <c r="AA239" s="1843"/>
      <c r="AB239" s="1840"/>
      <c r="AD239" s="1717"/>
      <c r="AE239" s="1717"/>
      <c r="AF239" s="1717"/>
      <c r="AG239" s="1717"/>
      <c r="AH239" s="1717"/>
      <c r="AI239" s="1717"/>
      <c r="AJ239" s="1717"/>
      <c r="AK239" s="1717"/>
      <c r="AL239" s="1717"/>
      <c r="AM239" s="1717"/>
      <c r="AN239" s="1717"/>
      <c r="AO239" s="1717"/>
      <c r="AP239" s="1717"/>
      <c r="AQ239" s="1717"/>
      <c r="AR239" s="1717"/>
      <c r="AS239" s="1717"/>
      <c r="AT239" s="1717"/>
      <c r="AU239" s="1717"/>
      <c r="AV239" s="1717"/>
      <c r="AW239" s="1717"/>
      <c r="AX239" s="1717"/>
      <c r="AY239" s="1717"/>
      <c r="AZ239" s="1717"/>
      <c r="BA239" s="1717"/>
      <c r="BB239" s="1717"/>
      <c r="BC239" s="1717"/>
      <c r="BD239" s="1717"/>
      <c r="BE239" s="1717"/>
      <c r="BF239" s="1717"/>
      <c r="BG239" s="1717"/>
      <c r="BH239" s="1717"/>
      <c r="BI239" s="1717"/>
      <c r="BJ239" s="1717"/>
      <c r="BK239" s="1717"/>
      <c r="BL239" s="1717"/>
      <c r="BM239" s="1717"/>
      <c r="BN239" s="1717"/>
      <c r="BO239" s="1717"/>
      <c r="BP239" s="1717"/>
      <c r="BQ239" s="1841"/>
      <c r="BR239" s="1841"/>
      <c r="BS239" s="1841"/>
      <c r="BT239" s="1841"/>
      <c r="BU239" s="1717"/>
      <c r="BV239" s="1717"/>
      <c r="BW239" s="1717"/>
      <c r="BX239" s="1717"/>
      <c r="BY239" s="1717"/>
      <c r="BZ239" s="1717"/>
      <c r="CA239" s="1717"/>
      <c r="CB239" s="1717"/>
      <c r="CC239" s="1717"/>
      <c r="CD239" s="1717"/>
      <c r="CE239" s="1717"/>
      <c r="CF239" s="1717"/>
      <c r="CG239" s="1717"/>
      <c r="CH239" s="1717"/>
      <c r="CI239" s="1717"/>
      <c r="CJ239" s="1717"/>
      <c r="CK239" s="1717"/>
      <c r="CL239" s="1717"/>
      <c r="CM239" s="1717"/>
      <c r="CN239" s="1717"/>
      <c r="CO239" s="1717"/>
    </row>
  </sheetData>
  <sheetProtection algorithmName="SHA-512" hashValue="zEtiT8xTSVm2qrt30s7l7mPXqP8v/7mlpNS5ljNRzSbuTqCfddEXzgvPEE2GU79IwAnY8TwIZSEh1iPFCMj23w==" saltValue="hjaLKTRw1nrXTWh3FQ49RQ==" spinCount="100000" sheet="1" objects="1" scenarios="1"/>
  <mergeCells count="848">
    <mergeCell ref="A1:BI4"/>
    <mergeCell ref="A5:O6"/>
    <mergeCell ref="Q5:BU5"/>
    <mergeCell ref="AD6:BF6"/>
    <mergeCell ref="A7:B7"/>
    <mergeCell ref="C7:D7"/>
    <mergeCell ref="E7:F7"/>
    <mergeCell ref="G7:J7"/>
    <mergeCell ref="K7:N7"/>
    <mergeCell ref="O7:Z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H7:BI8"/>
    <mergeCell ref="AB8:AB9"/>
    <mergeCell ref="AC8:AC9"/>
    <mergeCell ref="AD8:AE8"/>
    <mergeCell ref="AF8:AG8"/>
    <mergeCell ref="M8:M9"/>
    <mergeCell ref="N8:N9"/>
    <mergeCell ref="O8:P8"/>
    <mergeCell ref="Q8:Q9"/>
    <mergeCell ref="R8:R9"/>
    <mergeCell ref="S8:S9"/>
    <mergeCell ref="AR8:AS8"/>
    <mergeCell ref="AN8:AO8"/>
    <mergeCell ref="AP8:AQ8"/>
    <mergeCell ref="T8:T9"/>
    <mergeCell ref="U8:U9"/>
    <mergeCell ref="V8:V9"/>
    <mergeCell ref="W8:W9"/>
    <mergeCell ref="X8:Z8"/>
    <mergeCell ref="AA8:AA9"/>
    <mergeCell ref="BB7:BG7"/>
    <mergeCell ref="AH8:AI8"/>
    <mergeCell ref="AJ8:AK8"/>
    <mergeCell ref="G8:G9"/>
    <mergeCell ref="H8:H9"/>
    <mergeCell ref="I8:I9"/>
    <mergeCell ref="J8:J9"/>
    <mergeCell ref="K8:K9"/>
    <mergeCell ref="L8:L9"/>
    <mergeCell ref="AL8:AM8"/>
    <mergeCell ref="M40:M41"/>
    <mergeCell ref="N40:N41"/>
    <mergeCell ref="BP8:BP9"/>
    <mergeCell ref="B10:G10"/>
    <mergeCell ref="AD10:BH10"/>
    <mergeCell ref="A12:B41"/>
    <mergeCell ref="F12:S12"/>
    <mergeCell ref="G13:G16"/>
    <mergeCell ref="H13:H16"/>
    <mergeCell ref="I13:I16"/>
    <mergeCell ref="J13:J16"/>
    <mergeCell ref="K13:K16"/>
    <mergeCell ref="BF8:BG8"/>
    <mergeCell ref="BJ8:BJ9"/>
    <mergeCell ref="BK8:BK9"/>
    <mergeCell ref="BL8:BL9"/>
    <mergeCell ref="BM8:BM9"/>
    <mergeCell ref="BN8:BO8"/>
    <mergeCell ref="AT8:AU8"/>
    <mergeCell ref="AV8:AW8"/>
    <mergeCell ref="AX8:AY8"/>
    <mergeCell ref="AZ8:BA8"/>
    <mergeCell ref="BB8:BC8"/>
    <mergeCell ref="BD8:BE8"/>
    <mergeCell ref="O21:O24"/>
    <mergeCell ref="P21:P24"/>
    <mergeCell ref="M25:M27"/>
    <mergeCell ref="N25:N27"/>
    <mergeCell ref="O25:O27"/>
    <mergeCell ref="P25:P27"/>
    <mergeCell ref="O32:O36"/>
    <mergeCell ref="P32:P36"/>
    <mergeCell ref="O28:O31"/>
    <mergeCell ref="P28:P31"/>
    <mergeCell ref="AJ13:AJ41"/>
    <mergeCell ref="AK13:AK41"/>
    <mergeCell ref="AL13:AL41"/>
    <mergeCell ref="AM13:AM41"/>
    <mergeCell ref="AB13:AB16"/>
    <mergeCell ref="AC13:AC16"/>
    <mergeCell ref="AD13:AD41"/>
    <mergeCell ref="AE13:AE41"/>
    <mergeCell ref="AF13:AF41"/>
    <mergeCell ref="AG13:AG41"/>
    <mergeCell ref="AB17:AB20"/>
    <mergeCell ref="AC17:AC20"/>
    <mergeCell ref="AB21:AB24"/>
    <mergeCell ref="AC21:AC24"/>
    <mergeCell ref="AC25:AC27"/>
    <mergeCell ref="AC28:AC31"/>
    <mergeCell ref="AN13:AN41"/>
    <mergeCell ref="AO13:AO41"/>
    <mergeCell ref="AP13:AP41"/>
    <mergeCell ref="AQ13:AQ41"/>
    <mergeCell ref="AR13:AR41"/>
    <mergeCell ref="AS13:AS41"/>
    <mergeCell ref="AH13:AH41"/>
    <mergeCell ref="AI13:AI41"/>
    <mergeCell ref="BU13:BU41"/>
    <mergeCell ref="BL13:BL41"/>
    <mergeCell ref="BM13:BM41"/>
    <mergeCell ref="BN13:BN41"/>
    <mergeCell ref="BO13:BO41"/>
    <mergeCell ref="BP13:BP41"/>
    <mergeCell ref="BQ13:BQ41"/>
    <mergeCell ref="BF13:BF41"/>
    <mergeCell ref="BG13:BG41"/>
    <mergeCell ref="BH13:BH41"/>
    <mergeCell ref="BI13:BI41"/>
    <mergeCell ref="BJ13:BJ41"/>
    <mergeCell ref="BK13:BK41"/>
    <mergeCell ref="AZ13:AZ41"/>
    <mergeCell ref="BA13:BA41"/>
    <mergeCell ref="BB13:BB41"/>
    <mergeCell ref="BR13:BR41"/>
    <mergeCell ref="BS13:BS41"/>
    <mergeCell ref="BT13:BT41"/>
    <mergeCell ref="BE13:BE41"/>
    <mergeCell ref="AT13:AT41"/>
    <mergeCell ref="AU13:AU41"/>
    <mergeCell ref="AV13:AV41"/>
    <mergeCell ref="AW13:AW41"/>
    <mergeCell ref="AX13:AX41"/>
    <mergeCell ref="AY13:AY41"/>
    <mergeCell ref="BC13:BC41"/>
    <mergeCell ref="BD13:BD41"/>
    <mergeCell ref="AB25:AB27"/>
    <mergeCell ref="W13:W16"/>
    <mergeCell ref="S17:S20"/>
    <mergeCell ref="V17:V20"/>
    <mergeCell ref="W17:W20"/>
    <mergeCell ref="W21:W24"/>
    <mergeCell ref="S21:S24"/>
    <mergeCell ref="V21:V31"/>
    <mergeCell ref="S32:S36"/>
    <mergeCell ref="V32:V37"/>
    <mergeCell ref="W32:W36"/>
    <mergeCell ref="AB28:AB31"/>
    <mergeCell ref="S28:S31"/>
    <mergeCell ref="W28:W31"/>
    <mergeCell ref="G25:G27"/>
    <mergeCell ref="H25:H27"/>
    <mergeCell ref="I25:I27"/>
    <mergeCell ref="J25:J27"/>
    <mergeCell ref="K25:K27"/>
    <mergeCell ref="L25:L27"/>
    <mergeCell ref="R13:R41"/>
    <mergeCell ref="S13:S16"/>
    <mergeCell ref="T13:T41"/>
    <mergeCell ref="S25:S27"/>
    <mergeCell ref="G21:G24"/>
    <mergeCell ref="H21:H24"/>
    <mergeCell ref="I21:I24"/>
    <mergeCell ref="J21:J24"/>
    <mergeCell ref="K21:K24"/>
    <mergeCell ref="L21:L24"/>
    <mergeCell ref="G17:G20"/>
    <mergeCell ref="H17:H20"/>
    <mergeCell ref="I17:I20"/>
    <mergeCell ref="J17:J20"/>
    <mergeCell ref="K17:K20"/>
    <mergeCell ref="L17:L20"/>
    <mergeCell ref="L13:L16"/>
    <mergeCell ref="M13:M16"/>
    <mergeCell ref="G32:G36"/>
    <mergeCell ref="H32:H36"/>
    <mergeCell ref="I32:I36"/>
    <mergeCell ref="J32:J36"/>
    <mergeCell ref="K32:K36"/>
    <mergeCell ref="L32:L36"/>
    <mergeCell ref="M32:M36"/>
    <mergeCell ref="N32:N36"/>
    <mergeCell ref="M28:M31"/>
    <mergeCell ref="N28:N31"/>
    <mergeCell ref="G28:G31"/>
    <mergeCell ref="H28:H31"/>
    <mergeCell ref="I28:I31"/>
    <mergeCell ref="J28:J31"/>
    <mergeCell ref="K28:K31"/>
    <mergeCell ref="L28:L31"/>
    <mergeCell ref="O40:O41"/>
    <mergeCell ref="P40:P41"/>
    <mergeCell ref="S40:S41"/>
    <mergeCell ref="W40:W41"/>
    <mergeCell ref="G40:G41"/>
    <mergeCell ref="H40:H41"/>
    <mergeCell ref="I40:I41"/>
    <mergeCell ref="J40:J41"/>
    <mergeCell ref="K40:K41"/>
    <mergeCell ref="L40:L41"/>
    <mergeCell ref="U13:U41"/>
    <mergeCell ref="V13:V16"/>
    <mergeCell ref="W25:W27"/>
    <mergeCell ref="V38:V41"/>
    <mergeCell ref="N13:N16"/>
    <mergeCell ref="O13:O16"/>
    <mergeCell ref="P13:P16"/>
    <mergeCell ref="Q13:Q41"/>
    <mergeCell ref="M17:M20"/>
    <mergeCell ref="N17:N20"/>
    <mergeCell ref="O17:O20"/>
    <mergeCell ref="P17:P20"/>
    <mergeCell ref="M21:M24"/>
    <mergeCell ref="N21:N24"/>
    <mergeCell ref="AF42:AF43"/>
    <mergeCell ref="AG42:AG43"/>
    <mergeCell ref="AH42:AH43"/>
    <mergeCell ref="AI42:AI43"/>
    <mergeCell ref="AJ42:AJ43"/>
    <mergeCell ref="AK42:AK43"/>
    <mergeCell ref="Q42:Q43"/>
    <mergeCell ref="R42:R43"/>
    <mergeCell ref="T42:T43"/>
    <mergeCell ref="U42:U43"/>
    <mergeCell ref="AD42:AD43"/>
    <mergeCell ref="AE42:AE43"/>
    <mergeCell ref="AU42:AU43"/>
    <mergeCell ref="AV42:AV43"/>
    <mergeCell ref="AW42:AW43"/>
    <mergeCell ref="AL42:AL43"/>
    <mergeCell ref="AM42:AM43"/>
    <mergeCell ref="AN42:AN43"/>
    <mergeCell ref="AO42:AO43"/>
    <mergeCell ref="AP42:AP43"/>
    <mergeCell ref="AQ42:AQ43"/>
    <mergeCell ref="BS42:BS43"/>
    <mergeCell ref="BT42:BT43"/>
    <mergeCell ref="BU42:BU43"/>
    <mergeCell ref="BJ42:BJ43"/>
    <mergeCell ref="BK42:BK43"/>
    <mergeCell ref="BL42:BL43"/>
    <mergeCell ref="BM42:BM43"/>
    <mergeCell ref="BN42:BN43"/>
    <mergeCell ref="BO42:BO43"/>
    <mergeCell ref="G44:G48"/>
    <mergeCell ref="H44:H48"/>
    <mergeCell ref="I44:I48"/>
    <mergeCell ref="J44:J48"/>
    <mergeCell ref="K44:K48"/>
    <mergeCell ref="L44:L48"/>
    <mergeCell ref="BP42:BP43"/>
    <mergeCell ref="BQ42:BQ43"/>
    <mergeCell ref="BR42:BR43"/>
    <mergeCell ref="BD42:BD43"/>
    <mergeCell ref="BE42:BE43"/>
    <mergeCell ref="BF42:BF43"/>
    <mergeCell ref="BG42:BG43"/>
    <mergeCell ref="BH42:BH43"/>
    <mergeCell ref="BI42:BI43"/>
    <mergeCell ref="AX42:AX43"/>
    <mergeCell ref="AY42:AY43"/>
    <mergeCell ref="AZ42:AZ43"/>
    <mergeCell ref="BA42:BA43"/>
    <mergeCell ref="BB42:BB43"/>
    <mergeCell ref="BC42:BC43"/>
    <mergeCell ref="AR42:AR43"/>
    <mergeCell ref="AS42:AS43"/>
    <mergeCell ref="AT42:AT43"/>
    <mergeCell ref="M44:M48"/>
    <mergeCell ref="N44:N48"/>
    <mergeCell ref="O44:O48"/>
    <mergeCell ref="P44:P48"/>
    <mergeCell ref="Q44:Q76"/>
    <mergeCell ref="R44:R76"/>
    <mergeCell ref="N49:N52"/>
    <mergeCell ref="O49:O52"/>
    <mergeCell ref="P49:P52"/>
    <mergeCell ref="M53:M60"/>
    <mergeCell ref="N53:N60"/>
    <mergeCell ref="O53:O60"/>
    <mergeCell ref="P53:P60"/>
    <mergeCell ref="P61:P64"/>
    <mergeCell ref="P67:P70"/>
    <mergeCell ref="O71:O74"/>
    <mergeCell ref="P71:P74"/>
    <mergeCell ref="S44:S48"/>
    <mergeCell ref="T44:T76"/>
    <mergeCell ref="U44:U76"/>
    <mergeCell ref="V44:V65"/>
    <mergeCell ref="W44:W48"/>
    <mergeCell ref="AB44:AB47"/>
    <mergeCell ref="S49:S52"/>
    <mergeCell ref="W49:W52"/>
    <mergeCell ref="AB49:AB52"/>
    <mergeCell ref="AB61:AB64"/>
    <mergeCell ref="S53:S60"/>
    <mergeCell ref="W53:W60"/>
    <mergeCell ref="AB53:AB56"/>
    <mergeCell ref="AB57:AB60"/>
    <mergeCell ref="S61:S64"/>
    <mergeCell ref="W61:W64"/>
    <mergeCell ref="S67:S70"/>
    <mergeCell ref="W67:W70"/>
    <mergeCell ref="AB67:AB70"/>
    <mergeCell ref="W71:W74"/>
    <mergeCell ref="AB71:AB74"/>
    <mergeCell ref="V71:V74"/>
    <mergeCell ref="S71:S74"/>
    <mergeCell ref="V66:V70"/>
    <mergeCell ref="AC44:AC47"/>
    <mergeCell ref="AD44:AD76"/>
    <mergeCell ref="AE44:AE76"/>
    <mergeCell ref="AF44:AF76"/>
    <mergeCell ref="AG44:AG76"/>
    <mergeCell ref="AH44:AH76"/>
    <mergeCell ref="AC49:AC52"/>
    <mergeCell ref="AC53:AC56"/>
    <mergeCell ref="AC57:AC60"/>
    <mergeCell ref="AC61:AC64"/>
    <mergeCell ref="AC67:AC70"/>
    <mergeCell ref="AC71:AC74"/>
    <mergeCell ref="AO44:AO76"/>
    <mergeCell ref="AP44:AP76"/>
    <mergeCell ref="AQ44:AQ76"/>
    <mergeCell ref="AR44:AR76"/>
    <mergeCell ref="AS44:AS76"/>
    <mergeCell ref="AT44:AT76"/>
    <mergeCell ref="AI44:AI76"/>
    <mergeCell ref="AJ44:AJ76"/>
    <mergeCell ref="AK44:AK76"/>
    <mergeCell ref="AL44:AL76"/>
    <mergeCell ref="AM44:AM76"/>
    <mergeCell ref="AN44:AN76"/>
    <mergeCell ref="BC44:BC76"/>
    <mergeCell ref="BD44:BD76"/>
    <mergeCell ref="BE44:BE76"/>
    <mergeCell ref="BF44:BF76"/>
    <mergeCell ref="AU44:AU76"/>
    <mergeCell ref="AV44:AV76"/>
    <mergeCell ref="AW44:AW76"/>
    <mergeCell ref="AX44:AX76"/>
    <mergeCell ref="AY44:AY76"/>
    <mergeCell ref="AZ44:AZ76"/>
    <mergeCell ref="BS44:BS76"/>
    <mergeCell ref="BT44:BT76"/>
    <mergeCell ref="BU44:BU76"/>
    <mergeCell ref="G49:G52"/>
    <mergeCell ref="H49:H52"/>
    <mergeCell ref="I49:I52"/>
    <mergeCell ref="J49:J52"/>
    <mergeCell ref="K49:K52"/>
    <mergeCell ref="L49:L52"/>
    <mergeCell ref="M49:M52"/>
    <mergeCell ref="BM44:BM76"/>
    <mergeCell ref="BN44:BN76"/>
    <mergeCell ref="BO44:BO76"/>
    <mergeCell ref="BP44:BP76"/>
    <mergeCell ref="BQ44:BQ76"/>
    <mergeCell ref="BR44:BR76"/>
    <mergeCell ref="BG44:BG76"/>
    <mergeCell ref="BH44:BH76"/>
    <mergeCell ref="BI44:BI76"/>
    <mergeCell ref="BJ44:BJ76"/>
    <mergeCell ref="BK44:BK76"/>
    <mergeCell ref="BL44:BL76"/>
    <mergeCell ref="BA44:BA76"/>
    <mergeCell ref="BB44:BB76"/>
    <mergeCell ref="G53:G60"/>
    <mergeCell ref="H53:H60"/>
    <mergeCell ref="I53:I60"/>
    <mergeCell ref="J53:J60"/>
    <mergeCell ref="K53:K60"/>
    <mergeCell ref="L53:L60"/>
    <mergeCell ref="M61:M64"/>
    <mergeCell ref="N61:N64"/>
    <mergeCell ref="O61:O64"/>
    <mergeCell ref="G61:G64"/>
    <mergeCell ref="H61:H64"/>
    <mergeCell ref="I61:I64"/>
    <mergeCell ref="J61:J64"/>
    <mergeCell ref="K61:K64"/>
    <mergeCell ref="L61:L64"/>
    <mergeCell ref="G67:G70"/>
    <mergeCell ref="H67:H70"/>
    <mergeCell ref="I67:I70"/>
    <mergeCell ref="J67:J70"/>
    <mergeCell ref="K67:K70"/>
    <mergeCell ref="L67:L70"/>
    <mergeCell ref="M67:M70"/>
    <mergeCell ref="N67:N70"/>
    <mergeCell ref="O67:O70"/>
    <mergeCell ref="G77:G80"/>
    <mergeCell ref="H77:H80"/>
    <mergeCell ref="I77:I80"/>
    <mergeCell ref="J77:J80"/>
    <mergeCell ref="K77:K80"/>
    <mergeCell ref="L77:L80"/>
    <mergeCell ref="L71:L74"/>
    <mergeCell ref="M71:M74"/>
    <mergeCell ref="N71:N74"/>
    <mergeCell ref="M77:M80"/>
    <mergeCell ref="N77:N80"/>
    <mergeCell ref="G71:G74"/>
    <mergeCell ref="H71:H74"/>
    <mergeCell ref="I71:I74"/>
    <mergeCell ref="J71:J74"/>
    <mergeCell ref="K71:K74"/>
    <mergeCell ref="O77:O80"/>
    <mergeCell ref="P77:P80"/>
    <mergeCell ref="Q77:Q88"/>
    <mergeCell ref="R77:R88"/>
    <mergeCell ref="N81:N84"/>
    <mergeCell ref="O81:O84"/>
    <mergeCell ref="P81:P84"/>
    <mergeCell ref="M85:M88"/>
    <mergeCell ref="AC77:AC80"/>
    <mergeCell ref="N85:N88"/>
    <mergeCell ref="O85:O88"/>
    <mergeCell ref="P85:P88"/>
    <mergeCell ref="AD77:AD88"/>
    <mergeCell ref="AE77:AE88"/>
    <mergeCell ref="AF77:AF88"/>
    <mergeCell ref="AG77:AG88"/>
    <mergeCell ref="AH77:AH88"/>
    <mergeCell ref="AC81:AC84"/>
    <mergeCell ref="AC85:AC88"/>
    <mergeCell ref="S77:S80"/>
    <mergeCell ref="T77:T88"/>
    <mergeCell ref="U77:U88"/>
    <mergeCell ref="V77:V84"/>
    <mergeCell ref="W77:W80"/>
    <mergeCell ref="AB77:AB80"/>
    <mergeCell ref="S81:S84"/>
    <mergeCell ref="W81:W84"/>
    <mergeCell ref="AB81:AB84"/>
    <mergeCell ref="AB85:AB88"/>
    <mergeCell ref="S85:S88"/>
    <mergeCell ref="V85:V88"/>
    <mergeCell ref="W85:W88"/>
    <mergeCell ref="AO77:AO88"/>
    <mergeCell ref="AP77:AP88"/>
    <mergeCell ref="AQ77:AQ88"/>
    <mergeCell ref="AR77:AR88"/>
    <mergeCell ref="AS77:AS88"/>
    <mergeCell ref="AT77:AT88"/>
    <mergeCell ref="AI77:AI88"/>
    <mergeCell ref="AJ77:AJ88"/>
    <mergeCell ref="AK77:AK88"/>
    <mergeCell ref="AL77:AL88"/>
    <mergeCell ref="AM77:AM88"/>
    <mergeCell ref="AN77:AN88"/>
    <mergeCell ref="BC77:BC88"/>
    <mergeCell ref="BD77:BD88"/>
    <mergeCell ref="BE77:BE88"/>
    <mergeCell ref="BF77:BF88"/>
    <mergeCell ref="AU77:AU88"/>
    <mergeCell ref="AV77:AV88"/>
    <mergeCell ref="AW77:AW88"/>
    <mergeCell ref="AX77:AX88"/>
    <mergeCell ref="AY77:AY88"/>
    <mergeCell ref="AZ77:AZ88"/>
    <mergeCell ref="BS77:BS88"/>
    <mergeCell ref="BT77:BT88"/>
    <mergeCell ref="BU77:BU88"/>
    <mergeCell ref="G81:G84"/>
    <mergeCell ref="H81:H84"/>
    <mergeCell ref="I81:I84"/>
    <mergeCell ref="J81:J84"/>
    <mergeCell ref="K81:K84"/>
    <mergeCell ref="L81:L84"/>
    <mergeCell ref="M81:M84"/>
    <mergeCell ref="BM77:BM88"/>
    <mergeCell ref="BN77:BN88"/>
    <mergeCell ref="BO77:BO88"/>
    <mergeCell ref="BP77:BP88"/>
    <mergeCell ref="BQ77:BQ88"/>
    <mergeCell ref="BR77:BR88"/>
    <mergeCell ref="BG77:BG88"/>
    <mergeCell ref="BH77:BH88"/>
    <mergeCell ref="BI77:BI88"/>
    <mergeCell ref="BJ77:BJ88"/>
    <mergeCell ref="BK77:BK88"/>
    <mergeCell ref="BL77:BL88"/>
    <mergeCell ref="BA77:BA88"/>
    <mergeCell ref="BB77:BB88"/>
    <mergeCell ref="G85:G88"/>
    <mergeCell ref="H85:H88"/>
    <mergeCell ref="I85:I88"/>
    <mergeCell ref="J85:J88"/>
    <mergeCell ref="K85:K88"/>
    <mergeCell ref="L85:L88"/>
    <mergeCell ref="G89:G92"/>
    <mergeCell ref="H89:H92"/>
    <mergeCell ref="I89:I92"/>
    <mergeCell ref="J89:J92"/>
    <mergeCell ref="K89:K92"/>
    <mergeCell ref="L89:L92"/>
    <mergeCell ref="M89:M92"/>
    <mergeCell ref="N89:N92"/>
    <mergeCell ref="O89:O92"/>
    <mergeCell ref="P89:P92"/>
    <mergeCell ref="Q89:Q96"/>
    <mergeCell ref="R89:R96"/>
    <mergeCell ref="N93:N96"/>
    <mergeCell ref="O93:O96"/>
    <mergeCell ref="P93:P96"/>
    <mergeCell ref="S89:S92"/>
    <mergeCell ref="T89:T96"/>
    <mergeCell ref="U89:U96"/>
    <mergeCell ref="V89:V92"/>
    <mergeCell ref="W89:W92"/>
    <mergeCell ref="AB89:AB92"/>
    <mergeCell ref="S93:S96"/>
    <mergeCell ref="V93:V96"/>
    <mergeCell ref="W93:W96"/>
    <mergeCell ref="AB93:AB96"/>
    <mergeCell ref="AI89:AI96"/>
    <mergeCell ref="AJ89:AJ96"/>
    <mergeCell ref="AK89:AK96"/>
    <mergeCell ref="AL89:AL96"/>
    <mergeCell ref="AM89:AM96"/>
    <mergeCell ref="AN89:AN96"/>
    <mergeCell ref="AC89:AC92"/>
    <mergeCell ref="AD89:AD96"/>
    <mergeCell ref="AE89:AE96"/>
    <mergeCell ref="AF89:AF96"/>
    <mergeCell ref="AG89:AG96"/>
    <mergeCell ref="AH89:AH96"/>
    <mergeCell ref="AC93:AC96"/>
    <mergeCell ref="AU89:AU96"/>
    <mergeCell ref="AV89:AV96"/>
    <mergeCell ref="AW89:AW96"/>
    <mergeCell ref="AX89:AX96"/>
    <mergeCell ref="AY89:AY96"/>
    <mergeCell ref="AZ89:AZ96"/>
    <mergeCell ref="AO89:AO96"/>
    <mergeCell ref="AP89:AP96"/>
    <mergeCell ref="AQ89:AQ96"/>
    <mergeCell ref="AR89:AR96"/>
    <mergeCell ref="AS89:AS96"/>
    <mergeCell ref="AT89:AT96"/>
    <mergeCell ref="BI89:BI96"/>
    <mergeCell ref="BJ89:BJ96"/>
    <mergeCell ref="BK89:BK96"/>
    <mergeCell ref="BL89:BL96"/>
    <mergeCell ref="BA89:BA96"/>
    <mergeCell ref="BB89:BB96"/>
    <mergeCell ref="BC89:BC96"/>
    <mergeCell ref="BD89:BD96"/>
    <mergeCell ref="BE89:BE96"/>
    <mergeCell ref="BF89:BF96"/>
    <mergeCell ref="G97:G100"/>
    <mergeCell ref="H97:H100"/>
    <mergeCell ref="I97:I100"/>
    <mergeCell ref="J97:J100"/>
    <mergeCell ref="K97:K100"/>
    <mergeCell ref="L97:L100"/>
    <mergeCell ref="BS89:BS96"/>
    <mergeCell ref="BT89:BT96"/>
    <mergeCell ref="BU89:BU96"/>
    <mergeCell ref="G93:G96"/>
    <mergeCell ref="H93:H96"/>
    <mergeCell ref="I93:I96"/>
    <mergeCell ref="J93:J96"/>
    <mergeCell ref="K93:K96"/>
    <mergeCell ref="L93:L96"/>
    <mergeCell ref="M93:M96"/>
    <mergeCell ref="BM89:BM96"/>
    <mergeCell ref="BN89:BN96"/>
    <mergeCell ref="BO89:BO96"/>
    <mergeCell ref="BP89:BP96"/>
    <mergeCell ref="BQ89:BQ96"/>
    <mergeCell ref="BR89:BR96"/>
    <mergeCell ref="BG89:BG96"/>
    <mergeCell ref="BH89:BH96"/>
    <mergeCell ref="M97:M100"/>
    <mergeCell ref="N97:N100"/>
    <mergeCell ref="O97:O100"/>
    <mergeCell ref="P97:P100"/>
    <mergeCell ref="Q97:Q108"/>
    <mergeCell ref="R97:R108"/>
    <mergeCell ref="N101:N104"/>
    <mergeCell ref="O101:O104"/>
    <mergeCell ref="P101:P104"/>
    <mergeCell ref="M105:M108"/>
    <mergeCell ref="N105:N108"/>
    <mergeCell ref="O105:O108"/>
    <mergeCell ref="P105:P108"/>
    <mergeCell ref="AC97:AC100"/>
    <mergeCell ref="AD97:AD108"/>
    <mergeCell ref="AE97:AE108"/>
    <mergeCell ref="AF97:AF108"/>
    <mergeCell ref="AG97:AG108"/>
    <mergeCell ref="AH97:AH108"/>
    <mergeCell ref="AC101:AC104"/>
    <mergeCell ref="AC105:AC108"/>
    <mergeCell ref="S97:S100"/>
    <mergeCell ref="T97:T108"/>
    <mergeCell ref="U97:U108"/>
    <mergeCell ref="V97:V108"/>
    <mergeCell ref="W97:W100"/>
    <mergeCell ref="AB97:AB100"/>
    <mergeCell ref="S101:S104"/>
    <mergeCell ref="W101:W104"/>
    <mergeCell ref="AB101:AB104"/>
    <mergeCell ref="S105:S108"/>
    <mergeCell ref="W105:W108"/>
    <mergeCell ref="AB105:AB108"/>
    <mergeCell ref="AO97:AO108"/>
    <mergeCell ref="AP97:AP108"/>
    <mergeCell ref="AQ97:AQ108"/>
    <mergeCell ref="AR97:AR108"/>
    <mergeCell ref="AS97:AS108"/>
    <mergeCell ref="AT97:AT108"/>
    <mergeCell ref="AI97:AI108"/>
    <mergeCell ref="AJ97:AJ108"/>
    <mergeCell ref="AK97:AK108"/>
    <mergeCell ref="AL97:AL108"/>
    <mergeCell ref="AM97:AM108"/>
    <mergeCell ref="AN97:AN108"/>
    <mergeCell ref="BC97:BC108"/>
    <mergeCell ref="BD97:BD108"/>
    <mergeCell ref="BE97:BE108"/>
    <mergeCell ref="BF97:BF108"/>
    <mergeCell ref="AU97:AU108"/>
    <mergeCell ref="AV97:AV108"/>
    <mergeCell ref="AW97:AW108"/>
    <mergeCell ref="AX97:AX108"/>
    <mergeCell ref="AY97:AY108"/>
    <mergeCell ref="AZ97:AZ108"/>
    <mergeCell ref="BS97:BS108"/>
    <mergeCell ref="BT97:BT108"/>
    <mergeCell ref="BU97:BU108"/>
    <mergeCell ref="G101:G104"/>
    <mergeCell ref="H101:H104"/>
    <mergeCell ref="I101:I104"/>
    <mergeCell ref="J101:J104"/>
    <mergeCell ref="K101:K104"/>
    <mergeCell ref="L101:L104"/>
    <mergeCell ref="M101:M104"/>
    <mergeCell ref="BM97:BM108"/>
    <mergeCell ref="BN97:BN108"/>
    <mergeCell ref="BO97:BO108"/>
    <mergeCell ref="BP97:BP108"/>
    <mergeCell ref="BQ97:BQ108"/>
    <mergeCell ref="BR97:BR108"/>
    <mergeCell ref="BG97:BG108"/>
    <mergeCell ref="BH97:BH108"/>
    <mergeCell ref="BI97:BI108"/>
    <mergeCell ref="BJ97:BJ108"/>
    <mergeCell ref="BK97:BK108"/>
    <mergeCell ref="BL97:BL108"/>
    <mergeCell ref="BA97:BA108"/>
    <mergeCell ref="BB97:BB108"/>
    <mergeCell ref="G105:G108"/>
    <mergeCell ref="H105:H108"/>
    <mergeCell ref="I105:I108"/>
    <mergeCell ref="J105:J108"/>
    <mergeCell ref="K105:K108"/>
    <mergeCell ref="L105:L108"/>
    <mergeCell ref="G109:G112"/>
    <mergeCell ref="H109:H112"/>
    <mergeCell ref="I109:I112"/>
    <mergeCell ref="J109:J112"/>
    <mergeCell ref="K109:K112"/>
    <mergeCell ref="L109:L112"/>
    <mergeCell ref="M109:M112"/>
    <mergeCell ref="N109:N112"/>
    <mergeCell ref="O109:O112"/>
    <mergeCell ref="P109:P112"/>
    <mergeCell ref="Q109:Q214"/>
    <mergeCell ref="R109:R214"/>
    <mergeCell ref="N113:N116"/>
    <mergeCell ref="O113:O116"/>
    <mergeCell ref="P113:P116"/>
    <mergeCell ref="M117:M120"/>
    <mergeCell ref="O117:O120"/>
    <mergeCell ref="P117:P120"/>
    <mergeCell ref="O121:O214"/>
    <mergeCell ref="P121:P214"/>
    <mergeCell ref="AC109:AC112"/>
    <mergeCell ref="AD109:AD214"/>
    <mergeCell ref="AE109:AE214"/>
    <mergeCell ref="AF109:AF214"/>
    <mergeCell ref="AG109:AG214"/>
    <mergeCell ref="AH109:AH214"/>
    <mergeCell ref="AC113:AC116"/>
    <mergeCell ref="S109:S112"/>
    <mergeCell ref="T109:T214"/>
    <mergeCell ref="U109:U214"/>
    <mergeCell ref="V109:V112"/>
    <mergeCell ref="W109:W112"/>
    <mergeCell ref="AB109:AB112"/>
    <mergeCell ref="S113:S116"/>
    <mergeCell ref="V113:V116"/>
    <mergeCell ref="W113:W116"/>
    <mergeCell ref="AB113:AB116"/>
    <mergeCell ref="AB117:AB120"/>
    <mergeCell ref="AC117:AC120"/>
    <mergeCell ref="S117:S120"/>
    <mergeCell ref="V117:V214"/>
    <mergeCell ref="W117:W120"/>
    <mergeCell ref="S121:S214"/>
    <mergeCell ref="W121:W178"/>
    <mergeCell ref="AO109:AO214"/>
    <mergeCell ref="AP109:AP214"/>
    <mergeCell ref="AQ109:AQ214"/>
    <mergeCell ref="AR109:AR214"/>
    <mergeCell ref="AS109:AS214"/>
    <mergeCell ref="AT109:AT214"/>
    <mergeCell ref="AI109:AI214"/>
    <mergeCell ref="AJ109:AJ214"/>
    <mergeCell ref="AK109:AK214"/>
    <mergeCell ref="AL109:AL214"/>
    <mergeCell ref="AM109:AM214"/>
    <mergeCell ref="AN109:AN214"/>
    <mergeCell ref="BC109:BC214"/>
    <mergeCell ref="BD109:BD214"/>
    <mergeCell ref="BE109:BE214"/>
    <mergeCell ref="BF109:BF214"/>
    <mergeCell ref="AU109:AU214"/>
    <mergeCell ref="AV109:AV214"/>
    <mergeCell ref="AW109:AW214"/>
    <mergeCell ref="AX109:AX214"/>
    <mergeCell ref="AY109:AY214"/>
    <mergeCell ref="AZ109:AZ214"/>
    <mergeCell ref="BS109:BS214"/>
    <mergeCell ref="BT109:BT214"/>
    <mergeCell ref="BU109:BU214"/>
    <mergeCell ref="G113:G116"/>
    <mergeCell ref="H113:H116"/>
    <mergeCell ref="I113:I116"/>
    <mergeCell ref="J113:J116"/>
    <mergeCell ref="K113:K116"/>
    <mergeCell ref="L113:L116"/>
    <mergeCell ref="M113:M116"/>
    <mergeCell ref="BM109:BM214"/>
    <mergeCell ref="BN109:BN214"/>
    <mergeCell ref="BO109:BO214"/>
    <mergeCell ref="BP109:BP214"/>
    <mergeCell ref="BQ109:BQ214"/>
    <mergeCell ref="BR109:BR214"/>
    <mergeCell ref="BG109:BG214"/>
    <mergeCell ref="BH109:BH214"/>
    <mergeCell ref="BI109:BI214"/>
    <mergeCell ref="BJ109:BJ214"/>
    <mergeCell ref="BK109:BK214"/>
    <mergeCell ref="BL109:BL214"/>
    <mergeCell ref="BA109:BA214"/>
    <mergeCell ref="BB109:BB214"/>
    <mergeCell ref="G121:G214"/>
    <mergeCell ref="H121:H214"/>
    <mergeCell ref="I121:I214"/>
    <mergeCell ref="J121:J214"/>
    <mergeCell ref="K121:K214"/>
    <mergeCell ref="L121:L214"/>
    <mergeCell ref="M121:M214"/>
    <mergeCell ref="N121:N214"/>
    <mergeCell ref="N117:N120"/>
    <mergeCell ref="G117:G120"/>
    <mergeCell ref="H117:H120"/>
    <mergeCell ref="I117:I120"/>
    <mergeCell ref="J117:J120"/>
    <mergeCell ref="K117:K120"/>
    <mergeCell ref="L117:L120"/>
    <mergeCell ref="W201:W210"/>
    <mergeCell ref="AB201:AB204"/>
    <mergeCell ref="AC201:AC204"/>
    <mergeCell ref="AB207:AB210"/>
    <mergeCell ref="AC207:AC210"/>
    <mergeCell ref="W211:W214"/>
    <mergeCell ref="AB121:AB168"/>
    <mergeCell ref="AC121:AC168"/>
    <mergeCell ref="AB169:AB176"/>
    <mergeCell ref="AC169:AC176"/>
    <mergeCell ref="W179:W200"/>
    <mergeCell ref="AB179:AB199"/>
    <mergeCell ref="AC179:AC199"/>
    <mergeCell ref="M220:M221"/>
    <mergeCell ref="N220:N221"/>
    <mergeCell ref="O220:O221"/>
    <mergeCell ref="P220:P221"/>
    <mergeCell ref="Q220:Q221"/>
    <mergeCell ref="R220:R221"/>
    <mergeCell ref="F215:Q215"/>
    <mergeCell ref="B217:H217"/>
    <mergeCell ref="D218:G218"/>
    <mergeCell ref="F219:Q219"/>
    <mergeCell ref="G220:G221"/>
    <mergeCell ref="H220:H221"/>
    <mergeCell ref="I220:I221"/>
    <mergeCell ref="J220:J221"/>
    <mergeCell ref="K220:K221"/>
    <mergeCell ref="L220:L221"/>
    <mergeCell ref="AC220:AC221"/>
    <mergeCell ref="AD220:AD221"/>
    <mergeCell ref="AE220:AE221"/>
    <mergeCell ref="AF220:AF221"/>
    <mergeCell ref="AH220:AH221"/>
    <mergeCell ref="AI220:AI221"/>
    <mergeCell ref="S220:S221"/>
    <mergeCell ref="T220:T221"/>
    <mergeCell ref="U220:U221"/>
    <mergeCell ref="V220:V221"/>
    <mergeCell ref="W220:W221"/>
    <mergeCell ref="AB220:AB221"/>
    <mergeCell ref="AP220:AP221"/>
    <mergeCell ref="AQ220:AQ221"/>
    <mergeCell ref="AR220:AR221"/>
    <mergeCell ref="AS220:AS221"/>
    <mergeCell ref="AT220:AT221"/>
    <mergeCell ref="AU220:AU221"/>
    <mergeCell ref="AJ220:AJ221"/>
    <mergeCell ref="AK220:AK221"/>
    <mergeCell ref="AL220:AL221"/>
    <mergeCell ref="AM220:AM221"/>
    <mergeCell ref="AN220:AN221"/>
    <mergeCell ref="AO220:AO221"/>
    <mergeCell ref="BB220:BB221"/>
    <mergeCell ref="BC220:BC221"/>
    <mergeCell ref="BD220:BD221"/>
    <mergeCell ref="BE220:BE221"/>
    <mergeCell ref="BF220:BF221"/>
    <mergeCell ref="BG220:BG221"/>
    <mergeCell ref="AV220:AV221"/>
    <mergeCell ref="AW220:AW221"/>
    <mergeCell ref="AX220:AX221"/>
    <mergeCell ref="AY220:AY221"/>
    <mergeCell ref="AZ220:AZ221"/>
    <mergeCell ref="BA220:BA221"/>
    <mergeCell ref="BT220:BT221"/>
    <mergeCell ref="BU220:BU221"/>
    <mergeCell ref="BN220:BN221"/>
    <mergeCell ref="BO220:BO221"/>
    <mergeCell ref="BP220:BP221"/>
    <mergeCell ref="BQ220:BQ221"/>
    <mergeCell ref="BR220:BR221"/>
    <mergeCell ref="BS220:BS221"/>
    <mergeCell ref="BH220:BH221"/>
    <mergeCell ref="BI220:BI221"/>
    <mergeCell ref="BJ220:BJ221"/>
    <mergeCell ref="BK220:BK221"/>
    <mergeCell ref="BL220:BL221"/>
    <mergeCell ref="BM220:BM2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O200"/>
  <sheetViews>
    <sheetView showGridLines="0" zoomScale="70" zoomScaleNormal="70" workbookViewId="0">
      <selection sqref="A1:BS4"/>
    </sheetView>
  </sheetViews>
  <sheetFormatPr baseColWidth="10" defaultColWidth="9.140625" defaultRowHeight="27" customHeight="1" x14ac:dyDescent="0.25"/>
  <cols>
    <col min="1" max="1" width="13.5703125" style="117" customWidth="1"/>
    <col min="2" max="2" width="13.5703125" style="3" customWidth="1"/>
    <col min="3" max="4" width="14" style="3" customWidth="1"/>
    <col min="5" max="6" width="15.140625" style="3" customWidth="1"/>
    <col min="7" max="7" width="16.140625" style="3" customWidth="1"/>
    <col min="8" max="8" width="21.85546875" style="2" customWidth="1"/>
    <col min="9" max="9" width="20.42578125" style="2" customWidth="1"/>
    <col min="10" max="10" width="23.85546875" style="2" customWidth="1"/>
    <col min="11" max="11" width="17.28515625" style="2" customWidth="1"/>
    <col min="12" max="12" width="29.5703125" style="2" customWidth="1"/>
    <col min="13" max="13" width="23.85546875" style="2" customWidth="1"/>
    <col min="14" max="14" width="23.42578125" style="2" customWidth="1"/>
    <col min="15" max="15" width="23.85546875" style="2" customWidth="1"/>
    <col min="16" max="16" width="21.140625" style="2" customWidth="1"/>
    <col min="17" max="17" width="28.42578125" style="2" customWidth="1"/>
    <col min="18" max="18" width="30.85546875" style="2" customWidth="1"/>
    <col min="19" max="19" width="21.5703125" style="121" customWidth="1"/>
    <col min="20" max="20" width="29.28515625" style="130" customWidth="1"/>
    <col min="21" max="21" width="41" style="2" customWidth="1"/>
    <col min="22" max="22" width="37.28515625" style="2" customWidth="1"/>
    <col min="23" max="23" width="53.28515625" style="2" customWidth="1"/>
    <col min="24" max="24" width="31.7109375" style="130" customWidth="1"/>
    <col min="25" max="25" width="29.140625" style="130" customWidth="1"/>
    <col min="26" max="26" width="33.28515625" style="130" customWidth="1"/>
    <col min="27" max="27" width="58.7109375" style="130" customWidth="1"/>
    <col min="28" max="28" width="16" style="124" customWidth="1"/>
    <col min="29" max="29" width="14" style="2" customWidth="1"/>
    <col min="30" max="59" width="11.42578125" style="3" customWidth="1"/>
    <col min="60" max="60" width="14" style="3" customWidth="1"/>
    <col min="61" max="61" width="13.28515625" style="3" customWidth="1"/>
    <col min="62" max="62" width="20.28515625" style="3" customWidth="1"/>
    <col min="63" max="63" width="31.42578125" style="3" customWidth="1"/>
    <col min="64" max="64" width="31.85546875" style="3" customWidth="1"/>
    <col min="65" max="67" width="19.28515625" style="3" customWidth="1"/>
    <col min="68" max="68" width="24" style="3" customWidth="1"/>
    <col min="69" max="72" width="17.28515625" style="126" customWidth="1"/>
    <col min="73" max="73" width="26.85546875" style="3" customWidth="1"/>
    <col min="74" max="16384" width="9.140625" style="3"/>
  </cols>
  <sheetData>
    <row r="1" spans="1:93" ht="22.5" customHeight="1" x14ac:dyDescent="0.25">
      <c r="A1" s="2518" t="s">
        <v>1072</v>
      </c>
      <c r="B1" s="2518"/>
      <c r="C1" s="2518"/>
      <c r="D1" s="2518"/>
      <c r="E1" s="2518"/>
      <c r="F1" s="2518"/>
      <c r="G1" s="2518"/>
      <c r="H1" s="2518"/>
      <c r="I1" s="2518"/>
      <c r="J1" s="2518"/>
      <c r="K1" s="2518"/>
      <c r="L1" s="2518"/>
      <c r="M1" s="2518"/>
      <c r="N1" s="2518"/>
      <c r="O1" s="2518"/>
      <c r="P1" s="2518"/>
      <c r="Q1" s="2518"/>
      <c r="R1" s="2518"/>
      <c r="S1" s="2518"/>
      <c r="T1" s="2518"/>
      <c r="U1" s="2518"/>
      <c r="V1" s="2518"/>
      <c r="W1" s="2518"/>
      <c r="X1" s="2518"/>
      <c r="Y1" s="2518"/>
      <c r="Z1" s="2518"/>
      <c r="AA1" s="2518"/>
      <c r="AB1" s="2518"/>
      <c r="AC1" s="2518"/>
      <c r="AD1" s="2518"/>
      <c r="AE1" s="2518"/>
      <c r="AF1" s="2518"/>
      <c r="AG1" s="2518"/>
      <c r="AH1" s="2518"/>
      <c r="AI1" s="2518"/>
      <c r="AJ1" s="2518"/>
      <c r="AK1" s="2518"/>
      <c r="AL1" s="2518"/>
      <c r="AM1" s="2518"/>
      <c r="AN1" s="2518"/>
      <c r="AO1" s="2518"/>
      <c r="AP1" s="2518"/>
      <c r="AQ1" s="2518"/>
      <c r="AR1" s="2518"/>
      <c r="AS1" s="2518"/>
      <c r="AT1" s="2518"/>
      <c r="AU1" s="2518"/>
      <c r="AV1" s="2518"/>
      <c r="AW1" s="2518"/>
      <c r="AX1" s="2518"/>
      <c r="AY1" s="2518"/>
      <c r="AZ1" s="2518"/>
      <c r="BA1" s="2518"/>
      <c r="BB1" s="2518"/>
      <c r="BC1" s="2518"/>
      <c r="BD1" s="2518"/>
      <c r="BE1" s="2518"/>
      <c r="BF1" s="2518"/>
      <c r="BG1" s="2518"/>
      <c r="BH1" s="2518"/>
      <c r="BI1" s="2518"/>
      <c r="BJ1" s="2518"/>
      <c r="BK1" s="2518"/>
      <c r="BL1" s="2518"/>
      <c r="BM1" s="2518"/>
      <c r="BN1" s="2518"/>
      <c r="BO1" s="2518"/>
      <c r="BP1" s="2518"/>
      <c r="BQ1" s="2518"/>
      <c r="BR1" s="2518"/>
      <c r="BS1" s="2733"/>
      <c r="BT1" s="1863" t="s">
        <v>0</v>
      </c>
      <c r="BU1" s="1863" t="s">
        <v>1</v>
      </c>
      <c r="BV1" s="2"/>
      <c r="BW1" s="2"/>
      <c r="BX1" s="2"/>
      <c r="BY1" s="2"/>
      <c r="BZ1" s="2"/>
      <c r="CA1" s="2"/>
      <c r="CB1" s="2"/>
      <c r="CC1" s="2"/>
      <c r="CD1" s="2"/>
      <c r="CE1" s="2"/>
      <c r="CF1" s="2"/>
      <c r="CG1" s="2"/>
      <c r="CH1" s="2"/>
      <c r="CI1" s="2"/>
      <c r="CJ1" s="2"/>
      <c r="CK1" s="2"/>
      <c r="CL1" s="2"/>
      <c r="CM1" s="2"/>
      <c r="CN1" s="2"/>
      <c r="CO1" s="2"/>
    </row>
    <row r="2" spans="1:93" ht="27" customHeight="1" x14ac:dyDescent="0.25">
      <c r="A2" s="2518"/>
      <c r="B2" s="2518"/>
      <c r="C2" s="2518"/>
      <c r="D2" s="2518"/>
      <c r="E2" s="2518"/>
      <c r="F2" s="2518"/>
      <c r="G2" s="2518"/>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2518"/>
      <c r="BC2" s="2518"/>
      <c r="BD2" s="2518"/>
      <c r="BE2" s="2518"/>
      <c r="BF2" s="2518"/>
      <c r="BG2" s="2518"/>
      <c r="BH2" s="2518"/>
      <c r="BI2" s="2518"/>
      <c r="BJ2" s="2518"/>
      <c r="BK2" s="2518"/>
      <c r="BL2" s="2518"/>
      <c r="BM2" s="2518"/>
      <c r="BN2" s="2518"/>
      <c r="BO2" s="2518"/>
      <c r="BP2" s="2518"/>
      <c r="BQ2" s="2518"/>
      <c r="BR2" s="2518"/>
      <c r="BS2" s="2733"/>
      <c r="BT2" s="1863" t="s">
        <v>2</v>
      </c>
      <c r="BU2" s="817" t="s">
        <v>1073</v>
      </c>
      <c r="BV2" s="2"/>
      <c r="BW2" s="2"/>
      <c r="BX2" s="2"/>
      <c r="BY2" s="2"/>
      <c r="BZ2" s="2"/>
      <c r="CA2" s="2"/>
      <c r="CB2" s="2"/>
      <c r="CC2" s="2"/>
      <c r="CD2" s="2"/>
      <c r="CE2" s="2"/>
      <c r="CF2" s="2"/>
      <c r="CG2" s="2"/>
      <c r="CH2" s="2"/>
      <c r="CI2" s="2"/>
      <c r="CJ2" s="2"/>
      <c r="CK2" s="2"/>
      <c r="CL2" s="2"/>
      <c r="CM2" s="2"/>
      <c r="CN2" s="2"/>
      <c r="CO2" s="2"/>
    </row>
    <row r="3" spans="1:93" ht="22.5" customHeight="1" x14ac:dyDescent="0.25">
      <c r="A3" s="2518"/>
      <c r="B3" s="2518"/>
      <c r="C3" s="2518"/>
      <c r="D3" s="2518"/>
      <c r="E3" s="2518"/>
      <c r="F3" s="2518"/>
      <c r="G3" s="2518"/>
      <c r="H3" s="2518"/>
      <c r="I3" s="2518"/>
      <c r="J3" s="2518"/>
      <c r="K3" s="2518"/>
      <c r="L3" s="2518"/>
      <c r="M3" s="2518"/>
      <c r="N3" s="2518"/>
      <c r="O3" s="2518"/>
      <c r="P3" s="2518"/>
      <c r="Q3" s="2518"/>
      <c r="R3" s="2518"/>
      <c r="S3" s="2518"/>
      <c r="T3" s="2518"/>
      <c r="U3" s="2518"/>
      <c r="V3" s="2518"/>
      <c r="W3" s="2518"/>
      <c r="X3" s="2518"/>
      <c r="Y3" s="2518"/>
      <c r="Z3" s="2518"/>
      <c r="AA3" s="2518"/>
      <c r="AB3" s="2518"/>
      <c r="AC3" s="2518"/>
      <c r="AD3" s="2518"/>
      <c r="AE3" s="2518"/>
      <c r="AF3" s="2518"/>
      <c r="AG3" s="2518"/>
      <c r="AH3" s="2518"/>
      <c r="AI3" s="2518"/>
      <c r="AJ3" s="2518"/>
      <c r="AK3" s="2518"/>
      <c r="AL3" s="2518"/>
      <c r="AM3" s="2518"/>
      <c r="AN3" s="2518"/>
      <c r="AO3" s="2518"/>
      <c r="AP3" s="2518"/>
      <c r="AQ3" s="2518"/>
      <c r="AR3" s="2518"/>
      <c r="AS3" s="2518"/>
      <c r="AT3" s="2518"/>
      <c r="AU3" s="2518"/>
      <c r="AV3" s="2518"/>
      <c r="AW3" s="2518"/>
      <c r="AX3" s="2518"/>
      <c r="AY3" s="2518"/>
      <c r="AZ3" s="2518"/>
      <c r="BA3" s="2518"/>
      <c r="BB3" s="2518"/>
      <c r="BC3" s="2518"/>
      <c r="BD3" s="2518"/>
      <c r="BE3" s="2518"/>
      <c r="BF3" s="2518"/>
      <c r="BG3" s="2518"/>
      <c r="BH3" s="2518"/>
      <c r="BI3" s="2518"/>
      <c r="BJ3" s="2518"/>
      <c r="BK3" s="2518"/>
      <c r="BL3" s="2518"/>
      <c r="BM3" s="2518"/>
      <c r="BN3" s="2518"/>
      <c r="BO3" s="2518"/>
      <c r="BP3" s="2518"/>
      <c r="BQ3" s="2518"/>
      <c r="BR3" s="2518"/>
      <c r="BS3" s="2733"/>
      <c r="BT3" s="1863" t="s">
        <v>4</v>
      </c>
      <c r="BU3" s="818">
        <v>44266</v>
      </c>
      <c r="BV3" s="2"/>
      <c r="BW3" s="2"/>
      <c r="BX3" s="2"/>
      <c r="BY3" s="2"/>
      <c r="BZ3" s="2"/>
      <c r="CA3" s="2"/>
      <c r="CB3" s="2"/>
      <c r="CC3" s="2"/>
      <c r="CD3" s="2"/>
      <c r="CE3" s="2"/>
      <c r="CF3" s="2"/>
      <c r="CG3" s="2"/>
      <c r="CH3" s="2"/>
      <c r="CI3" s="2"/>
      <c r="CJ3" s="2"/>
      <c r="CK3" s="2"/>
      <c r="CL3" s="2"/>
      <c r="CM3" s="2"/>
      <c r="CN3" s="2"/>
      <c r="CO3" s="2"/>
    </row>
    <row r="4" spans="1:93" ht="24.75" customHeight="1" x14ac:dyDescent="0.25">
      <c r="A4" s="3585"/>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2734"/>
      <c r="BT4" s="1863" t="s">
        <v>5</v>
      </c>
      <c r="BU4" s="773" t="s">
        <v>6</v>
      </c>
      <c r="BV4" s="2"/>
      <c r="BW4" s="2"/>
      <c r="BX4" s="2"/>
      <c r="BY4" s="2"/>
      <c r="BZ4" s="2"/>
      <c r="CA4" s="2"/>
      <c r="CB4" s="2"/>
      <c r="CC4" s="2"/>
      <c r="CD4" s="2"/>
      <c r="CE4" s="2"/>
      <c r="CF4" s="2"/>
      <c r="CG4" s="2"/>
      <c r="CH4" s="2"/>
      <c r="CI4" s="2"/>
      <c r="CJ4" s="2"/>
      <c r="CK4" s="2"/>
      <c r="CL4" s="2"/>
      <c r="CM4" s="2"/>
      <c r="CN4" s="2"/>
      <c r="CO4" s="2"/>
    </row>
    <row r="5" spans="1:93" ht="22.5" customHeight="1" x14ac:dyDescent="0.25">
      <c r="A5" s="2362" t="s">
        <v>308</v>
      </c>
      <c r="B5" s="2363"/>
      <c r="C5" s="2363"/>
      <c r="D5" s="2363"/>
      <c r="E5" s="2363"/>
      <c r="F5" s="2363"/>
      <c r="G5" s="2363"/>
      <c r="H5" s="2363"/>
      <c r="I5" s="2363"/>
      <c r="J5" s="2363"/>
      <c r="K5" s="2363"/>
      <c r="L5" s="2363"/>
      <c r="M5" s="2363"/>
      <c r="N5" s="2363"/>
      <c r="O5" s="2363"/>
      <c r="P5" s="3352"/>
      <c r="Q5" s="4209"/>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c r="CO5" s="2"/>
    </row>
    <row r="6" spans="1:93" ht="18.75" customHeight="1" x14ac:dyDescent="0.25">
      <c r="A6" s="2364"/>
      <c r="B6" s="2365"/>
      <c r="C6" s="2365"/>
      <c r="D6" s="2365"/>
      <c r="E6" s="2365"/>
      <c r="F6" s="2365"/>
      <c r="G6" s="2365"/>
      <c r="H6" s="2365"/>
      <c r="I6" s="2365"/>
      <c r="J6" s="2365"/>
      <c r="K6" s="2365"/>
      <c r="L6" s="2365"/>
      <c r="M6" s="2365"/>
      <c r="N6" s="2365"/>
      <c r="O6" s="2365"/>
      <c r="P6" s="2369"/>
      <c r="Q6" s="1861"/>
      <c r="R6" s="1861"/>
      <c r="S6" s="1861"/>
      <c r="T6" s="1861"/>
      <c r="U6" s="1861"/>
      <c r="V6" s="1861"/>
      <c r="W6" s="1861"/>
      <c r="X6" s="1861"/>
      <c r="Y6" s="1861"/>
      <c r="Z6" s="1861"/>
      <c r="AA6" s="1860"/>
      <c r="AB6" s="1860"/>
      <c r="AC6" s="1860"/>
      <c r="AD6" s="2364" t="s">
        <v>8</v>
      </c>
      <c r="AE6" s="2365"/>
      <c r="AF6" s="2365"/>
      <c r="AG6" s="2365"/>
      <c r="AH6" s="2365"/>
      <c r="AI6" s="2365"/>
      <c r="AJ6" s="2365"/>
      <c r="AK6" s="2365"/>
      <c r="AL6" s="2365"/>
      <c r="AM6" s="2365"/>
      <c r="AN6" s="2365"/>
      <c r="AO6" s="2365"/>
      <c r="AP6" s="2365"/>
      <c r="AQ6" s="2365"/>
      <c r="AR6" s="2365"/>
      <c r="AS6" s="2365"/>
      <c r="AT6" s="2365"/>
      <c r="AU6" s="2365"/>
      <c r="AV6" s="2365"/>
      <c r="AW6" s="2365"/>
      <c r="AX6" s="2365"/>
      <c r="AY6" s="2365"/>
      <c r="AZ6" s="2365"/>
      <c r="BA6" s="2365"/>
      <c r="BB6" s="2365"/>
      <c r="BC6" s="2365"/>
      <c r="BD6" s="2365"/>
      <c r="BE6" s="2365"/>
      <c r="BF6" s="2369"/>
      <c r="BG6" s="1860"/>
      <c r="BH6" s="1860"/>
      <c r="BI6" s="1860"/>
      <c r="BJ6" s="1860"/>
      <c r="BK6" s="1860"/>
      <c r="BL6" s="1860"/>
      <c r="BM6" s="1860"/>
      <c r="BN6" s="1860"/>
      <c r="BO6" s="1860"/>
      <c r="BP6" s="1860"/>
      <c r="BQ6" s="1860"/>
      <c r="BR6" s="1860"/>
      <c r="BS6" s="1860"/>
      <c r="BT6" s="1860"/>
      <c r="BU6" s="1862"/>
      <c r="BV6" s="2"/>
      <c r="BW6" s="2"/>
      <c r="BX6" s="2"/>
      <c r="BY6" s="2"/>
      <c r="BZ6" s="2"/>
      <c r="CA6" s="2"/>
      <c r="CB6" s="2"/>
      <c r="CC6" s="2"/>
      <c r="CD6" s="2"/>
      <c r="CE6" s="2"/>
      <c r="CF6" s="2"/>
      <c r="CG6" s="2"/>
      <c r="CH6" s="2"/>
      <c r="CI6" s="2"/>
      <c r="CJ6" s="2"/>
      <c r="CK6" s="2"/>
      <c r="CL6" s="2"/>
      <c r="CM6" s="2"/>
      <c r="CN6" s="2"/>
      <c r="CO6" s="2"/>
    </row>
    <row r="7" spans="1:93" ht="28.5" customHeight="1" x14ac:dyDescent="0.25">
      <c r="A7" s="4210" t="s">
        <v>9</v>
      </c>
      <c r="B7" s="2526"/>
      <c r="C7" s="2525" t="s">
        <v>10</v>
      </c>
      <c r="D7" s="4210"/>
      <c r="E7" s="4210" t="s">
        <v>11</v>
      </c>
      <c r="F7" s="2526"/>
      <c r="G7" s="4211" t="s">
        <v>12</v>
      </c>
      <c r="H7" s="4210"/>
      <c r="I7" s="4210"/>
      <c r="J7" s="4210"/>
      <c r="K7" s="2525" t="s">
        <v>13</v>
      </c>
      <c r="L7" s="4210"/>
      <c r="M7" s="4210"/>
      <c r="N7" s="4210"/>
      <c r="O7" s="4212" t="s">
        <v>1074</v>
      </c>
      <c r="P7" s="4212"/>
      <c r="Q7" s="3590"/>
      <c r="R7" s="3590"/>
      <c r="S7" s="3590"/>
      <c r="T7" s="3590"/>
      <c r="U7" s="3590"/>
      <c r="V7" s="3590"/>
      <c r="W7" s="3590"/>
      <c r="X7" s="3590"/>
      <c r="Y7" s="3590"/>
      <c r="Z7" s="3590"/>
      <c r="AA7" s="3355" t="s">
        <v>15</v>
      </c>
      <c r="AB7" s="3355"/>
      <c r="AC7" s="2524"/>
      <c r="AD7" s="2349" t="s">
        <v>16</v>
      </c>
      <c r="AE7" s="2350"/>
      <c r="AF7" s="2350"/>
      <c r="AG7" s="2351"/>
      <c r="AH7" s="2352" t="s">
        <v>17</v>
      </c>
      <c r="AI7" s="2353"/>
      <c r="AJ7" s="2353"/>
      <c r="AK7" s="2353"/>
      <c r="AL7" s="2353"/>
      <c r="AM7" s="2353"/>
      <c r="AN7" s="2353"/>
      <c r="AO7" s="2354"/>
      <c r="AP7" s="2360" t="s">
        <v>18</v>
      </c>
      <c r="AQ7" s="2507"/>
      <c r="AR7" s="2507"/>
      <c r="AS7" s="2507"/>
      <c r="AT7" s="2507"/>
      <c r="AU7" s="2507"/>
      <c r="AV7" s="2507"/>
      <c r="AW7" s="2507"/>
      <c r="AX7" s="2507"/>
      <c r="AY7" s="2507"/>
      <c r="AZ7" s="2507"/>
      <c r="BA7" s="2361"/>
      <c r="BB7" s="2508" t="s">
        <v>19</v>
      </c>
      <c r="BC7" s="2509"/>
      <c r="BD7" s="2509"/>
      <c r="BE7" s="2509"/>
      <c r="BF7" s="2509"/>
      <c r="BG7" s="2510"/>
      <c r="BH7" s="2527" t="s">
        <v>20</v>
      </c>
      <c r="BI7" s="2528"/>
      <c r="BJ7" s="3358" t="s">
        <v>21</v>
      </c>
      <c r="BK7" s="3359"/>
      <c r="BL7" s="3359"/>
      <c r="BM7" s="3359"/>
      <c r="BN7" s="3359"/>
      <c r="BO7" s="3359"/>
      <c r="BP7" s="3360"/>
      <c r="BQ7" s="4213" t="s">
        <v>1031</v>
      </c>
      <c r="BR7" s="4214"/>
      <c r="BS7" s="4217" t="s">
        <v>1032</v>
      </c>
      <c r="BT7" s="4214"/>
      <c r="BU7" s="2380" t="s">
        <v>24</v>
      </c>
      <c r="BV7" s="2"/>
      <c r="BW7" s="2"/>
      <c r="BX7" s="2"/>
      <c r="BY7" s="2"/>
      <c r="BZ7" s="2"/>
      <c r="CA7" s="2"/>
      <c r="CB7" s="2"/>
      <c r="CC7" s="2"/>
      <c r="CD7" s="2"/>
      <c r="CE7" s="2"/>
      <c r="CF7" s="2"/>
      <c r="CG7" s="2"/>
      <c r="CH7" s="2"/>
      <c r="CI7" s="2"/>
      <c r="CJ7" s="2"/>
      <c r="CK7" s="2"/>
      <c r="CL7" s="2"/>
      <c r="CM7" s="2"/>
      <c r="CN7" s="2"/>
      <c r="CO7" s="2"/>
    </row>
    <row r="8" spans="1:93" ht="138.75" customHeight="1" x14ac:dyDescent="0.25">
      <c r="A8" s="4219" t="s">
        <v>25</v>
      </c>
      <c r="B8" s="4196" t="s">
        <v>1075</v>
      </c>
      <c r="C8" s="4196" t="s">
        <v>25</v>
      </c>
      <c r="D8" s="4196" t="s">
        <v>26</v>
      </c>
      <c r="E8" s="4196" t="s">
        <v>25</v>
      </c>
      <c r="F8" s="4196" t="s">
        <v>1075</v>
      </c>
      <c r="G8" s="4196" t="s">
        <v>27</v>
      </c>
      <c r="H8" s="4196" t="s">
        <v>28</v>
      </c>
      <c r="I8" s="4196" t="s">
        <v>29</v>
      </c>
      <c r="J8" s="4196" t="s">
        <v>131</v>
      </c>
      <c r="K8" s="4196" t="s">
        <v>27</v>
      </c>
      <c r="L8" s="4196" t="s">
        <v>31</v>
      </c>
      <c r="M8" s="4196" t="s">
        <v>32</v>
      </c>
      <c r="N8" s="4196" t="s">
        <v>33</v>
      </c>
      <c r="O8" s="4198" t="s">
        <v>1076</v>
      </c>
      <c r="P8" s="4199"/>
      <c r="Q8" s="4200" t="s">
        <v>35</v>
      </c>
      <c r="R8" s="4200" t="s">
        <v>36</v>
      </c>
      <c r="S8" s="4200" t="s">
        <v>1077</v>
      </c>
      <c r="T8" s="4200" t="s">
        <v>1078</v>
      </c>
      <c r="U8" s="4200" t="s">
        <v>39</v>
      </c>
      <c r="V8" s="4200" t="s">
        <v>40</v>
      </c>
      <c r="W8" s="4196" t="s">
        <v>41</v>
      </c>
      <c r="X8" s="4198" t="s">
        <v>1079</v>
      </c>
      <c r="Y8" s="4203"/>
      <c r="Z8" s="4199"/>
      <c r="AA8" s="4196" t="s">
        <v>1034</v>
      </c>
      <c r="AB8" s="4196" t="s">
        <v>25</v>
      </c>
      <c r="AC8" s="4196" t="s">
        <v>26</v>
      </c>
      <c r="AD8" s="2358" t="s">
        <v>45</v>
      </c>
      <c r="AE8" s="2359"/>
      <c r="AF8" s="2341" t="s">
        <v>46</v>
      </c>
      <c r="AG8" s="2342"/>
      <c r="AH8" s="2358" t="s">
        <v>47</v>
      </c>
      <c r="AI8" s="2359"/>
      <c r="AJ8" s="2358" t="s">
        <v>1080</v>
      </c>
      <c r="AK8" s="2359"/>
      <c r="AL8" s="2358" t="s">
        <v>49</v>
      </c>
      <c r="AM8" s="2359"/>
      <c r="AN8" s="2358" t="s">
        <v>50</v>
      </c>
      <c r="AO8" s="2359"/>
      <c r="AP8" s="2358" t="s">
        <v>51</v>
      </c>
      <c r="AQ8" s="2359"/>
      <c r="AR8" s="2358" t="s">
        <v>52</v>
      </c>
      <c r="AS8" s="2359"/>
      <c r="AT8" s="2358" t="s">
        <v>53</v>
      </c>
      <c r="AU8" s="2359"/>
      <c r="AV8" s="2358" t="s">
        <v>54</v>
      </c>
      <c r="AW8" s="2359"/>
      <c r="AX8" s="2358" t="s">
        <v>55</v>
      </c>
      <c r="AY8" s="2359"/>
      <c r="AZ8" s="2358" t="s">
        <v>56</v>
      </c>
      <c r="BA8" s="2359"/>
      <c r="BB8" s="2358" t="s">
        <v>57</v>
      </c>
      <c r="BC8" s="2359"/>
      <c r="BD8" s="2358" t="s">
        <v>58</v>
      </c>
      <c r="BE8" s="2359"/>
      <c r="BF8" s="2637" t="s">
        <v>59</v>
      </c>
      <c r="BG8" s="2637"/>
      <c r="BH8" s="3978"/>
      <c r="BI8" s="3979"/>
      <c r="BJ8" s="2336" t="s">
        <v>60</v>
      </c>
      <c r="BK8" s="2499" t="s">
        <v>136</v>
      </c>
      <c r="BL8" s="2336" t="s">
        <v>137</v>
      </c>
      <c r="BM8" s="2501" t="s">
        <v>63</v>
      </c>
      <c r="BN8" s="2334" t="s">
        <v>64</v>
      </c>
      <c r="BO8" s="2335"/>
      <c r="BP8" s="2336" t="s">
        <v>65</v>
      </c>
      <c r="BQ8" s="4215"/>
      <c r="BR8" s="4216"/>
      <c r="BS8" s="4218"/>
      <c r="BT8" s="4216"/>
      <c r="BU8" s="2381"/>
      <c r="BV8" s="2"/>
      <c r="BW8" s="2"/>
      <c r="BX8" s="2"/>
      <c r="BY8" s="2"/>
      <c r="BZ8" s="2"/>
      <c r="CA8" s="2"/>
      <c r="CB8" s="2"/>
      <c r="CC8" s="2"/>
      <c r="CD8" s="2"/>
      <c r="CE8" s="2"/>
      <c r="CF8" s="2"/>
      <c r="CG8" s="2"/>
      <c r="CH8" s="2"/>
      <c r="CI8" s="2"/>
      <c r="CJ8" s="2"/>
      <c r="CK8" s="2"/>
      <c r="CL8" s="2"/>
      <c r="CM8" s="2"/>
      <c r="CN8" s="2"/>
      <c r="CO8" s="2"/>
    </row>
    <row r="9" spans="1:93" ht="39" customHeight="1" x14ac:dyDescent="0.25">
      <c r="A9" s="4220"/>
      <c r="B9" s="4197"/>
      <c r="C9" s="4197"/>
      <c r="D9" s="4197"/>
      <c r="E9" s="4197"/>
      <c r="F9" s="4197"/>
      <c r="G9" s="4197"/>
      <c r="H9" s="4197"/>
      <c r="I9" s="4197"/>
      <c r="J9" s="4197"/>
      <c r="K9" s="4197"/>
      <c r="L9" s="4197"/>
      <c r="M9" s="4197"/>
      <c r="N9" s="4197"/>
      <c r="O9" s="774" t="s">
        <v>138</v>
      </c>
      <c r="P9" s="819" t="s">
        <v>139</v>
      </c>
      <c r="Q9" s="4197"/>
      <c r="R9" s="4197"/>
      <c r="S9" s="4197"/>
      <c r="T9" s="4197"/>
      <c r="U9" s="4197"/>
      <c r="V9" s="4197"/>
      <c r="W9" s="4197"/>
      <c r="X9" s="774" t="s">
        <v>68</v>
      </c>
      <c r="Y9" s="819" t="s">
        <v>69</v>
      </c>
      <c r="Z9" s="819" t="s">
        <v>70</v>
      </c>
      <c r="AA9" s="4197"/>
      <c r="AB9" s="4197"/>
      <c r="AC9" s="4197"/>
      <c r="AD9" s="774" t="s">
        <v>66</v>
      </c>
      <c r="AE9" s="775" t="s">
        <v>67</v>
      </c>
      <c r="AF9" s="775" t="s">
        <v>66</v>
      </c>
      <c r="AG9" s="775" t="s">
        <v>67</v>
      </c>
      <c r="AH9" s="775" t="s">
        <v>66</v>
      </c>
      <c r="AI9" s="775" t="s">
        <v>67</v>
      </c>
      <c r="AJ9" s="775" t="s">
        <v>66</v>
      </c>
      <c r="AK9" s="775" t="s">
        <v>67</v>
      </c>
      <c r="AL9" s="775" t="s">
        <v>66</v>
      </c>
      <c r="AM9" s="775" t="s">
        <v>67</v>
      </c>
      <c r="AN9" s="775" t="s">
        <v>66</v>
      </c>
      <c r="AO9" s="775" t="s">
        <v>67</v>
      </c>
      <c r="AP9" s="775" t="s">
        <v>66</v>
      </c>
      <c r="AQ9" s="775" t="s">
        <v>67</v>
      </c>
      <c r="AR9" s="775" t="s">
        <v>66</v>
      </c>
      <c r="AS9" s="775" t="s">
        <v>67</v>
      </c>
      <c r="AT9" s="775" t="s">
        <v>66</v>
      </c>
      <c r="AU9" s="775" t="s">
        <v>67</v>
      </c>
      <c r="AV9" s="775" t="s">
        <v>66</v>
      </c>
      <c r="AW9" s="775" t="s">
        <v>67</v>
      </c>
      <c r="AX9" s="775" t="s">
        <v>66</v>
      </c>
      <c r="AY9" s="775" t="s">
        <v>67</v>
      </c>
      <c r="AZ9" s="775" t="s">
        <v>66</v>
      </c>
      <c r="BA9" s="775" t="s">
        <v>67</v>
      </c>
      <c r="BB9" s="775" t="s">
        <v>66</v>
      </c>
      <c r="BC9" s="775" t="s">
        <v>67</v>
      </c>
      <c r="BD9" s="775" t="s">
        <v>66</v>
      </c>
      <c r="BE9" s="775" t="s">
        <v>67</v>
      </c>
      <c r="BF9" s="775" t="s">
        <v>66</v>
      </c>
      <c r="BG9" s="775" t="s">
        <v>67</v>
      </c>
      <c r="BH9" s="775" t="s">
        <v>66</v>
      </c>
      <c r="BI9" s="775" t="s">
        <v>67</v>
      </c>
      <c r="BJ9" s="2337"/>
      <c r="BK9" s="2500"/>
      <c r="BL9" s="2337"/>
      <c r="BM9" s="2502"/>
      <c r="BN9" s="15" t="s">
        <v>25</v>
      </c>
      <c r="BO9" s="1859" t="s">
        <v>26</v>
      </c>
      <c r="BP9" s="2337"/>
      <c r="BQ9" s="776" t="s">
        <v>66</v>
      </c>
      <c r="BR9" s="777" t="s">
        <v>67</v>
      </c>
      <c r="BS9" s="777" t="s">
        <v>66</v>
      </c>
      <c r="BT9" s="777" t="s">
        <v>67</v>
      </c>
      <c r="BU9" s="2382"/>
      <c r="BV9" s="2"/>
      <c r="BW9" s="2"/>
      <c r="BX9" s="2"/>
      <c r="BY9" s="2"/>
      <c r="BZ9" s="2"/>
      <c r="CA9" s="2"/>
      <c r="CB9" s="2"/>
      <c r="CC9" s="2"/>
      <c r="CD9" s="2"/>
      <c r="CE9" s="2"/>
      <c r="CF9" s="2"/>
      <c r="CG9" s="2"/>
      <c r="CH9" s="2"/>
      <c r="CI9" s="2"/>
      <c r="CJ9" s="2"/>
      <c r="CK9" s="2"/>
      <c r="CL9" s="2"/>
      <c r="CM9" s="2"/>
      <c r="CN9" s="2"/>
      <c r="CO9" s="2"/>
    </row>
    <row r="10" spans="1:93" ht="27" customHeight="1" x14ac:dyDescent="0.25">
      <c r="A10" s="453">
        <v>1</v>
      </c>
      <c r="B10" s="4204" t="s">
        <v>1081</v>
      </c>
      <c r="C10" s="3594"/>
      <c r="D10" s="3594"/>
      <c r="E10" s="3594"/>
      <c r="F10" s="3594"/>
      <c r="G10" s="3594"/>
      <c r="H10" s="820"/>
      <c r="I10" s="820"/>
      <c r="J10" s="820"/>
      <c r="K10" s="820"/>
      <c r="L10" s="820"/>
      <c r="M10" s="820"/>
      <c r="N10" s="820"/>
      <c r="O10" s="820"/>
      <c r="P10" s="820"/>
      <c r="Q10" s="820"/>
      <c r="R10" s="820"/>
      <c r="S10" s="821"/>
      <c r="T10" s="822"/>
      <c r="U10" s="820"/>
      <c r="V10" s="820"/>
      <c r="W10" s="820"/>
      <c r="X10" s="822"/>
      <c r="Y10" s="822"/>
      <c r="Z10" s="822"/>
      <c r="AA10" s="820"/>
      <c r="AB10" s="823"/>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0"/>
      <c r="AY10" s="820"/>
      <c r="AZ10" s="820"/>
      <c r="BA10" s="820"/>
      <c r="BB10" s="820"/>
      <c r="BC10" s="820"/>
      <c r="BD10" s="820"/>
      <c r="BE10" s="820"/>
      <c r="BF10" s="820"/>
      <c r="BG10" s="820"/>
      <c r="BH10" s="820"/>
      <c r="BI10" s="820"/>
      <c r="BJ10" s="820"/>
      <c r="BK10" s="820"/>
      <c r="BL10" s="820"/>
      <c r="BM10" s="820"/>
      <c r="BN10" s="820"/>
      <c r="BO10" s="820"/>
      <c r="BP10" s="820"/>
      <c r="BQ10" s="824"/>
      <c r="BR10" s="824"/>
      <c r="BS10" s="824"/>
      <c r="BT10" s="824"/>
      <c r="BU10" s="825"/>
      <c r="BV10" s="2"/>
      <c r="BW10" s="2"/>
      <c r="BX10" s="2"/>
      <c r="BY10" s="2"/>
      <c r="BZ10" s="2"/>
      <c r="CA10" s="2"/>
      <c r="CB10" s="2"/>
      <c r="CC10" s="2"/>
      <c r="CD10" s="2"/>
      <c r="CE10" s="2"/>
      <c r="CF10" s="2"/>
      <c r="CG10" s="2"/>
      <c r="CH10" s="2"/>
      <c r="CI10" s="2"/>
      <c r="CJ10" s="2"/>
      <c r="CK10" s="2"/>
      <c r="CL10" s="2"/>
      <c r="CM10" s="2"/>
      <c r="CN10" s="2"/>
      <c r="CO10" s="2"/>
    </row>
    <row r="11" spans="1:93" s="70" customFormat="1" ht="27" customHeight="1" x14ac:dyDescent="0.25">
      <c r="A11" s="1882"/>
      <c r="B11" s="1897"/>
      <c r="C11" s="31">
        <v>19</v>
      </c>
      <c r="D11" s="4192" t="s">
        <v>427</v>
      </c>
      <c r="E11" s="2775"/>
      <c r="F11" s="2775"/>
      <c r="G11" s="2775"/>
      <c r="H11" s="2775"/>
      <c r="I11" s="2775"/>
      <c r="J11" s="33"/>
      <c r="K11" s="33"/>
      <c r="L11" s="33"/>
      <c r="M11" s="632"/>
      <c r="N11" s="632"/>
      <c r="O11" s="632"/>
      <c r="P11" s="632"/>
      <c r="Q11" s="632"/>
      <c r="R11" s="632"/>
      <c r="S11" s="826"/>
      <c r="T11" s="827"/>
      <c r="U11" s="632"/>
      <c r="V11" s="632"/>
      <c r="W11" s="632"/>
      <c r="X11" s="827"/>
      <c r="Y11" s="827"/>
      <c r="Z11" s="827"/>
      <c r="AA11" s="632"/>
      <c r="AB11" s="631"/>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2"/>
      <c r="BH11" s="632"/>
      <c r="BI11" s="632"/>
      <c r="BJ11" s="632"/>
      <c r="BK11" s="632"/>
      <c r="BL11" s="632"/>
      <c r="BM11" s="632"/>
      <c r="BN11" s="632"/>
      <c r="BO11" s="632"/>
      <c r="BP11" s="632"/>
      <c r="BQ11" s="634"/>
      <c r="BR11" s="634"/>
      <c r="BS11" s="634"/>
      <c r="BT11" s="634"/>
      <c r="BU11" s="635"/>
    </row>
    <row r="12" spans="1:93" s="2" customFormat="1" ht="15.75" x14ac:dyDescent="0.25">
      <c r="A12" s="2836"/>
      <c r="B12" s="2837"/>
      <c r="C12" s="1892"/>
      <c r="D12" s="1895"/>
      <c r="E12" s="828">
        <v>1905</v>
      </c>
      <c r="F12" s="4205" t="s">
        <v>1082</v>
      </c>
      <c r="G12" s="4206"/>
      <c r="H12" s="4206"/>
      <c r="I12" s="4206"/>
      <c r="J12" s="4207"/>
      <c r="K12" s="4207"/>
      <c r="L12" s="4207"/>
      <c r="M12" s="569"/>
      <c r="N12" s="569"/>
      <c r="O12" s="569"/>
      <c r="P12" s="569"/>
      <c r="Q12" s="569"/>
      <c r="R12" s="569"/>
      <c r="S12" s="829"/>
      <c r="T12" s="830"/>
      <c r="U12" s="569"/>
      <c r="V12" s="569"/>
      <c r="W12" s="639"/>
      <c r="X12" s="831"/>
      <c r="Y12" s="831"/>
      <c r="Z12" s="831"/>
      <c r="AA12" s="569"/>
      <c r="AB12" s="832"/>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833"/>
      <c r="BR12" s="833"/>
      <c r="BS12" s="833"/>
      <c r="BT12" s="833"/>
      <c r="BU12" s="834"/>
    </row>
    <row r="13" spans="1:93" s="70" customFormat="1" ht="65.25" customHeight="1" x14ac:dyDescent="0.25">
      <c r="A13" s="2836"/>
      <c r="B13" s="2837"/>
      <c r="C13" s="1883"/>
      <c r="D13" s="1884"/>
      <c r="E13" s="3376"/>
      <c r="F13" s="3376"/>
      <c r="G13" s="3377">
        <v>1905021</v>
      </c>
      <c r="H13" s="3434" t="s">
        <v>1083</v>
      </c>
      <c r="I13" s="3377">
        <v>1905021</v>
      </c>
      <c r="J13" s="3434" t="s">
        <v>1083</v>
      </c>
      <c r="K13" s="3377">
        <v>190502100</v>
      </c>
      <c r="L13" s="3434" t="s">
        <v>1084</v>
      </c>
      <c r="M13" s="3377">
        <v>190502100</v>
      </c>
      <c r="N13" s="3434" t="s">
        <v>1084</v>
      </c>
      <c r="O13" s="3377">
        <v>12</v>
      </c>
      <c r="P13" s="3377">
        <v>2</v>
      </c>
      <c r="Q13" s="3377" t="s">
        <v>1085</v>
      </c>
      <c r="R13" s="3434" t="s">
        <v>1086</v>
      </c>
      <c r="S13" s="4050">
        <f>SUM(X13:X15)/T13</f>
        <v>0.5714285714285714</v>
      </c>
      <c r="T13" s="4058">
        <f>SUM(X13:X20)</f>
        <v>175000000</v>
      </c>
      <c r="U13" s="4059" t="s">
        <v>1087</v>
      </c>
      <c r="V13" s="4046" t="s">
        <v>1088</v>
      </c>
      <c r="W13" s="835" t="s">
        <v>1089</v>
      </c>
      <c r="X13" s="2165">
        <v>65000000</v>
      </c>
      <c r="Y13" s="2166">
        <v>40450000</v>
      </c>
      <c r="Z13" s="2166">
        <v>25940000</v>
      </c>
      <c r="AA13" s="1930" t="s">
        <v>1090</v>
      </c>
      <c r="AB13" s="4048">
        <v>20</v>
      </c>
      <c r="AC13" s="3385" t="s">
        <v>187</v>
      </c>
      <c r="AD13" s="4056">
        <v>2360</v>
      </c>
      <c r="AE13" s="2252">
        <v>1808</v>
      </c>
      <c r="AF13" s="4134">
        <v>2360</v>
      </c>
      <c r="AG13" s="2252">
        <v>775</v>
      </c>
      <c r="AH13" s="4056">
        <v>480</v>
      </c>
      <c r="AI13" s="2252">
        <v>386</v>
      </c>
      <c r="AJ13" s="4042">
        <v>1400</v>
      </c>
      <c r="AK13" s="2252">
        <v>531</v>
      </c>
      <c r="AL13" s="4056">
        <v>1440</v>
      </c>
      <c r="AM13" s="2252">
        <v>1314</v>
      </c>
      <c r="AN13" s="4042">
        <v>1200</v>
      </c>
      <c r="AO13" s="2252">
        <v>352</v>
      </c>
      <c r="AP13" s="4056">
        <v>50</v>
      </c>
      <c r="AQ13" s="2252">
        <v>109</v>
      </c>
      <c r="AR13" s="4042">
        <v>50</v>
      </c>
      <c r="AS13" s="2252">
        <v>29</v>
      </c>
      <c r="AT13" s="4056" t="s">
        <v>319</v>
      </c>
      <c r="AU13" s="2252"/>
      <c r="AV13" s="4042" t="s">
        <v>319</v>
      </c>
      <c r="AW13" s="2252">
        <v>3</v>
      </c>
      <c r="AX13" s="4056" t="s">
        <v>319</v>
      </c>
      <c r="AY13" s="2252"/>
      <c r="AZ13" s="4042" t="s">
        <v>319</v>
      </c>
      <c r="BA13" s="2252">
        <v>1</v>
      </c>
      <c r="BB13" s="4056">
        <v>50</v>
      </c>
      <c r="BC13" s="2252">
        <v>175</v>
      </c>
      <c r="BD13" s="4042">
        <v>50</v>
      </c>
      <c r="BE13" s="2252">
        <v>340</v>
      </c>
      <c r="BF13" s="4056" t="s">
        <v>319</v>
      </c>
      <c r="BG13" s="2252"/>
      <c r="BH13" s="3440">
        <f>SUM(AD13+AF13)</f>
        <v>4720</v>
      </c>
      <c r="BI13" s="2252">
        <f>SUM(AI13+AK13+AM13+AO13)</f>
        <v>2583</v>
      </c>
      <c r="BJ13" s="2252">
        <v>6</v>
      </c>
      <c r="BK13" s="4202">
        <f>SUM(Y13:Y20)</f>
        <v>80070000</v>
      </c>
      <c r="BL13" s="4202">
        <f>SUM(Z13:Z20)</f>
        <v>51905000</v>
      </c>
      <c r="BM13" s="4055">
        <f>BL13/BK13</f>
        <v>0.64824528537529658</v>
      </c>
      <c r="BN13" s="2252">
        <v>20</v>
      </c>
      <c r="BO13" s="2252" t="s">
        <v>187</v>
      </c>
      <c r="BP13" s="4201" t="s">
        <v>1091</v>
      </c>
      <c r="BQ13" s="2641">
        <v>44197</v>
      </c>
      <c r="BR13" s="2641">
        <v>44245</v>
      </c>
      <c r="BS13" s="3452">
        <v>44561</v>
      </c>
      <c r="BT13" s="3452">
        <v>44424</v>
      </c>
      <c r="BU13" s="4201" t="s">
        <v>1091</v>
      </c>
    </row>
    <row r="14" spans="1:93" s="70" customFormat="1" ht="65.25" customHeight="1" x14ac:dyDescent="0.25">
      <c r="A14" s="2836"/>
      <c r="B14" s="2837"/>
      <c r="C14" s="1883"/>
      <c r="D14" s="1884"/>
      <c r="E14" s="3376"/>
      <c r="F14" s="3376"/>
      <c r="G14" s="3377"/>
      <c r="H14" s="3434"/>
      <c r="I14" s="3377"/>
      <c r="J14" s="3434"/>
      <c r="K14" s="3377"/>
      <c r="L14" s="3434"/>
      <c r="M14" s="3377"/>
      <c r="N14" s="3434"/>
      <c r="O14" s="3377"/>
      <c r="P14" s="3377"/>
      <c r="Q14" s="3377"/>
      <c r="R14" s="3434"/>
      <c r="S14" s="4050"/>
      <c r="T14" s="4058"/>
      <c r="U14" s="4059"/>
      <c r="V14" s="4046"/>
      <c r="W14" s="835" t="s">
        <v>1092</v>
      </c>
      <c r="X14" s="2165">
        <v>20000000</v>
      </c>
      <c r="Y14" s="2166">
        <v>11540000</v>
      </c>
      <c r="Z14" s="2167">
        <v>8540000</v>
      </c>
      <c r="AA14" s="1930" t="s">
        <v>1090</v>
      </c>
      <c r="AB14" s="4048"/>
      <c r="AC14" s="3385"/>
      <c r="AD14" s="4056"/>
      <c r="AE14" s="2252"/>
      <c r="AF14" s="4134"/>
      <c r="AG14" s="2252"/>
      <c r="AH14" s="4056"/>
      <c r="AI14" s="2252"/>
      <c r="AJ14" s="4042"/>
      <c r="AK14" s="2252"/>
      <c r="AL14" s="4056"/>
      <c r="AM14" s="2252"/>
      <c r="AN14" s="4042"/>
      <c r="AO14" s="2252"/>
      <c r="AP14" s="4056"/>
      <c r="AQ14" s="2252"/>
      <c r="AR14" s="4042"/>
      <c r="AS14" s="2252"/>
      <c r="AT14" s="4056"/>
      <c r="AU14" s="2252"/>
      <c r="AV14" s="4042"/>
      <c r="AW14" s="2252"/>
      <c r="AX14" s="4056"/>
      <c r="AY14" s="2252"/>
      <c r="AZ14" s="4042"/>
      <c r="BA14" s="2252"/>
      <c r="BB14" s="4056"/>
      <c r="BC14" s="2252"/>
      <c r="BD14" s="4042"/>
      <c r="BE14" s="2252"/>
      <c r="BF14" s="4056"/>
      <c r="BG14" s="2252"/>
      <c r="BH14" s="3440"/>
      <c r="BI14" s="2252"/>
      <c r="BJ14" s="2252"/>
      <c r="BK14" s="4202"/>
      <c r="BL14" s="4202"/>
      <c r="BM14" s="4055"/>
      <c r="BN14" s="2252"/>
      <c r="BO14" s="2252"/>
      <c r="BP14" s="4201"/>
      <c r="BQ14" s="2641"/>
      <c r="BR14" s="2641"/>
      <c r="BS14" s="3452"/>
      <c r="BT14" s="3452"/>
      <c r="BU14" s="4201"/>
    </row>
    <row r="15" spans="1:93" s="70" customFormat="1" ht="65.25" customHeight="1" x14ac:dyDescent="0.25">
      <c r="A15" s="2836"/>
      <c r="B15" s="2837"/>
      <c r="C15" s="1883"/>
      <c r="D15" s="1884"/>
      <c r="E15" s="3376"/>
      <c r="F15" s="3376"/>
      <c r="G15" s="3377"/>
      <c r="H15" s="3434"/>
      <c r="I15" s="3377"/>
      <c r="J15" s="3434"/>
      <c r="K15" s="3377"/>
      <c r="L15" s="3434"/>
      <c r="M15" s="3377"/>
      <c r="N15" s="3434"/>
      <c r="O15" s="3377"/>
      <c r="P15" s="3377"/>
      <c r="Q15" s="3377"/>
      <c r="R15" s="3434"/>
      <c r="S15" s="4050"/>
      <c r="T15" s="4058"/>
      <c r="U15" s="4059"/>
      <c r="V15" s="4046"/>
      <c r="W15" s="835" t="s">
        <v>1093</v>
      </c>
      <c r="X15" s="2165">
        <v>15000000</v>
      </c>
      <c r="Y15" s="2166">
        <v>3000000</v>
      </c>
      <c r="Z15" s="2167">
        <v>3000000</v>
      </c>
      <c r="AA15" s="1930" t="s">
        <v>1090</v>
      </c>
      <c r="AB15" s="4048"/>
      <c r="AC15" s="3385"/>
      <c r="AD15" s="4056"/>
      <c r="AE15" s="2252"/>
      <c r="AF15" s="4134"/>
      <c r="AG15" s="2252"/>
      <c r="AH15" s="4056"/>
      <c r="AI15" s="2252"/>
      <c r="AJ15" s="4042"/>
      <c r="AK15" s="2252"/>
      <c r="AL15" s="4056"/>
      <c r="AM15" s="2252"/>
      <c r="AN15" s="4042"/>
      <c r="AO15" s="2252"/>
      <c r="AP15" s="4056"/>
      <c r="AQ15" s="2252"/>
      <c r="AR15" s="4042"/>
      <c r="AS15" s="2252"/>
      <c r="AT15" s="4056"/>
      <c r="AU15" s="2252"/>
      <c r="AV15" s="4042"/>
      <c r="AW15" s="2252"/>
      <c r="AX15" s="4056"/>
      <c r="AY15" s="2252"/>
      <c r="AZ15" s="4042"/>
      <c r="BA15" s="2252"/>
      <c r="BB15" s="4056"/>
      <c r="BC15" s="2252"/>
      <c r="BD15" s="4042"/>
      <c r="BE15" s="2252"/>
      <c r="BF15" s="4056"/>
      <c r="BG15" s="2252"/>
      <c r="BH15" s="3440"/>
      <c r="BI15" s="2252"/>
      <c r="BJ15" s="2252"/>
      <c r="BK15" s="4202"/>
      <c r="BL15" s="4202"/>
      <c r="BM15" s="4055"/>
      <c r="BN15" s="2252"/>
      <c r="BO15" s="2252"/>
      <c r="BP15" s="4201"/>
      <c r="BQ15" s="2641"/>
      <c r="BR15" s="2641"/>
      <c r="BS15" s="3452"/>
      <c r="BT15" s="3452"/>
      <c r="BU15" s="4201"/>
    </row>
    <row r="16" spans="1:93" s="70" customFormat="1" ht="65.25" customHeight="1" x14ac:dyDescent="0.25">
      <c r="A16" s="2836"/>
      <c r="B16" s="2837"/>
      <c r="C16" s="1883"/>
      <c r="D16" s="1884"/>
      <c r="E16" s="1898"/>
      <c r="F16" s="1898"/>
      <c r="G16" s="3377">
        <v>1905022</v>
      </c>
      <c r="H16" s="3434" t="s">
        <v>1094</v>
      </c>
      <c r="I16" s="3377">
        <v>1905022</v>
      </c>
      <c r="J16" s="3434" t="s">
        <v>1094</v>
      </c>
      <c r="K16" s="3377">
        <v>190502200</v>
      </c>
      <c r="L16" s="3434" t="s">
        <v>1095</v>
      </c>
      <c r="M16" s="3377">
        <v>190502200</v>
      </c>
      <c r="N16" s="3434" t="s">
        <v>1095</v>
      </c>
      <c r="O16" s="3377">
        <v>12</v>
      </c>
      <c r="P16" s="3377">
        <v>2</v>
      </c>
      <c r="Q16" s="3377"/>
      <c r="R16" s="3434"/>
      <c r="S16" s="3450">
        <f>SUM(X16:X20)/T13</f>
        <v>0.42857142857142855</v>
      </c>
      <c r="T16" s="4058"/>
      <c r="U16" s="4059"/>
      <c r="V16" s="4046"/>
      <c r="W16" s="836" t="s">
        <v>1096</v>
      </c>
      <c r="X16" s="2165">
        <f>25000000+5700000</f>
        <v>30700000</v>
      </c>
      <c r="Y16" s="2166">
        <v>8540000</v>
      </c>
      <c r="Z16" s="2167">
        <v>5770000</v>
      </c>
      <c r="AA16" s="1930" t="s">
        <v>1097</v>
      </c>
      <c r="AB16" s="4048"/>
      <c r="AC16" s="3385"/>
      <c r="AD16" s="4056"/>
      <c r="AE16" s="2252"/>
      <c r="AF16" s="4134"/>
      <c r="AG16" s="2252"/>
      <c r="AH16" s="4056"/>
      <c r="AI16" s="2252"/>
      <c r="AJ16" s="4042"/>
      <c r="AK16" s="2252"/>
      <c r="AL16" s="4056"/>
      <c r="AM16" s="2252"/>
      <c r="AN16" s="4042"/>
      <c r="AO16" s="2252"/>
      <c r="AP16" s="4056"/>
      <c r="AQ16" s="2252"/>
      <c r="AR16" s="4042"/>
      <c r="AS16" s="2252"/>
      <c r="AT16" s="4056"/>
      <c r="AU16" s="2252"/>
      <c r="AV16" s="4042"/>
      <c r="AW16" s="2252"/>
      <c r="AX16" s="4056"/>
      <c r="AY16" s="2252"/>
      <c r="AZ16" s="4042"/>
      <c r="BA16" s="2252"/>
      <c r="BB16" s="4056"/>
      <c r="BC16" s="2252"/>
      <c r="BD16" s="4042"/>
      <c r="BE16" s="2252"/>
      <c r="BF16" s="4056"/>
      <c r="BG16" s="2252"/>
      <c r="BH16" s="3440"/>
      <c r="BI16" s="2252"/>
      <c r="BJ16" s="2252"/>
      <c r="BK16" s="4202"/>
      <c r="BL16" s="4202"/>
      <c r="BM16" s="4055"/>
      <c r="BN16" s="2252"/>
      <c r="BO16" s="2252"/>
      <c r="BP16" s="4201"/>
      <c r="BQ16" s="2641"/>
      <c r="BR16" s="2641"/>
      <c r="BS16" s="3452"/>
      <c r="BT16" s="3452"/>
      <c r="BU16" s="4201"/>
    </row>
    <row r="17" spans="1:73" s="70" customFormat="1" ht="65.25" customHeight="1" x14ac:dyDescent="0.25">
      <c r="A17" s="2836"/>
      <c r="B17" s="2837"/>
      <c r="C17" s="1883"/>
      <c r="D17" s="1884"/>
      <c r="E17" s="1898"/>
      <c r="F17" s="1898"/>
      <c r="G17" s="3377"/>
      <c r="H17" s="3434"/>
      <c r="I17" s="3377"/>
      <c r="J17" s="3434"/>
      <c r="K17" s="3377"/>
      <c r="L17" s="3434"/>
      <c r="M17" s="3377"/>
      <c r="N17" s="3434"/>
      <c r="O17" s="3377"/>
      <c r="P17" s="3377"/>
      <c r="Q17" s="3377"/>
      <c r="R17" s="3434"/>
      <c r="S17" s="3450"/>
      <c r="T17" s="4058"/>
      <c r="U17" s="4059"/>
      <c r="V17" s="4046"/>
      <c r="W17" s="836" t="s">
        <v>1098</v>
      </c>
      <c r="X17" s="2165">
        <v>25000000</v>
      </c>
      <c r="Y17" s="2166">
        <v>11540000</v>
      </c>
      <c r="Z17" s="2167">
        <v>8655000</v>
      </c>
      <c r="AA17" s="1930" t="s">
        <v>1097</v>
      </c>
      <c r="AB17" s="4048"/>
      <c r="AC17" s="3385"/>
      <c r="AD17" s="4056"/>
      <c r="AE17" s="2252"/>
      <c r="AF17" s="4134"/>
      <c r="AG17" s="2252"/>
      <c r="AH17" s="4056"/>
      <c r="AI17" s="2252"/>
      <c r="AJ17" s="4042"/>
      <c r="AK17" s="2252"/>
      <c r="AL17" s="4056"/>
      <c r="AM17" s="2252"/>
      <c r="AN17" s="4042"/>
      <c r="AO17" s="2252"/>
      <c r="AP17" s="4056"/>
      <c r="AQ17" s="2252"/>
      <c r="AR17" s="4042"/>
      <c r="AS17" s="2252"/>
      <c r="AT17" s="4056"/>
      <c r="AU17" s="2252"/>
      <c r="AV17" s="4042"/>
      <c r="AW17" s="2252"/>
      <c r="AX17" s="4056"/>
      <c r="AY17" s="2252"/>
      <c r="AZ17" s="4042"/>
      <c r="BA17" s="2252"/>
      <c r="BB17" s="4056"/>
      <c r="BC17" s="2252"/>
      <c r="BD17" s="4042"/>
      <c r="BE17" s="2252"/>
      <c r="BF17" s="4056"/>
      <c r="BG17" s="2252"/>
      <c r="BH17" s="3440"/>
      <c r="BI17" s="2252"/>
      <c r="BJ17" s="2252"/>
      <c r="BK17" s="4202"/>
      <c r="BL17" s="4202"/>
      <c r="BM17" s="4055"/>
      <c r="BN17" s="2252"/>
      <c r="BO17" s="2252"/>
      <c r="BP17" s="4201"/>
      <c r="BQ17" s="2641"/>
      <c r="BR17" s="2641"/>
      <c r="BS17" s="3452"/>
      <c r="BT17" s="3452"/>
      <c r="BU17" s="4201"/>
    </row>
    <row r="18" spans="1:73" s="70" customFormat="1" ht="65.25" customHeight="1" x14ac:dyDescent="0.25">
      <c r="A18" s="2836"/>
      <c r="B18" s="2837"/>
      <c r="C18" s="1883"/>
      <c r="D18" s="1884"/>
      <c r="E18" s="1898"/>
      <c r="F18" s="1898"/>
      <c r="G18" s="3377"/>
      <c r="H18" s="3434"/>
      <c r="I18" s="3377"/>
      <c r="J18" s="3434"/>
      <c r="K18" s="3377"/>
      <c r="L18" s="3434"/>
      <c r="M18" s="3377"/>
      <c r="N18" s="3434"/>
      <c r="O18" s="3377"/>
      <c r="P18" s="3377"/>
      <c r="Q18" s="3377"/>
      <c r="R18" s="3434"/>
      <c r="S18" s="3450"/>
      <c r="T18" s="4058"/>
      <c r="U18" s="4059"/>
      <c r="V18" s="4046"/>
      <c r="W18" s="836" t="s">
        <v>1099</v>
      </c>
      <c r="X18" s="2165">
        <f>15000000-5700000</f>
        <v>9300000</v>
      </c>
      <c r="Y18" s="2166">
        <v>0</v>
      </c>
      <c r="Z18" s="2167">
        <v>0</v>
      </c>
      <c r="AA18" s="1930" t="s">
        <v>1100</v>
      </c>
      <c r="AB18" s="4048"/>
      <c r="AC18" s="3385"/>
      <c r="AD18" s="4056"/>
      <c r="AE18" s="2252"/>
      <c r="AF18" s="4134"/>
      <c r="AG18" s="2252"/>
      <c r="AH18" s="4056"/>
      <c r="AI18" s="2252"/>
      <c r="AJ18" s="4042"/>
      <c r="AK18" s="2252"/>
      <c r="AL18" s="4056"/>
      <c r="AM18" s="2252"/>
      <c r="AN18" s="4042"/>
      <c r="AO18" s="2252"/>
      <c r="AP18" s="4056"/>
      <c r="AQ18" s="2252"/>
      <c r="AR18" s="4042"/>
      <c r="AS18" s="2252"/>
      <c r="AT18" s="4056"/>
      <c r="AU18" s="2252"/>
      <c r="AV18" s="4042"/>
      <c r="AW18" s="2252"/>
      <c r="AX18" s="4056"/>
      <c r="AY18" s="2252"/>
      <c r="AZ18" s="4042"/>
      <c r="BA18" s="2252"/>
      <c r="BB18" s="4056"/>
      <c r="BC18" s="2252"/>
      <c r="BD18" s="4042"/>
      <c r="BE18" s="2252"/>
      <c r="BF18" s="4056"/>
      <c r="BG18" s="2252"/>
      <c r="BH18" s="3440"/>
      <c r="BI18" s="2252"/>
      <c r="BJ18" s="2252"/>
      <c r="BK18" s="4202"/>
      <c r="BL18" s="4202"/>
      <c r="BM18" s="4055"/>
      <c r="BN18" s="2252"/>
      <c r="BO18" s="2252"/>
      <c r="BP18" s="4201"/>
      <c r="BQ18" s="2641"/>
      <c r="BR18" s="2641"/>
      <c r="BS18" s="3452"/>
      <c r="BT18" s="3452"/>
      <c r="BU18" s="4201"/>
    </row>
    <row r="19" spans="1:73" s="70" customFormat="1" ht="39" customHeight="1" x14ac:dyDescent="0.25">
      <c r="A19" s="2836"/>
      <c r="B19" s="2837"/>
      <c r="C19" s="1883"/>
      <c r="D19" s="1884"/>
      <c r="E19" s="1898"/>
      <c r="F19" s="1898"/>
      <c r="G19" s="3377"/>
      <c r="H19" s="3434"/>
      <c r="I19" s="3377"/>
      <c r="J19" s="3434"/>
      <c r="K19" s="3377"/>
      <c r="L19" s="3434"/>
      <c r="M19" s="3377"/>
      <c r="N19" s="3434"/>
      <c r="O19" s="3377"/>
      <c r="P19" s="3377"/>
      <c r="Q19" s="3377"/>
      <c r="R19" s="3434"/>
      <c r="S19" s="3450"/>
      <c r="T19" s="4058"/>
      <c r="U19" s="4059"/>
      <c r="V19" s="4208"/>
      <c r="W19" s="837" t="s">
        <v>1101</v>
      </c>
      <c r="X19" s="2168">
        <v>5000000</v>
      </c>
      <c r="Y19" s="2166">
        <v>0</v>
      </c>
      <c r="Z19" s="2169">
        <v>0</v>
      </c>
      <c r="AA19" s="1930" t="s">
        <v>1102</v>
      </c>
      <c r="AB19" s="4048"/>
      <c r="AC19" s="3385"/>
      <c r="AD19" s="4056"/>
      <c r="AE19" s="2252"/>
      <c r="AF19" s="4134"/>
      <c r="AG19" s="2252"/>
      <c r="AH19" s="4056"/>
      <c r="AI19" s="2252"/>
      <c r="AJ19" s="4042"/>
      <c r="AK19" s="2252"/>
      <c r="AL19" s="4056"/>
      <c r="AM19" s="2252"/>
      <c r="AN19" s="4042"/>
      <c r="AO19" s="2252"/>
      <c r="AP19" s="4056"/>
      <c r="AQ19" s="2252"/>
      <c r="AR19" s="4042"/>
      <c r="AS19" s="2252"/>
      <c r="AT19" s="4056"/>
      <c r="AU19" s="2252"/>
      <c r="AV19" s="4042"/>
      <c r="AW19" s="2252"/>
      <c r="AX19" s="4056"/>
      <c r="AY19" s="2252"/>
      <c r="AZ19" s="4042"/>
      <c r="BA19" s="2252"/>
      <c r="BB19" s="4056"/>
      <c r="BC19" s="2252"/>
      <c r="BD19" s="4042"/>
      <c r="BE19" s="2252"/>
      <c r="BF19" s="4056"/>
      <c r="BG19" s="2252"/>
      <c r="BH19" s="3440"/>
      <c r="BI19" s="2252"/>
      <c r="BJ19" s="2252"/>
      <c r="BK19" s="4202"/>
      <c r="BL19" s="4202"/>
      <c r="BM19" s="4055"/>
      <c r="BN19" s="2252"/>
      <c r="BO19" s="2252"/>
      <c r="BP19" s="4201"/>
      <c r="BQ19" s="2641"/>
      <c r="BR19" s="2641"/>
      <c r="BS19" s="3452"/>
      <c r="BT19" s="3452"/>
      <c r="BU19" s="4201"/>
    </row>
    <row r="20" spans="1:73" s="70" customFormat="1" ht="39" customHeight="1" x14ac:dyDescent="0.25">
      <c r="A20" s="2836"/>
      <c r="B20" s="2837"/>
      <c r="C20" s="1885"/>
      <c r="D20" s="1886"/>
      <c r="E20" s="1898"/>
      <c r="F20" s="1898"/>
      <c r="G20" s="3377"/>
      <c r="H20" s="3434"/>
      <c r="I20" s="3377"/>
      <c r="J20" s="3434"/>
      <c r="K20" s="3377"/>
      <c r="L20" s="3434"/>
      <c r="M20" s="3377"/>
      <c r="N20" s="3434"/>
      <c r="O20" s="3377"/>
      <c r="P20" s="3377"/>
      <c r="Q20" s="3377"/>
      <c r="R20" s="3434"/>
      <c r="S20" s="3450"/>
      <c r="T20" s="4058"/>
      <c r="U20" s="4059"/>
      <c r="V20" s="4208"/>
      <c r="W20" s="837" t="s">
        <v>1103</v>
      </c>
      <c r="X20" s="2168">
        <v>5000000</v>
      </c>
      <c r="Y20" s="2168">
        <v>5000000</v>
      </c>
      <c r="Z20" s="2170">
        <v>0</v>
      </c>
      <c r="AA20" s="1925" t="s">
        <v>1104</v>
      </c>
      <c r="AB20" s="4048"/>
      <c r="AC20" s="3385"/>
      <c r="AD20" s="4056"/>
      <c r="AE20" s="2252"/>
      <c r="AF20" s="4134"/>
      <c r="AG20" s="2252"/>
      <c r="AH20" s="4056"/>
      <c r="AI20" s="2252"/>
      <c r="AJ20" s="4042"/>
      <c r="AK20" s="2252"/>
      <c r="AL20" s="4056"/>
      <c r="AM20" s="2252"/>
      <c r="AN20" s="4042"/>
      <c r="AO20" s="2252"/>
      <c r="AP20" s="4056"/>
      <c r="AQ20" s="2252"/>
      <c r="AR20" s="4042"/>
      <c r="AS20" s="2252"/>
      <c r="AT20" s="4056"/>
      <c r="AU20" s="2252"/>
      <c r="AV20" s="4042"/>
      <c r="AW20" s="2252"/>
      <c r="AX20" s="4056"/>
      <c r="AY20" s="2252"/>
      <c r="AZ20" s="4042"/>
      <c r="BA20" s="2252"/>
      <c r="BB20" s="4056"/>
      <c r="BC20" s="2252"/>
      <c r="BD20" s="4042"/>
      <c r="BE20" s="2252"/>
      <c r="BF20" s="4056"/>
      <c r="BG20" s="2252"/>
      <c r="BH20" s="3440"/>
      <c r="BI20" s="2252"/>
      <c r="BJ20" s="2252"/>
      <c r="BK20" s="4202"/>
      <c r="BL20" s="4202"/>
      <c r="BM20" s="4055"/>
      <c r="BN20" s="2252"/>
      <c r="BO20" s="2252"/>
      <c r="BP20" s="4201"/>
      <c r="BQ20" s="2641"/>
      <c r="BR20" s="2641"/>
      <c r="BS20" s="3452"/>
      <c r="BT20" s="3452"/>
      <c r="BU20" s="4201"/>
    </row>
    <row r="21" spans="1:73" s="2" customFormat="1" ht="27.75" customHeight="1" x14ac:dyDescent="0.25">
      <c r="A21" s="2836"/>
      <c r="B21" s="2837"/>
      <c r="C21" s="309">
        <v>33</v>
      </c>
      <c r="D21" s="838" t="s">
        <v>473</v>
      </c>
      <c r="E21" s="839"/>
      <c r="F21" s="567"/>
      <c r="G21" s="484"/>
      <c r="H21" s="484"/>
      <c r="I21" s="484"/>
      <c r="J21" s="484"/>
      <c r="K21" s="484"/>
      <c r="L21" s="484"/>
      <c r="M21" s="484"/>
      <c r="N21" s="484"/>
      <c r="O21" s="484"/>
      <c r="P21" s="484"/>
      <c r="Q21" s="484"/>
      <c r="R21" s="484"/>
      <c r="S21" s="840"/>
      <c r="T21" s="841"/>
      <c r="U21" s="484"/>
      <c r="V21" s="842"/>
      <c r="W21" s="843"/>
      <c r="X21" s="2171"/>
      <c r="Y21" s="2171"/>
      <c r="Z21" s="2171"/>
      <c r="AA21" s="844"/>
      <c r="AB21" s="845"/>
      <c r="AC21" s="477"/>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A21" s="844"/>
      <c r="BB21" s="844"/>
      <c r="BC21" s="844"/>
      <c r="BD21" s="844"/>
      <c r="BE21" s="844"/>
      <c r="BF21" s="844"/>
      <c r="BG21" s="844"/>
      <c r="BH21" s="845"/>
      <c r="BI21" s="845"/>
      <c r="BJ21" s="845"/>
      <c r="BK21" s="845"/>
      <c r="BL21" s="845"/>
      <c r="BM21" s="845"/>
      <c r="BN21" s="845"/>
      <c r="BO21" s="845"/>
      <c r="BP21" s="845"/>
      <c r="BQ21" s="846"/>
      <c r="BR21" s="846"/>
      <c r="BS21" s="846"/>
      <c r="BT21" s="846"/>
      <c r="BU21" s="847"/>
    </row>
    <row r="22" spans="1:73" s="2" customFormat="1" ht="27" customHeight="1" x14ac:dyDescent="0.25">
      <c r="A22" s="2836"/>
      <c r="B22" s="2837"/>
      <c r="C22" s="1892"/>
      <c r="D22" s="1893"/>
      <c r="E22" s="414">
        <v>3301</v>
      </c>
      <c r="F22" s="3161" t="s">
        <v>474</v>
      </c>
      <c r="G22" s="3065"/>
      <c r="H22" s="3065"/>
      <c r="I22" s="3065"/>
      <c r="J22" s="3065"/>
      <c r="K22" s="3065"/>
      <c r="L22" s="3065"/>
      <c r="M22" s="848"/>
      <c r="N22" s="848"/>
      <c r="O22" s="848"/>
      <c r="P22" s="848"/>
      <c r="Q22" s="848"/>
      <c r="R22" s="848"/>
      <c r="S22" s="849"/>
      <c r="T22" s="850"/>
      <c r="U22" s="848"/>
      <c r="V22" s="848"/>
      <c r="W22" s="848"/>
      <c r="X22" s="2172"/>
      <c r="Y22" s="2172"/>
      <c r="Z22" s="2172"/>
      <c r="AA22" s="57"/>
      <c r="AB22" s="852"/>
      <c r="AC22" s="188"/>
      <c r="AD22" s="848"/>
      <c r="AE22" s="848"/>
      <c r="AF22" s="848"/>
      <c r="AG22" s="848"/>
      <c r="AH22" s="848"/>
      <c r="AI22" s="848"/>
      <c r="AJ22" s="848"/>
      <c r="AK22" s="848"/>
      <c r="AL22" s="848"/>
      <c r="AM22" s="848"/>
      <c r="AN22" s="848"/>
      <c r="AO22" s="848"/>
      <c r="AP22" s="848"/>
      <c r="AQ22" s="848"/>
      <c r="AR22" s="848"/>
      <c r="AS22" s="848"/>
      <c r="AT22" s="848"/>
      <c r="AU22" s="848"/>
      <c r="AV22" s="848"/>
      <c r="AW22" s="848"/>
      <c r="AX22" s="848"/>
      <c r="AY22" s="848"/>
      <c r="AZ22" s="848"/>
      <c r="BA22" s="848"/>
      <c r="BB22" s="848"/>
      <c r="BC22" s="848"/>
      <c r="BD22" s="848"/>
      <c r="BE22" s="848"/>
      <c r="BF22" s="848"/>
      <c r="BG22" s="848"/>
      <c r="BH22" s="848"/>
      <c r="BI22" s="848"/>
      <c r="BJ22" s="848"/>
      <c r="BK22" s="848"/>
      <c r="BL22" s="848"/>
      <c r="BM22" s="848"/>
      <c r="BN22" s="848"/>
      <c r="BO22" s="848"/>
      <c r="BP22" s="848"/>
      <c r="BQ22" s="853"/>
      <c r="BR22" s="853"/>
      <c r="BS22" s="853"/>
      <c r="BT22" s="853"/>
      <c r="BU22" s="854"/>
    </row>
    <row r="23" spans="1:73" s="2" customFormat="1" ht="201.75" customHeight="1" x14ac:dyDescent="0.25">
      <c r="A23" s="2836"/>
      <c r="B23" s="2837"/>
      <c r="C23" s="1896"/>
      <c r="D23" s="1895"/>
      <c r="E23" s="1942"/>
      <c r="F23" s="1942"/>
      <c r="G23" s="1929">
        <v>3301051</v>
      </c>
      <c r="H23" s="1949" t="s">
        <v>1105</v>
      </c>
      <c r="I23" s="1929">
        <v>3301051</v>
      </c>
      <c r="J23" s="1949" t="s">
        <v>1105</v>
      </c>
      <c r="K23" s="1864">
        <v>330105110</v>
      </c>
      <c r="L23" s="1867" t="s">
        <v>1106</v>
      </c>
      <c r="M23" s="1864">
        <v>330105110</v>
      </c>
      <c r="N23" s="1867" t="s">
        <v>1106</v>
      </c>
      <c r="O23" s="1864">
        <v>250</v>
      </c>
      <c r="P23" s="1864">
        <v>44</v>
      </c>
      <c r="Q23" s="1864" t="s">
        <v>1107</v>
      </c>
      <c r="R23" s="1867" t="s">
        <v>1108</v>
      </c>
      <c r="S23" s="1918">
        <f>X23/T23</f>
        <v>1</v>
      </c>
      <c r="T23" s="1932">
        <f>X23</f>
        <v>14250000</v>
      </c>
      <c r="U23" s="1867" t="s">
        <v>1109</v>
      </c>
      <c r="V23" s="1890" t="s">
        <v>1110</v>
      </c>
      <c r="W23" s="1887" t="s">
        <v>1111</v>
      </c>
      <c r="X23" s="2173">
        <v>14250000</v>
      </c>
      <c r="Y23" s="2174">
        <v>7420000</v>
      </c>
      <c r="Z23" s="2174">
        <v>7420000</v>
      </c>
      <c r="AA23" s="1930" t="s">
        <v>1112</v>
      </c>
      <c r="AB23" s="1952">
        <v>20</v>
      </c>
      <c r="AC23" s="1855" t="s">
        <v>187</v>
      </c>
      <c r="AD23" s="1953">
        <v>100</v>
      </c>
      <c r="AE23" s="855">
        <v>24</v>
      </c>
      <c r="AF23" s="856">
        <v>150</v>
      </c>
      <c r="AG23" s="856">
        <v>75</v>
      </c>
      <c r="AH23" s="856" t="s">
        <v>319</v>
      </c>
      <c r="AI23" s="856"/>
      <c r="AJ23" s="856"/>
      <c r="AK23" s="856"/>
      <c r="AL23" s="856">
        <v>30</v>
      </c>
      <c r="AM23" s="856">
        <v>10</v>
      </c>
      <c r="AN23" s="856" t="s">
        <v>319</v>
      </c>
      <c r="AO23" s="856"/>
      <c r="AP23" s="856" t="s">
        <v>319</v>
      </c>
      <c r="AQ23" s="856"/>
      <c r="AR23" s="856">
        <v>2</v>
      </c>
      <c r="AS23" s="856"/>
      <c r="AT23" s="856" t="s">
        <v>319</v>
      </c>
      <c r="AU23" s="856"/>
      <c r="AV23" s="856" t="s">
        <v>319</v>
      </c>
      <c r="AW23" s="856"/>
      <c r="AX23" s="856" t="s">
        <v>319</v>
      </c>
      <c r="AY23" s="856"/>
      <c r="AZ23" s="856" t="s">
        <v>319</v>
      </c>
      <c r="BA23" s="856"/>
      <c r="BB23" s="856" t="s">
        <v>319</v>
      </c>
      <c r="BC23" s="856"/>
      <c r="BD23" s="856">
        <v>1</v>
      </c>
      <c r="BE23" s="856"/>
      <c r="BF23" s="856">
        <v>3</v>
      </c>
      <c r="BG23" s="856"/>
      <c r="BH23" s="1911">
        <f>AD23+AF23</f>
        <v>250</v>
      </c>
      <c r="BI23" s="1911">
        <f>AE23+AG23</f>
        <v>99</v>
      </c>
      <c r="BJ23" s="1911">
        <v>1</v>
      </c>
      <c r="BK23" s="1941">
        <f>SUM(Y23)</f>
        <v>7420000</v>
      </c>
      <c r="BL23" s="1941">
        <f>Z23</f>
        <v>7420000</v>
      </c>
      <c r="BM23" s="1869">
        <f>BL23/BK23</f>
        <v>1</v>
      </c>
      <c r="BN23" s="1911">
        <v>20</v>
      </c>
      <c r="BO23" s="1911" t="s">
        <v>187</v>
      </c>
      <c r="BP23" s="1912" t="s">
        <v>1113</v>
      </c>
      <c r="BQ23" s="1874">
        <v>44197</v>
      </c>
      <c r="BR23" s="1874">
        <v>44251</v>
      </c>
      <c r="BS23" s="1874">
        <v>44561</v>
      </c>
      <c r="BT23" s="1874">
        <v>44370</v>
      </c>
      <c r="BU23" s="1912" t="s">
        <v>1113</v>
      </c>
    </row>
    <row r="24" spans="1:73" s="2" customFormat="1" ht="20.25" customHeight="1" x14ac:dyDescent="0.25">
      <c r="A24" s="2836"/>
      <c r="B24" s="2837"/>
      <c r="C24" s="309">
        <v>41</v>
      </c>
      <c r="D24" s="4192" t="s">
        <v>1114</v>
      </c>
      <c r="E24" s="2775"/>
      <c r="F24" s="3375"/>
      <c r="G24" s="3375"/>
      <c r="H24" s="3375"/>
      <c r="I24" s="3375"/>
      <c r="J24" s="3375"/>
      <c r="K24" s="567"/>
      <c r="L24" s="567"/>
      <c r="M24" s="567"/>
      <c r="N24" s="567"/>
      <c r="O24" s="567"/>
      <c r="P24" s="567"/>
      <c r="Q24" s="567"/>
      <c r="R24" s="567"/>
      <c r="S24" s="857"/>
      <c r="T24" s="858"/>
      <c r="U24" s="567"/>
      <c r="V24" s="859"/>
      <c r="W24" s="567"/>
      <c r="X24" s="2175"/>
      <c r="Y24" s="2175"/>
      <c r="Z24" s="2175"/>
      <c r="AA24" s="484"/>
      <c r="AB24" s="861"/>
      <c r="AC24" s="477"/>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2"/>
      <c r="BA24" s="862"/>
      <c r="BB24" s="862"/>
      <c r="BC24" s="862"/>
      <c r="BD24" s="862"/>
      <c r="BE24" s="862"/>
      <c r="BF24" s="862"/>
      <c r="BG24" s="862"/>
      <c r="BH24" s="861"/>
      <c r="BI24" s="861"/>
      <c r="BJ24" s="861"/>
      <c r="BK24" s="861"/>
      <c r="BL24" s="861"/>
      <c r="BM24" s="861"/>
      <c r="BN24" s="861"/>
      <c r="BO24" s="861"/>
      <c r="BP24" s="861"/>
      <c r="BQ24" s="863"/>
      <c r="BR24" s="863"/>
      <c r="BS24" s="863"/>
      <c r="BT24" s="863"/>
      <c r="BU24" s="864"/>
    </row>
    <row r="25" spans="1:73" s="2" customFormat="1" ht="27" customHeight="1" x14ac:dyDescent="0.25">
      <c r="A25" s="2836"/>
      <c r="B25" s="2837"/>
      <c r="C25" s="1892"/>
      <c r="D25" s="1895"/>
      <c r="E25" s="865">
        <v>4102</v>
      </c>
      <c r="F25" s="866" t="s">
        <v>1115</v>
      </c>
      <c r="G25" s="867"/>
      <c r="H25" s="867"/>
      <c r="I25" s="867"/>
      <c r="J25" s="867"/>
      <c r="K25" s="867"/>
      <c r="L25" s="867"/>
      <c r="M25" s="868"/>
      <c r="N25" s="868"/>
      <c r="O25" s="848"/>
      <c r="P25" s="57"/>
      <c r="Q25" s="848"/>
      <c r="R25" s="848"/>
      <c r="S25" s="849"/>
      <c r="T25" s="850"/>
      <c r="U25" s="848"/>
      <c r="V25" s="848"/>
      <c r="W25" s="57"/>
      <c r="X25" s="2172"/>
      <c r="Y25" s="2172"/>
      <c r="Z25" s="2172"/>
      <c r="AA25" s="57"/>
      <c r="AB25" s="852"/>
      <c r="AC25" s="18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8"/>
      <c r="BF25" s="848"/>
      <c r="BG25" s="848"/>
      <c r="BH25" s="848"/>
      <c r="BI25" s="848"/>
      <c r="BJ25" s="848"/>
      <c r="BK25" s="848"/>
      <c r="BL25" s="848"/>
      <c r="BM25" s="848"/>
      <c r="BN25" s="848"/>
      <c r="BO25" s="848"/>
      <c r="BP25" s="848"/>
      <c r="BQ25" s="853"/>
      <c r="BR25" s="853"/>
      <c r="BS25" s="853"/>
      <c r="BT25" s="853"/>
      <c r="BU25" s="854"/>
    </row>
    <row r="26" spans="1:73" s="70" customFormat="1" ht="158.25" customHeight="1" x14ac:dyDescent="0.25">
      <c r="A26" s="2836"/>
      <c r="B26" s="2837"/>
      <c r="C26" s="1883"/>
      <c r="D26" s="1891"/>
      <c r="E26" s="4060"/>
      <c r="F26" s="4060"/>
      <c r="G26" s="3378" t="s">
        <v>74</v>
      </c>
      <c r="H26" s="4193" t="s">
        <v>1116</v>
      </c>
      <c r="I26" s="4079">
        <v>4102035</v>
      </c>
      <c r="J26" s="4194" t="s">
        <v>197</v>
      </c>
      <c r="K26" s="1907" t="s">
        <v>74</v>
      </c>
      <c r="L26" s="4013" t="s">
        <v>1117</v>
      </c>
      <c r="M26" s="4190">
        <v>410203500</v>
      </c>
      <c r="N26" s="4191" t="s">
        <v>199</v>
      </c>
      <c r="O26" s="4190">
        <v>1</v>
      </c>
      <c r="P26" s="3408">
        <v>0.15</v>
      </c>
      <c r="Q26" s="3409" t="s">
        <v>1118</v>
      </c>
      <c r="R26" s="2702" t="s">
        <v>1119</v>
      </c>
      <c r="S26" s="1922">
        <f>X26/T26</f>
        <v>0.19621308741293045</v>
      </c>
      <c r="T26" s="4021">
        <f>SUM(X26:X31)</f>
        <v>101930000</v>
      </c>
      <c r="U26" s="2429" t="s">
        <v>1120</v>
      </c>
      <c r="V26" s="2772" t="s">
        <v>1121</v>
      </c>
      <c r="W26" s="4148" t="s">
        <v>1122</v>
      </c>
      <c r="X26" s="2165">
        <v>20000000</v>
      </c>
      <c r="Y26" s="2176">
        <v>0</v>
      </c>
      <c r="Z26" s="2176">
        <v>0</v>
      </c>
      <c r="AA26" s="869" t="s">
        <v>1123</v>
      </c>
      <c r="AB26" s="870">
        <v>20</v>
      </c>
      <c r="AC26" s="1879" t="s">
        <v>187</v>
      </c>
      <c r="AD26" s="2318">
        <v>104</v>
      </c>
      <c r="AE26" s="2318">
        <v>151</v>
      </c>
      <c r="AF26" s="2318">
        <v>96</v>
      </c>
      <c r="AG26" s="2318">
        <v>21</v>
      </c>
      <c r="AH26" s="2318">
        <v>125</v>
      </c>
      <c r="AI26" s="2318">
        <v>14</v>
      </c>
      <c r="AJ26" s="2318" t="s">
        <v>319</v>
      </c>
      <c r="AK26" s="2318">
        <v>59</v>
      </c>
      <c r="AL26" s="2318">
        <v>75</v>
      </c>
      <c r="AM26" s="2318">
        <v>99</v>
      </c>
      <c r="AN26" s="2318" t="s">
        <v>319</v>
      </c>
      <c r="AO26" s="2318"/>
      <c r="AP26" s="2318" t="s">
        <v>319</v>
      </c>
      <c r="AQ26" s="2318"/>
      <c r="AR26" s="2318" t="s">
        <v>319</v>
      </c>
      <c r="AS26" s="2318"/>
      <c r="AT26" s="2318" t="s">
        <v>319</v>
      </c>
      <c r="AU26" s="2318"/>
      <c r="AV26" s="2318" t="s">
        <v>319</v>
      </c>
      <c r="AW26" s="2318"/>
      <c r="AX26" s="2318" t="s">
        <v>319</v>
      </c>
      <c r="AY26" s="2318"/>
      <c r="AZ26" s="2318" t="s">
        <v>319</v>
      </c>
      <c r="BA26" s="2318"/>
      <c r="BB26" s="2318" t="s">
        <v>319</v>
      </c>
      <c r="BC26" s="2318"/>
      <c r="BD26" s="2318" t="s">
        <v>319</v>
      </c>
      <c r="BE26" s="2318"/>
      <c r="BF26" s="2318" t="s">
        <v>319</v>
      </c>
      <c r="BG26" s="2318"/>
      <c r="BH26" s="3463">
        <f>SUM(AD26+AF26)</f>
        <v>200</v>
      </c>
      <c r="BI26" s="2318">
        <f>SUM(AI26+AK26+AM26+AO26)</f>
        <v>172</v>
      </c>
      <c r="BJ26" s="2318">
        <v>2</v>
      </c>
      <c r="BK26" s="4166">
        <f>SUM(Y26:Y31)</f>
        <v>28850000</v>
      </c>
      <c r="BL26" s="4166">
        <f>SUM(Z26:Z31)</f>
        <v>20195000</v>
      </c>
      <c r="BM26" s="4017">
        <f>BL26/BK26</f>
        <v>0.7</v>
      </c>
      <c r="BN26" s="2318">
        <v>20</v>
      </c>
      <c r="BO26" s="2318" t="s">
        <v>187</v>
      </c>
      <c r="BP26" s="2318" t="s">
        <v>1124</v>
      </c>
      <c r="BQ26" s="4007">
        <v>44197</v>
      </c>
      <c r="BR26" s="4007">
        <v>44242</v>
      </c>
      <c r="BS26" s="4007">
        <v>44561</v>
      </c>
      <c r="BT26" s="4007">
        <v>44421</v>
      </c>
      <c r="BU26" s="3463" t="s">
        <v>1124</v>
      </c>
    </row>
    <row r="27" spans="1:73" s="70" customFormat="1" ht="158.25" customHeight="1" x14ac:dyDescent="0.25">
      <c r="A27" s="2836"/>
      <c r="B27" s="2837"/>
      <c r="C27" s="1883"/>
      <c r="D27" s="1891"/>
      <c r="E27" s="4060"/>
      <c r="F27" s="4060"/>
      <c r="G27" s="3433"/>
      <c r="H27" s="3420"/>
      <c r="I27" s="4081"/>
      <c r="J27" s="3121"/>
      <c r="K27" s="1907"/>
      <c r="L27" s="2703"/>
      <c r="M27" s="3601"/>
      <c r="N27" s="3612"/>
      <c r="O27" s="3601"/>
      <c r="P27" s="3601"/>
      <c r="Q27" s="3409"/>
      <c r="R27" s="2702"/>
      <c r="S27" s="1922"/>
      <c r="T27" s="4021"/>
      <c r="U27" s="2429"/>
      <c r="V27" s="2772"/>
      <c r="W27" s="4067"/>
      <c r="X27" s="2165">
        <v>30000000</v>
      </c>
      <c r="Y27" s="2176">
        <v>0</v>
      </c>
      <c r="Z27" s="2176">
        <v>0</v>
      </c>
      <c r="AA27" s="869" t="s">
        <v>1125</v>
      </c>
      <c r="AB27" s="870">
        <v>88</v>
      </c>
      <c r="AC27" s="1879" t="s">
        <v>1126</v>
      </c>
      <c r="AD27" s="2318"/>
      <c r="AE27" s="2318"/>
      <c r="AF27" s="2318"/>
      <c r="AG27" s="2318"/>
      <c r="AH27" s="2318"/>
      <c r="AI27" s="2318"/>
      <c r="AJ27" s="2318"/>
      <c r="AK27" s="2318"/>
      <c r="AL27" s="2318"/>
      <c r="AM27" s="2318"/>
      <c r="AN27" s="2318"/>
      <c r="AO27" s="2318"/>
      <c r="AP27" s="2318"/>
      <c r="AQ27" s="2318"/>
      <c r="AR27" s="2318"/>
      <c r="AS27" s="2318"/>
      <c r="AT27" s="2318"/>
      <c r="AU27" s="2318"/>
      <c r="AV27" s="2318"/>
      <c r="AW27" s="2318"/>
      <c r="AX27" s="2318"/>
      <c r="AY27" s="2318"/>
      <c r="AZ27" s="2318"/>
      <c r="BA27" s="2318"/>
      <c r="BB27" s="2318"/>
      <c r="BC27" s="2318"/>
      <c r="BD27" s="2318"/>
      <c r="BE27" s="2318"/>
      <c r="BF27" s="2318"/>
      <c r="BG27" s="2318"/>
      <c r="BH27" s="3463"/>
      <c r="BI27" s="2318"/>
      <c r="BJ27" s="2318"/>
      <c r="BK27" s="4166"/>
      <c r="BL27" s="4166"/>
      <c r="BM27" s="4017"/>
      <c r="BN27" s="2318"/>
      <c r="BO27" s="2318"/>
      <c r="BP27" s="2318"/>
      <c r="BQ27" s="4007"/>
      <c r="BR27" s="4007"/>
      <c r="BS27" s="4007"/>
      <c r="BT27" s="4007"/>
      <c r="BU27" s="3463"/>
    </row>
    <row r="28" spans="1:73" s="70" customFormat="1" ht="104.25" customHeight="1" x14ac:dyDescent="0.25">
      <c r="A28" s="2836"/>
      <c r="B28" s="2837"/>
      <c r="C28" s="1883"/>
      <c r="D28" s="1891"/>
      <c r="E28" s="4060"/>
      <c r="F28" s="4060"/>
      <c r="G28" s="4112" t="s">
        <v>74</v>
      </c>
      <c r="H28" s="4076" t="s">
        <v>1127</v>
      </c>
      <c r="I28" s="3377">
        <v>4102001</v>
      </c>
      <c r="J28" s="4076" t="s">
        <v>1128</v>
      </c>
      <c r="K28" s="3408" t="s">
        <v>74</v>
      </c>
      <c r="L28" s="2701" t="s">
        <v>1129</v>
      </c>
      <c r="M28" s="3408">
        <v>410200100</v>
      </c>
      <c r="N28" s="2701" t="s">
        <v>1130</v>
      </c>
      <c r="O28" s="3408">
        <v>12</v>
      </c>
      <c r="P28" s="3408">
        <v>0.25</v>
      </c>
      <c r="Q28" s="3409"/>
      <c r="R28" s="2702"/>
      <c r="S28" s="3658">
        <f>SUM(X28:X31)/T26</f>
        <v>0.50946728146767395</v>
      </c>
      <c r="T28" s="4021"/>
      <c r="U28" s="2429"/>
      <c r="V28" s="2772"/>
      <c r="W28" s="1888" t="s">
        <v>1131</v>
      </c>
      <c r="X28" s="2165">
        <v>20000000</v>
      </c>
      <c r="Y28" s="2166">
        <v>0</v>
      </c>
      <c r="Z28" s="2166">
        <v>11500000</v>
      </c>
      <c r="AA28" s="869" t="s">
        <v>1132</v>
      </c>
      <c r="AB28" s="870">
        <v>20</v>
      </c>
      <c r="AC28" s="1879" t="s">
        <v>187</v>
      </c>
      <c r="AD28" s="2318"/>
      <c r="AE28" s="2318"/>
      <c r="AF28" s="2318"/>
      <c r="AG28" s="2318"/>
      <c r="AH28" s="2318"/>
      <c r="AI28" s="2318"/>
      <c r="AJ28" s="2318"/>
      <c r="AK28" s="2318"/>
      <c r="AL28" s="2318"/>
      <c r="AM28" s="2318"/>
      <c r="AN28" s="2318"/>
      <c r="AO28" s="2318"/>
      <c r="AP28" s="2318"/>
      <c r="AQ28" s="2318"/>
      <c r="AR28" s="2318"/>
      <c r="AS28" s="2318"/>
      <c r="AT28" s="2318"/>
      <c r="AU28" s="2318"/>
      <c r="AV28" s="2318"/>
      <c r="AW28" s="2318"/>
      <c r="AX28" s="2318"/>
      <c r="AY28" s="2318"/>
      <c r="AZ28" s="2318"/>
      <c r="BA28" s="2318"/>
      <c r="BB28" s="2318"/>
      <c r="BC28" s="2318"/>
      <c r="BD28" s="2318"/>
      <c r="BE28" s="2318"/>
      <c r="BF28" s="2318"/>
      <c r="BG28" s="2318"/>
      <c r="BH28" s="3463"/>
      <c r="BI28" s="2318"/>
      <c r="BJ28" s="2318"/>
      <c r="BK28" s="4166"/>
      <c r="BL28" s="4166"/>
      <c r="BM28" s="4017"/>
      <c r="BN28" s="2318"/>
      <c r="BO28" s="2318"/>
      <c r="BP28" s="2318"/>
      <c r="BQ28" s="4007"/>
      <c r="BR28" s="4007"/>
      <c r="BS28" s="4007"/>
      <c r="BT28" s="4007"/>
      <c r="BU28" s="3463"/>
    </row>
    <row r="29" spans="1:73" s="70" customFormat="1" ht="105" customHeight="1" x14ac:dyDescent="0.25">
      <c r="A29" s="2836"/>
      <c r="B29" s="2837"/>
      <c r="C29" s="1883"/>
      <c r="D29" s="1891"/>
      <c r="E29" s="4060"/>
      <c r="F29" s="4060"/>
      <c r="G29" s="4112"/>
      <c r="H29" s="4077"/>
      <c r="I29" s="3377"/>
      <c r="J29" s="4077"/>
      <c r="K29" s="3409"/>
      <c r="L29" s="2702"/>
      <c r="M29" s="3409"/>
      <c r="N29" s="2702"/>
      <c r="O29" s="3409"/>
      <c r="P29" s="3409"/>
      <c r="Q29" s="3409"/>
      <c r="R29" s="2702"/>
      <c r="S29" s="3712"/>
      <c r="T29" s="4021"/>
      <c r="U29" s="2429"/>
      <c r="V29" s="2772"/>
      <c r="W29" s="4195" t="s">
        <v>1133</v>
      </c>
      <c r="X29" s="2165">
        <v>20000000</v>
      </c>
      <c r="Y29" s="2166">
        <v>19920000</v>
      </c>
      <c r="Z29" s="2166">
        <v>8695000</v>
      </c>
      <c r="AA29" s="869" t="s">
        <v>1132</v>
      </c>
      <c r="AB29" s="870">
        <v>20</v>
      </c>
      <c r="AC29" s="1879" t="s">
        <v>187</v>
      </c>
      <c r="AD29" s="2318"/>
      <c r="AE29" s="2318"/>
      <c r="AF29" s="2318"/>
      <c r="AG29" s="2318"/>
      <c r="AH29" s="2318"/>
      <c r="AI29" s="2318"/>
      <c r="AJ29" s="2318"/>
      <c r="AK29" s="2318"/>
      <c r="AL29" s="2318"/>
      <c r="AM29" s="2318"/>
      <c r="AN29" s="2318"/>
      <c r="AO29" s="2318"/>
      <c r="AP29" s="2318"/>
      <c r="AQ29" s="2318"/>
      <c r="AR29" s="2318"/>
      <c r="AS29" s="2318"/>
      <c r="AT29" s="2318"/>
      <c r="AU29" s="2318"/>
      <c r="AV29" s="2318"/>
      <c r="AW29" s="2318"/>
      <c r="AX29" s="2318"/>
      <c r="AY29" s="2318"/>
      <c r="AZ29" s="2318"/>
      <c r="BA29" s="2318"/>
      <c r="BB29" s="2318"/>
      <c r="BC29" s="2318"/>
      <c r="BD29" s="2318"/>
      <c r="BE29" s="2318"/>
      <c r="BF29" s="2318"/>
      <c r="BG29" s="2318"/>
      <c r="BH29" s="3463"/>
      <c r="BI29" s="2318"/>
      <c r="BJ29" s="2318"/>
      <c r="BK29" s="4166"/>
      <c r="BL29" s="4166"/>
      <c r="BM29" s="4017"/>
      <c r="BN29" s="2318"/>
      <c r="BO29" s="2318"/>
      <c r="BP29" s="2318"/>
      <c r="BQ29" s="4007"/>
      <c r="BR29" s="4007"/>
      <c r="BS29" s="4007"/>
      <c r="BT29" s="4007"/>
      <c r="BU29" s="3463"/>
    </row>
    <row r="30" spans="1:73" s="70" customFormat="1" ht="105" customHeight="1" x14ac:dyDescent="0.25">
      <c r="A30" s="2836"/>
      <c r="B30" s="2837"/>
      <c r="C30" s="1883"/>
      <c r="D30" s="1891"/>
      <c r="E30" s="4060"/>
      <c r="F30" s="4060"/>
      <c r="G30" s="3386"/>
      <c r="H30" s="4077"/>
      <c r="I30" s="3378"/>
      <c r="J30" s="4077"/>
      <c r="K30" s="3409"/>
      <c r="L30" s="2702"/>
      <c r="M30" s="3409"/>
      <c r="N30" s="2702"/>
      <c r="O30" s="3409"/>
      <c r="P30" s="3409"/>
      <c r="Q30" s="3409"/>
      <c r="R30" s="2702"/>
      <c r="S30" s="3712"/>
      <c r="T30" s="4021"/>
      <c r="U30" s="2429"/>
      <c r="V30" s="2772"/>
      <c r="W30" s="4195"/>
      <c r="X30" s="2165">
        <v>1930000</v>
      </c>
      <c r="Y30" s="2166"/>
      <c r="Z30" s="2166"/>
      <c r="AA30" s="869" t="s">
        <v>1134</v>
      </c>
      <c r="AB30" s="870">
        <v>88</v>
      </c>
      <c r="AC30" s="1879" t="s">
        <v>1126</v>
      </c>
      <c r="AD30" s="2318"/>
      <c r="AE30" s="2318"/>
      <c r="AF30" s="2318"/>
      <c r="AG30" s="2318"/>
      <c r="AH30" s="2318"/>
      <c r="AI30" s="2318"/>
      <c r="AJ30" s="2318"/>
      <c r="AK30" s="2318"/>
      <c r="AL30" s="2318"/>
      <c r="AM30" s="2318"/>
      <c r="AN30" s="2318"/>
      <c r="AO30" s="2318"/>
      <c r="AP30" s="2318"/>
      <c r="AQ30" s="2318"/>
      <c r="AR30" s="2318"/>
      <c r="AS30" s="2318"/>
      <c r="AT30" s="2318"/>
      <c r="AU30" s="2318"/>
      <c r="AV30" s="2318"/>
      <c r="AW30" s="2318"/>
      <c r="AX30" s="2318"/>
      <c r="AY30" s="2318"/>
      <c r="AZ30" s="2318"/>
      <c r="BA30" s="2318"/>
      <c r="BB30" s="2318"/>
      <c r="BC30" s="2318"/>
      <c r="BD30" s="2318"/>
      <c r="BE30" s="2318"/>
      <c r="BF30" s="2318"/>
      <c r="BG30" s="2318"/>
      <c r="BH30" s="3463"/>
      <c r="BI30" s="2318"/>
      <c r="BJ30" s="2318"/>
      <c r="BK30" s="4166"/>
      <c r="BL30" s="4166"/>
      <c r="BM30" s="4017"/>
      <c r="BN30" s="2318"/>
      <c r="BO30" s="2318"/>
      <c r="BP30" s="2318"/>
      <c r="BQ30" s="4007"/>
      <c r="BR30" s="4007"/>
      <c r="BS30" s="4007"/>
      <c r="BT30" s="4007"/>
      <c r="BU30" s="3463"/>
    </row>
    <row r="31" spans="1:73" s="70" customFormat="1" ht="72.75" customHeight="1" x14ac:dyDescent="0.25">
      <c r="A31" s="2836"/>
      <c r="B31" s="2837"/>
      <c r="C31" s="1883"/>
      <c r="D31" s="1891"/>
      <c r="E31" s="4060"/>
      <c r="F31" s="4060"/>
      <c r="G31" s="3386"/>
      <c r="H31" s="4077"/>
      <c r="I31" s="3378"/>
      <c r="J31" s="4077"/>
      <c r="K31" s="3409"/>
      <c r="L31" s="2702"/>
      <c r="M31" s="3409"/>
      <c r="N31" s="2702"/>
      <c r="O31" s="3409"/>
      <c r="P31" s="4149"/>
      <c r="Q31" s="3409"/>
      <c r="R31" s="2702"/>
      <c r="S31" s="3712"/>
      <c r="T31" s="4021"/>
      <c r="U31" s="2429"/>
      <c r="V31" s="2772"/>
      <c r="W31" s="1887" t="s">
        <v>1135</v>
      </c>
      <c r="X31" s="2165">
        <v>10000000</v>
      </c>
      <c r="Y31" s="2166">
        <v>8930000</v>
      </c>
      <c r="Z31" s="2166"/>
      <c r="AA31" s="869" t="s">
        <v>1132</v>
      </c>
      <c r="AB31" s="870">
        <v>20</v>
      </c>
      <c r="AC31" s="1879" t="s">
        <v>187</v>
      </c>
      <c r="AD31" s="2318"/>
      <c r="AE31" s="2318"/>
      <c r="AF31" s="2318"/>
      <c r="AG31" s="2318"/>
      <c r="AH31" s="2318"/>
      <c r="AI31" s="2318"/>
      <c r="AJ31" s="2318"/>
      <c r="AK31" s="2318"/>
      <c r="AL31" s="2318"/>
      <c r="AM31" s="2318"/>
      <c r="AN31" s="2318"/>
      <c r="AO31" s="2318"/>
      <c r="AP31" s="2318"/>
      <c r="AQ31" s="2318"/>
      <c r="AR31" s="2318"/>
      <c r="AS31" s="2318"/>
      <c r="AT31" s="2318"/>
      <c r="AU31" s="2318"/>
      <c r="AV31" s="2318"/>
      <c r="AW31" s="2318"/>
      <c r="AX31" s="2318"/>
      <c r="AY31" s="2318"/>
      <c r="AZ31" s="2318"/>
      <c r="BA31" s="2318"/>
      <c r="BB31" s="2318"/>
      <c r="BC31" s="2318"/>
      <c r="BD31" s="2318"/>
      <c r="BE31" s="2318"/>
      <c r="BF31" s="2318"/>
      <c r="BG31" s="2318"/>
      <c r="BH31" s="3463"/>
      <c r="BI31" s="2318"/>
      <c r="BJ31" s="2318"/>
      <c r="BK31" s="4166"/>
      <c r="BL31" s="4166"/>
      <c r="BM31" s="4017"/>
      <c r="BN31" s="2318"/>
      <c r="BO31" s="2318"/>
      <c r="BP31" s="2318"/>
      <c r="BQ31" s="4007"/>
      <c r="BR31" s="4007"/>
      <c r="BS31" s="4007"/>
      <c r="BT31" s="4007"/>
      <c r="BU31" s="3463"/>
    </row>
    <row r="32" spans="1:73" s="70" customFormat="1" ht="33.75" customHeight="1" x14ac:dyDescent="0.25">
      <c r="A32" s="2836"/>
      <c r="B32" s="2837"/>
      <c r="C32" s="1883"/>
      <c r="D32" s="1891"/>
      <c r="E32" s="4060"/>
      <c r="F32" s="4060"/>
      <c r="G32" s="4112" t="s">
        <v>74</v>
      </c>
      <c r="H32" s="4101" t="s">
        <v>1136</v>
      </c>
      <c r="I32" s="3377">
        <v>4102043</v>
      </c>
      <c r="J32" s="3434" t="s">
        <v>1137</v>
      </c>
      <c r="K32" s="3377" t="s">
        <v>74</v>
      </c>
      <c r="L32" s="3434" t="s">
        <v>1138</v>
      </c>
      <c r="M32" s="3377" t="s">
        <v>1139</v>
      </c>
      <c r="N32" s="3434" t="s">
        <v>1140</v>
      </c>
      <c r="O32" s="3377">
        <v>1</v>
      </c>
      <c r="P32" s="3377">
        <v>0.2</v>
      </c>
      <c r="Q32" s="3377" t="s">
        <v>1141</v>
      </c>
      <c r="R32" s="3434" t="s">
        <v>1142</v>
      </c>
      <c r="S32" s="4050">
        <f>SUM(X32:X37)/T32</f>
        <v>1</v>
      </c>
      <c r="T32" s="4058">
        <f>SUM(X32:X37)</f>
        <v>135000000</v>
      </c>
      <c r="U32" s="4059" t="s">
        <v>1143</v>
      </c>
      <c r="V32" s="4046" t="s">
        <v>1144</v>
      </c>
      <c r="W32" s="1927" t="s">
        <v>1145</v>
      </c>
      <c r="X32" s="2177">
        <v>15400000</v>
      </c>
      <c r="Y32" s="2166">
        <v>7140000</v>
      </c>
      <c r="Z32" s="2166">
        <v>7140000</v>
      </c>
      <c r="AA32" s="1930" t="s">
        <v>1146</v>
      </c>
      <c r="AB32" s="4188">
        <v>20</v>
      </c>
      <c r="AC32" s="3385" t="s">
        <v>187</v>
      </c>
      <c r="AD32" s="4042">
        <v>650</v>
      </c>
      <c r="AE32" s="4042">
        <v>132</v>
      </c>
      <c r="AF32" s="4042">
        <v>600</v>
      </c>
      <c r="AG32" s="4042">
        <v>95</v>
      </c>
      <c r="AH32" s="4042">
        <v>125</v>
      </c>
      <c r="AI32" s="4042">
        <v>5</v>
      </c>
      <c r="AJ32" s="4042">
        <v>250</v>
      </c>
      <c r="AK32" s="4042">
        <v>40</v>
      </c>
      <c r="AL32" s="4042">
        <v>625</v>
      </c>
      <c r="AM32" s="4042">
        <v>174</v>
      </c>
      <c r="AN32" s="4042">
        <v>250</v>
      </c>
      <c r="AO32" s="4042">
        <v>8</v>
      </c>
      <c r="AP32" s="4042" t="s">
        <v>319</v>
      </c>
      <c r="AQ32" s="4042" t="s">
        <v>319</v>
      </c>
      <c r="AR32" s="4042" t="s">
        <v>319</v>
      </c>
      <c r="AS32" s="4042" t="s">
        <v>319</v>
      </c>
      <c r="AT32" s="4042" t="s">
        <v>319</v>
      </c>
      <c r="AU32" s="4042" t="s">
        <v>319</v>
      </c>
      <c r="AV32" s="4042" t="s">
        <v>319</v>
      </c>
      <c r="AW32" s="4042" t="s">
        <v>319</v>
      </c>
      <c r="AX32" s="4042" t="s">
        <v>319</v>
      </c>
      <c r="AY32" s="4042" t="s">
        <v>319</v>
      </c>
      <c r="AZ32" s="4042" t="s">
        <v>319</v>
      </c>
      <c r="BA32" s="4042" t="s">
        <v>319</v>
      </c>
      <c r="BB32" s="4042" t="s">
        <v>319</v>
      </c>
      <c r="BC32" s="4042" t="s">
        <v>319</v>
      </c>
      <c r="BD32" s="4042" t="s">
        <v>319</v>
      </c>
      <c r="BE32" s="4042" t="s">
        <v>319</v>
      </c>
      <c r="BF32" s="4042" t="s">
        <v>319</v>
      </c>
      <c r="BG32" s="4042" t="s">
        <v>319</v>
      </c>
      <c r="BH32" s="3440">
        <f>SUM(AD32+AF32)</f>
        <v>1250</v>
      </c>
      <c r="BI32" s="3440">
        <f>SUM(AI32+AK32+AM32+AO32)</f>
        <v>227</v>
      </c>
      <c r="BJ32" s="3440">
        <v>3</v>
      </c>
      <c r="BK32" s="4187">
        <f>SUM(Y32:Y37)</f>
        <v>45680000</v>
      </c>
      <c r="BL32" s="4187">
        <f>SUM(Z32:Z37)</f>
        <v>23540000</v>
      </c>
      <c r="BM32" s="3435">
        <f>BL32/BK32</f>
        <v>0.51532399299474607</v>
      </c>
      <c r="BN32" s="3440">
        <v>20</v>
      </c>
      <c r="BO32" s="3440" t="s">
        <v>187</v>
      </c>
      <c r="BP32" s="3440" t="s">
        <v>1124</v>
      </c>
      <c r="BQ32" s="4032">
        <v>44197</v>
      </c>
      <c r="BR32" s="4032">
        <v>44228</v>
      </c>
      <c r="BS32" s="4032">
        <v>44561</v>
      </c>
      <c r="BT32" s="4032">
        <v>44407</v>
      </c>
      <c r="BU32" s="3440" t="s">
        <v>1124</v>
      </c>
    </row>
    <row r="33" spans="1:73" s="70" customFormat="1" ht="51" customHeight="1" x14ac:dyDescent="0.25">
      <c r="A33" s="2836"/>
      <c r="B33" s="2837"/>
      <c r="C33" s="1883"/>
      <c r="D33" s="1891"/>
      <c r="E33" s="4060"/>
      <c r="F33" s="4060"/>
      <c r="G33" s="4112"/>
      <c r="H33" s="4101"/>
      <c r="I33" s="3377"/>
      <c r="J33" s="3434"/>
      <c r="K33" s="3377"/>
      <c r="L33" s="3434"/>
      <c r="M33" s="3377"/>
      <c r="N33" s="3434"/>
      <c r="O33" s="3377"/>
      <c r="P33" s="3377"/>
      <c r="Q33" s="3377"/>
      <c r="R33" s="3434"/>
      <c r="S33" s="4050"/>
      <c r="T33" s="4058"/>
      <c r="U33" s="4059"/>
      <c r="V33" s="4046"/>
      <c r="W33" s="1927" t="s">
        <v>1147</v>
      </c>
      <c r="X33" s="2177">
        <f>15400000-4400000</f>
        <v>11000000</v>
      </c>
      <c r="Y33" s="2166">
        <v>6000000</v>
      </c>
      <c r="Z33" s="2166">
        <v>3115000</v>
      </c>
      <c r="AA33" s="1930" t="s">
        <v>1146</v>
      </c>
      <c r="AB33" s="4188"/>
      <c r="AC33" s="3385"/>
      <c r="AD33" s="4042"/>
      <c r="AE33" s="4042"/>
      <c r="AF33" s="4042"/>
      <c r="AG33" s="4042"/>
      <c r="AH33" s="4042"/>
      <c r="AI33" s="4042"/>
      <c r="AJ33" s="4042"/>
      <c r="AK33" s="4042"/>
      <c r="AL33" s="4042"/>
      <c r="AM33" s="4042"/>
      <c r="AN33" s="4042"/>
      <c r="AO33" s="4042"/>
      <c r="AP33" s="4042"/>
      <c r="AQ33" s="4042"/>
      <c r="AR33" s="4042"/>
      <c r="AS33" s="4042"/>
      <c r="AT33" s="4042"/>
      <c r="AU33" s="4042"/>
      <c r="AV33" s="4042"/>
      <c r="AW33" s="4042"/>
      <c r="AX33" s="4042"/>
      <c r="AY33" s="4042"/>
      <c r="AZ33" s="4042"/>
      <c r="BA33" s="4042"/>
      <c r="BB33" s="4042"/>
      <c r="BC33" s="4042"/>
      <c r="BD33" s="4042"/>
      <c r="BE33" s="4042"/>
      <c r="BF33" s="4042"/>
      <c r="BG33" s="4042"/>
      <c r="BH33" s="3440"/>
      <c r="BI33" s="3440"/>
      <c r="BJ33" s="3440"/>
      <c r="BK33" s="4187"/>
      <c r="BL33" s="4187"/>
      <c r="BM33" s="3435"/>
      <c r="BN33" s="3440"/>
      <c r="BO33" s="3440"/>
      <c r="BP33" s="3440"/>
      <c r="BQ33" s="4032"/>
      <c r="BR33" s="4032"/>
      <c r="BS33" s="4032"/>
      <c r="BT33" s="4032"/>
      <c r="BU33" s="3440"/>
    </row>
    <row r="34" spans="1:73" s="70" customFormat="1" ht="58.5" customHeight="1" x14ac:dyDescent="0.25">
      <c r="A34" s="2836"/>
      <c r="B34" s="2837"/>
      <c r="C34" s="1883"/>
      <c r="D34" s="1891"/>
      <c r="E34" s="4060"/>
      <c r="F34" s="4060"/>
      <c r="G34" s="4112"/>
      <c r="H34" s="4101"/>
      <c r="I34" s="3377"/>
      <c r="J34" s="3434"/>
      <c r="K34" s="3377"/>
      <c r="L34" s="3434"/>
      <c r="M34" s="3377"/>
      <c r="N34" s="3434"/>
      <c r="O34" s="3377"/>
      <c r="P34" s="3377"/>
      <c r="Q34" s="3377"/>
      <c r="R34" s="3434"/>
      <c r="S34" s="4050"/>
      <c r="T34" s="4058"/>
      <c r="U34" s="4059"/>
      <c r="V34" s="4046"/>
      <c r="W34" s="1927" t="s">
        <v>1148</v>
      </c>
      <c r="X34" s="2177">
        <f>94200000+4400000</f>
        <v>98600000</v>
      </c>
      <c r="Y34" s="2166">
        <v>25540000</v>
      </c>
      <c r="Z34" s="2166">
        <v>13285000</v>
      </c>
      <c r="AA34" s="1930" t="s">
        <v>1146</v>
      </c>
      <c r="AB34" s="4188"/>
      <c r="AC34" s="3385"/>
      <c r="AD34" s="4042"/>
      <c r="AE34" s="4042"/>
      <c r="AF34" s="4042"/>
      <c r="AG34" s="4042"/>
      <c r="AH34" s="4042"/>
      <c r="AI34" s="4042"/>
      <c r="AJ34" s="4042"/>
      <c r="AK34" s="4042"/>
      <c r="AL34" s="4042"/>
      <c r="AM34" s="4042"/>
      <c r="AN34" s="4042"/>
      <c r="AO34" s="4042"/>
      <c r="AP34" s="4042"/>
      <c r="AQ34" s="4042"/>
      <c r="AR34" s="4042"/>
      <c r="AS34" s="4042"/>
      <c r="AT34" s="4042"/>
      <c r="AU34" s="4042"/>
      <c r="AV34" s="4042"/>
      <c r="AW34" s="4042"/>
      <c r="AX34" s="4042"/>
      <c r="AY34" s="4042"/>
      <c r="AZ34" s="4042"/>
      <c r="BA34" s="4042"/>
      <c r="BB34" s="4042"/>
      <c r="BC34" s="4042"/>
      <c r="BD34" s="4042"/>
      <c r="BE34" s="4042"/>
      <c r="BF34" s="4042"/>
      <c r="BG34" s="4042"/>
      <c r="BH34" s="3440"/>
      <c r="BI34" s="3440"/>
      <c r="BJ34" s="3440"/>
      <c r="BK34" s="4187"/>
      <c r="BL34" s="4187"/>
      <c r="BM34" s="3435"/>
      <c r="BN34" s="3440"/>
      <c r="BO34" s="3440"/>
      <c r="BP34" s="3440"/>
      <c r="BQ34" s="4032"/>
      <c r="BR34" s="4032"/>
      <c r="BS34" s="4032"/>
      <c r="BT34" s="4032"/>
      <c r="BU34" s="3440"/>
    </row>
    <row r="35" spans="1:73" s="70" customFormat="1" ht="33.75" customHeight="1" x14ac:dyDescent="0.25">
      <c r="A35" s="2836"/>
      <c r="B35" s="2837"/>
      <c r="C35" s="1883"/>
      <c r="D35" s="1891"/>
      <c r="E35" s="4060"/>
      <c r="F35" s="4060"/>
      <c r="G35" s="4112"/>
      <c r="H35" s="4101"/>
      <c r="I35" s="3377"/>
      <c r="J35" s="3434"/>
      <c r="K35" s="3377"/>
      <c r="L35" s="3434"/>
      <c r="M35" s="3377"/>
      <c r="N35" s="3434"/>
      <c r="O35" s="3377"/>
      <c r="P35" s="3377"/>
      <c r="Q35" s="3377"/>
      <c r="R35" s="3434"/>
      <c r="S35" s="4050"/>
      <c r="T35" s="4058"/>
      <c r="U35" s="4059"/>
      <c r="V35" s="4046"/>
      <c r="W35" s="341" t="s">
        <v>1149</v>
      </c>
      <c r="X35" s="2178">
        <f>2000000+1000000</f>
        <v>3000000</v>
      </c>
      <c r="Y35" s="2166">
        <v>0</v>
      </c>
      <c r="Z35" s="2166"/>
      <c r="AA35" s="1930" t="s">
        <v>1150</v>
      </c>
      <c r="AB35" s="4188"/>
      <c r="AC35" s="3385"/>
      <c r="AD35" s="4042"/>
      <c r="AE35" s="4042"/>
      <c r="AF35" s="4042"/>
      <c r="AG35" s="4042"/>
      <c r="AH35" s="4042"/>
      <c r="AI35" s="4042"/>
      <c r="AJ35" s="4042"/>
      <c r="AK35" s="4042"/>
      <c r="AL35" s="4042"/>
      <c r="AM35" s="4042"/>
      <c r="AN35" s="4042"/>
      <c r="AO35" s="4042"/>
      <c r="AP35" s="4042"/>
      <c r="AQ35" s="4042"/>
      <c r="AR35" s="4042"/>
      <c r="AS35" s="4042"/>
      <c r="AT35" s="4042"/>
      <c r="AU35" s="4042"/>
      <c r="AV35" s="4042"/>
      <c r="AW35" s="4042"/>
      <c r="AX35" s="4042"/>
      <c r="AY35" s="4042"/>
      <c r="AZ35" s="4042"/>
      <c r="BA35" s="4042"/>
      <c r="BB35" s="4042"/>
      <c r="BC35" s="4042"/>
      <c r="BD35" s="4042"/>
      <c r="BE35" s="4042"/>
      <c r="BF35" s="4042"/>
      <c r="BG35" s="4042"/>
      <c r="BH35" s="3440"/>
      <c r="BI35" s="3440"/>
      <c r="BJ35" s="3440"/>
      <c r="BK35" s="4187"/>
      <c r="BL35" s="4187"/>
      <c r="BM35" s="3435"/>
      <c r="BN35" s="3440"/>
      <c r="BO35" s="3440"/>
      <c r="BP35" s="3440"/>
      <c r="BQ35" s="4032"/>
      <c r="BR35" s="4032"/>
      <c r="BS35" s="4032"/>
      <c r="BT35" s="4032"/>
      <c r="BU35" s="3440"/>
    </row>
    <row r="36" spans="1:73" s="70" customFormat="1" ht="33.75" customHeight="1" x14ac:dyDescent="0.25">
      <c r="A36" s="2836"/>
      <c r="B36" s="2837"/>
      <c r="C36" s="1883"/>
      <c r="D36" s="1891"/>
      <c r="E36" s="4060"/>
      <c r="F36" s="4060"/>
      <c r="G36" s="4112"/>
      <c r="H36" s="4101"/>
      <c r="I36" s="3377"/>
      <c r="J36" s="3434"/>
      <c r="K36" s="3377"/>
      <c r="L36" s="3434"/>
      <c r="M36" s="3377"/>
      <c r="N36" s="3434"/>
      <c r="O36" s="3377"/>
      <c r="P36" s="3377"/>
      <c r="Q36" s="3377"/>
      <c r="R36" s="3434"/>
      <c r="S36" s="4050"/>
      <c r="T36" s="4058"/>
      <c r="U36" s="4059"/>
      <c r="V36" s="4046"/>
      <c r="W36" s="341" t="s">
        <v>1151</v>
      </c>
      <c r="X36" s="2178">
        <v>4000000</v>
      </c>
      <c r="Y36" s="2166">
        <v>4000000</v>
      </c>
      <c r="Z36" s="2166"/>
      <c r="AA36" s="1930" t="s">
        <v>1152</v>
      </c>
      <c r="AB36" s="4188"/>
      <c r="AC36" s="3385"/>
      <c r="AD36" s="4042"/>
      <c r="AE36" s="4042"/>
      <c r="AF36" s="4042"/>
      <c r="AG36" s="4042"/>
      <c r="AH36" s="4042"/>
      <c r="AI36" s="4042"/>
      <c r="AJ36" s="4042"/>
      <c r="AK36" s="4042"/>
      <c r="AL36" s="4042"/>
      <c r="AM36" s="4042"/>
      <c r="AN36" s="4042"/>
      <c r="AO36" s="4042"/>
      <c r="AP36" s="4042"/>
      <c r="AQ36" s="4042"/>
      <c r="AR36" s="4042"/>
      <c r="AS36" s="4042"/>
      <c r="AT36" s="4042"/>
      <c r="AU36" s="4042"/>
      <c r="AV36" s="4042"/>
      <c r="AW36" s="4042"/>
      <c r="AX36" s="4042"/>
      <c r="AY36" s="4042"/>
      <c r="AZ36" s="4042"/>
      <c r="BA36" s="4042"/>
      <c r="BB36" s="4042"/>
      <c r="BC36" s="4042"/>
      <c r="BD36" s="4042"/>
      <c r="BE36" s="4042"/>
      <c r="BF36" s="4042"/>
      <c r="BG36" s="4042"/>
      <c r="BH36" s="3440"/>
      <c r="BI36" s="3440"/>
      <c r="BJ36" s="3440"/>
      <c r="BK36" s="4187"/>
      <c r="BL36" s="4187"/>
      <c r="BM36" s="3435"/>
      <c r="BN36" s="3440"/>
      <c r="BO36" s="3440"/>
      <c r="BP36" s="3440"/>
      <c r="BQ36" s="4032"/>
      <c r="BR36" s="4032"/>
      <c r="BS36" s="4032"/>
      <c r="BT36" s="4032"/>
      <c r="BU36" s="3440"/>
    </row>
    <row r="37" spans="1:73" s="70" customFormat="1" ht="33.75" customHeight="1" x14ac:dyDescent="0.25">
      <c r="A37" s="2836"/>
      <c r="B37" s="2837"/>
      <c r="C37" s="1883"/>
      <c r="D37" s="1891"/>
      <c r="E37" s="4060"/>
      <c r="F37" s="4060"/>
      <c r="G37" s="4112"/>
      <c r="H37" s="4101"/>
      <c r="I37" s="3377"/>
      <c r="J37" s="3434"/>
      <c r="K37" s="3377"/>
      <c r="L37" s="3434"/>
      <c r="M37" s="3377"/>
      <c r="N37" s="3434"/>
      <c r="O37" s="3377"/>
      <c r="P37" s="3377"/>
      <c r="Q37" s="3377"/>
      <c r="R37" s="3434"/>
      <c r="S37" s="4050"/>
      <c r="T37" s="4058"/>
      <c r="U37" s="4059"/>
      <c r="V37" s="4046"/>
      <c r="W37" s="341" t="s">
        <v>1153</v>
      </c>
      <c r="X37" s="2178">
        <v>3000000</v>
      </c>
      <c r="Y37" s="2166">
        <v>3000000</v>
      </c>
      <c r="Z37" s="2166"/>
      <c r="AA37" s="1930" t="s">
        <v>1154</v>
      </c>
      <c r="AB37" s="4188"/>
      <c r="AC37" s="3385"/>
      <c r="AD37" s="4189"/>
      <c r="AE37" s="4042"/>
      <c r="AF37" s="4042"/>
      <c r="AG37" s="4042"/>
      <c r="AH37" s="4042"/>
      <c r="AI37" s="4042"/>
      <c r="AJ37" s="4042"/>
      <c r="AK37" s="4042"/>
      <c r="AL37" s="4042"/>
      <c r="AM37" s="4042"/>
      <c r="AN37" s="4042"/>
      <c r="AO37" s="4042"/>
      <c r="AP37" s="4042"/>
      <c r="AQ37" s="4042"/>
      <c r="AR37" s="4042"/>
      <c r="AS37" s="4042"/>
      <c r="AT37" s="4042"/>
      <c r="AU37" s="4042"/>
      <c r="AV37" s="4042"/>
      <c r="AW37" s="4042"/>
      <c r="AX37" s="4042"/>
      <c r="AY37" s="4042"/>
      <c r="AZ37" s="4042"/>
      <c r="BA37" s="4042"/>
      <c r="BB37" s="4042"/>
      <c r="BC37" s="4042"/>
      <c r="BD37" s="4042"/>
      <c r="BE37" s="4042"/>
      <c r="BF37" s="4042"/>
      <c r="BG37" s="4042"/>
      <c r="BH37" s="3440"/>
      <c r="BI37" s="3440"/>
      <c r="BJ37" s="3440"/>
      <c r="BK37" s="4187"/>
      <c r="BL37" s="4187"/>
      <c r="BM37" s="3435"/>
      <c r="BN37" s="3440"/>
      <c r="BO37" s="3440"/>
      <c r="BP37" s="3440"/>
      <c r="BQ37" s="4032"/>
      <c r="BR37" s="4182"/>
      <c r="BS37" s="4032"/>
      <c r="BT37" s="4182"/>
      <c r="BU37" s="3440"/>
    </row>
    <row r="38" spans="1:73" s="70" customFormat="1" ht="130.5" customHeight="1" x14ac:dyDescent="0.25">
      <c r="A38" s="2836"/>
      <c r="B38" s="2837"/>
      <c r="C38" s="1883"/>
      <c r="D38" s="1891"/>
      <c r="E38" s="4060"/>
      <c r="F38" s="4060"/>
      <c r="G38" s="1931" t="s">
        <v>74</v>
      </c>
      <c r="H38" s="1934" t="s">
        <v>1155</v>
      </c>
      <c r="I38" s="1902">
        <v>4102035</v>
      </c>
      <c r="J38" s="1910" t="s">
        <v>197</v>
      </c>
      <c r="K38" s="1907" t="s">
        <v>1156</v>
      </c>
      <c r="L38" s="1955" t="s">
        <v>1157</v>
      </c>
      <c r="M38" s="1907" t="s">
        <v>1158</v>
      </c>
      <c r="N38" s="1955" t="s">
        <v>1159</v>
      </c>
      <c r="O38" s="1903">
        <v>1</v>
      </c>
      <c r="P38" s="1903">
        <v>0.25</v>
      </c>
      <c r="Q38" s="4183" t="s">
        <v>1160</v>
      </c>
      <c r="R38" s="4070" t="s">
        <v>1161</v>
      </c>
      <c r="S38" s="871">
        <f>SUM(X38)/T38</f>
        <v>0.12217973161857609</v>
      </c>
      <c r="T38" s="4184">
        <f>SUM(X38:X46)</f>
        <v>294647889</v>
      </c>
      <c r="U38" s="4045" t="s">
        <v>1162</v>
      </c>
      <c r="V38" s="4185" t="s">
        <v>1163</v>
      </c>
      <c r="W38" s="872" t="s">
        <v>1164</v>
      </c>
      <c r="X38" s="2165">
        <v>36000000</v>
      </c>
      <c r="Y38" s="2166">
        <v>15540000</v>
      </c>
      <c r="Z38" s="2166">
        <v>15540000</v>
      </c>
      <c r="AA38" s="869" t="s">
        <v>1165</v>
      </c>
      <c r="AB38" s="870">
        <v>20</v>
      </c>
      <c r="AC38" s="1856" t="s">
        <v>187</v>
      </c>
      <c r="AD38" s="2307">
        <v>15600</v>
      </c>
      <c r="AE38" s="2307">
        <v>601</v>
      </c>
      <c r="AF38" s="4178">
        <v>14400</v>
      </c>
      <c r="AG38" s="2307">
        <v>513</v>
      </c>
      <c r="AH38" s="4180">
        <v>25000</v>
      </c>
      <c r="AI38" s="2307">
        <v>964</v>
      </c>
      <c r="AJ38" s="4178">
        <v>3750</v>
      </c>
      <c r="AK38" s="2307">
        <v>42</v>
      </c>
      <c r="AL38" s="4180">
        <v>1250</v>
      </c>
      <c r="AM38" s="2307">
        <v>106</v>
      </c>
      <c r="AN38" s="4178" t="s">
        <v>319</v>
      </c>
      <c r="AO38" s="2307"/>
      <c r="AP38" s="4180" t="s">
        <v>319</v>
      </c>
      <c r="AQ38" s="2307"/>
      <c r="AR38" s="4178" t="s">
        <v>319</v>
      </c>
      <c r="AS38" s="2307"/>
      <c r="AT38" s="4180" t="s">
        <v>319</v>
      </c>
      <c r="AU38" s="2307"/>
      <c r="AV38" s="4178" t="s">
        <v>319</v>
      </c>
      <c r="AW38" s="2307"/>
      <c r="AX38" s="4180" t="s">
        <v>319</v>
      </c>
      <c r="AY38" s="2307"/>
      <c r="AZ38" s="4178" t="s">
        <v>319</v>
      </c>
      <c r="BA38" s="2307"/>
      <c r="BB38" s="4180" t="s">
        <v>319</v>
      </c>
      <c r="BC38" s="2307"/>
      <c r="BD38" s="4178" t="s">
        <v>319</v>
      </c>
      <c r="BE38" s="2307"/>
      <c r="BF38" s="4180" t="s">
        <v>319</v>
      </c>
      <c r="BG38" s="2307"/>
      <c r="BH38" s="4035">
        <f>SUM(AH38:BF44)</f>
        <v>31112</v>
      </c>
      <c r="BI38" s="2307">
        <f>SUM(AI38+AK38+AM38)</f>
        <v>1112</v>
      </c>
      <c r="BJ38" s="2307">
        <v>4</v>
      </c>
      <c r="BK38" s="4177">
        <f>SUM(Y38:Y46)</f>
        <v>55970000</v>
      </c>
      <c r="BL38" s="4177">
        <f>SUM(Z38:Z46)</f>
        <v>40635000</v>
      </c>
      <c r="BM38" s="2552">
        <f>BL38/BK38</f>
        <v>0.7260139360371628</v>
      </c>
      <c r="BN38" s="2307">
        <v>20</v>
      </c>
      <c r="BO38" s="2307" t="s">
        <v>187</v>
      </c>
      <c r="BP38" s="2307" t="s">
        <v>1124</v>
      </c>
      <c r="BQ38" s="4173">
        <v>44197</v>
      </c>
      <c r="BR38" s="4000">
        <v>44243</v>
      </c>
      <c r="BS38" s="4175">
        <v>44561</v>
      </c>
      <c r="BT38" s="4000">
        <v>44362</v>
      </c>
      <c r="BU38" s="3512" t="s">
        <v>1124</v>
      </c>
    </row>
    <row r="39" spans="1:73" s="70" customFormat="1" ht="69" customHeight="1" x14ac:dyDescent="0.25">
      <c r="A39" s="2836"/>
      <c r="B39" s="2837"/>
      <c r="C39" s="1883"/>
      <c r="D39" s="1891"/>
      <c r="E39" s="4060"/>
      <c r="F39" s="4060"/>
      <c r="G39" s="4112" t="s">
        <v>74</v>
      </c>
      <c r="H39" s="4101" t="s">
        <v>1166</v>
      </c>
      <c r="I39" s="4114" t="s">
        <v>1167</v>
      </c>
      <c r="J39" s="3434" t="s">
        <v>1168</v>
      </c>
      <c r="K39" s="3406">
        <v>410204301</v>
      </c>
      <c r="L39" s="3434" t="s">
        <v>1169</v>
      </c>
      <c r="M39" s="3406">
        <v>410204301</v>
      </c>
      <c r="N39" s="4103" t="s">
        <v>1170</v>
      </c>
      <c r="O39" s="3385">
        <v>1</v>
      </c>
      <c r="P39" s="3385">
        <v>0.25</v>
      </c>
      <c r="Q39" s="4060"/>
      <c r="R39" s="4136"/>
      <c r="S39" s="3435">
        <f>SUM(X39:X46)/T38</f>
        <v>0.87782026838142391</v>
      </c>
      <c r="T39" s="4108"/>
      <c r="U39" s="4046"/>
      <c r="V39" s="4186"/>
      <c r="W39" s="873" t="s">
        <v>1171</v>
      </c>
      <c r="X39" s="2165">
        <f>15400000+2793334</f>
        <v>18193334</v>
      </c>
      <c r="Y39" s="2166">
        <v>7540000</v>
      </c>
      <c r="Z39" s="2166">
        <v>2350000</v>
      </c>
      <c r="AA39" s="869" t="s">
        <v>1172</v>
      </c>
      <c r="AB39" s="870">
        <v>20</v>
      </c>
      <c r="AC39" s="1856" t="s">
        <v>187</v>
      </c>
      <c r="AD39" s="2307"/>
      <c r="AE39" s="2307"/>
      <c r="AF39" s="4179"/>
      <c r="AG39" s="2307"/>
      <c r="AH39" s="4180"/>
      <c r="AI39" s="2307"/>
      <c r="AJ39" s="4179"/>
      <c r="AK39" s="2307"/>
      <c r="AL39" s="4180"/>
      <c r="AM39" s="2307"/>
      <c r="AN39" s="4179"/>
      <c r="AO39" s="2307"/>
      <c r="AP39" s="4180"/>
      <c r="AQ39" s="2307"/>
      <c r="AR39" s="4179"/>
      <c r="AS39" s="2307"/>
      <c r="AT39" s="4180"/>
      <c r="AU39" s="2307"/>
      <c r="AV39" s="4179"/>
      <c r="AW39" s="2307"/>
      <c r="AX39" s="4180"/>
      <c r="AY39" s="2307"/>
      <c r="AZ39" s="4179"/>
      <c r="BA39" s="2307"/>
      <c r="BB39" s="4180"/>
      <c r="BC39" s="2307"/>
      <c r="BD39" s="4179"/>
      <c r="BE39" s="2307"/>
      <c r="BF39" s="4180"/>
      <c r="BG39" s="2307"/>
      <c r="BH39" s="3546"/>
      <c r="BI39" s="2307"/>
      <c r="BJ39" s="2307"/>
      <c r="BK39" s="4177"/>
      <c r="BL39" s="4177"/>
      <c r="BM39" s="2552"/>
      <c r="BN39" s="2307"/>
      <c r="BO39" s="2307"/>
      <c r="BP39" s="2307"/>
      <c r="BQ39" s="4173"/>
      <c r="BR39" s="4000"/>
      <c r="BS39" s="4176"/>
      <c r="BT39" s="4000"/>
      <c r="BU39" s="3512"/>
    </row>
    <row r="40" spans="1:73" s="70" customFormat="1" ht="97.5" customHeight="1" x14ac:dyDescent="0.25">
      <c r="A40" s="2836"/>
      <c r="B40" s="2837"/>
      <c r="C40" s="1883"/>
      <c r="D40" s="1891"/>
      <c r="E40" s="4060"/>
      <c r="F40" s="4060"/>
      <c r="G40" s="4112"/>
      <c r="H40" s="4101"/>
      <c r="I40" s="4114"/>
      <c r="J40" s="3434"/>
      <c r="K40" s="3406"/>
      <c r="L40" s="3434"/>
      <c r="M40" s="3406"/>
      <c r="N40" s="4103"/>
      <c r="O40" s="3385"/>
      <c r="P40" s="3385"/>
      <c r="Q40" s="4060"/>
      <c r="R40" s="4136"/>
      <c r="S40" s="3435"/>
      <c r="T40" s="4108"/>
      <c r="U40" s="4046"/>
      <c r="V40" s="4186"/>
      <c r="W40" s="873" t="s">
        <v>1173</v>
      </c>
      <c r="X40" s="2165">
        <f>30800000-2793334</f>
        <v>28006666</v>
      </c>
      <c r="Y40" s="2166">
        <v>11540000</v>
      </c>
      <c r="Z40" s="2166">
        <v>9665000</v>
      </c>
      <c r="AA40" s="869" t="s">
        <v>1172</v>
      </c>
      <c r="AB40" s="870">
        <v>20</v>
      </c>
      <c r="AC40" s="1856" t="s">
        <v>187</v>
      </c>
      <c r="AD40" s="2307"/>
      <c r="AE40" s="2307"/>
      <c r="AF40" s="4179"/>
      <c r="AG40" s="2307"/>
      <c r="AH40" s="4180"/>
      <c r="AI40" s="2307"/>
      <c r="AJ40" s="4179"/>
      <c r="AK40" s="2307"/>
      <c r="AL40" s="4180"/>
      <c r="AM40" s="2307"/>
      <c r="AN40" s="4179"/>
      <c r="AO40" s="2307"/>
      <c r="AP40" s="4180"/>
      <c r="AQ40" s="2307"/>
      <c r="AR40" s="4179"/>
      <c r="AS40" s="2307"/>
      <c r="AT40" s="4180"/>
      <c r="AU40" s="2307"/>
      <c r="AV40" s="4179"/>
      <c r="AW40" s="2307"/>
      <c r="AX40" s="4180"/>
      <c r="AY40" s="2307"/>
      <c r="AZ40" s="4179"/>
      <c r="BA40" s="2307"/>
      <c r="BB40" s="4180"/>
      <c r="BC40" s="2307"/>
      <c r="BD40" s="4179"/>
      <c r="BE40" s="2307"/>
      <c r="BF40" s="4180"/>
      <c r="BG40" s="2307"/>
      <c r="BH40" s="3546"/>
      <c r="BI40" s="2307"/>
      <c r="BJ40" s="2307"/>
      <c r="BK40" s="4177"/>
      <c r="BL40" s="4177"/>
      <c r="BM40" s="2552"/>
      <c r="BN40" s="2307"/>
      <c r="BO40" s="2307"/>
      <c r="BP40" s="2307"/>
      <c r="BQ40" s="4173"/>
      <c r="BR40" s="4000"/>
      <c r="BS40" s="4176"/>
      <c r="BT40" s="4000"/>
      <c r="BU40" s="3512"/>
    </row>
    <row r="41" spans="1:73" s="70" customFormat="1" ht="71.25" customHeight="1" x14ac:dyDescent="0.25">
      <c r="A41" s="2836"/>
      <c r="B41" s="2837"/>
      <c r="C41" s="1883"/>
      <c r="D41" s="1891"/>
      <c r="E41" s="4060"/>
      <c r="F41" s="4060"/>
      <c r="G41" s="4112"/>
      <c r="H41" s="4101"/>
      <c r="I41" s="4114"/>
      <c r="J41" s="3434"/>
      <c r="K41" s="3406"/>
      <c r="L41" s="3434"/>
      <c r="M41" s="3406"/>
      <c r="N41" s="4103"/>
      <c r="O41" s="3385"/>
      <c r="P41" s="3385"/>
      <c r="Q41" s="4060"/>
      <c r="R41" s="4136"/>
      <c r="S41" s="3435"/>
      <c r="T41" s="4108"/>
      <c r="U41" s="4046"/>
      <c r="V41" s="4186"/>
      <c r="W41" s="4162" t="s">
        <v>1174</v>
      </c>
      <c r="X41" s="2165">
        <f>77000000+35000000-5000000</f>
        <v>107000000</v>
      </c>
      <c r="Y41" s="2166"/>
      <c r="Z41" s="2166"/>
      <c r="AA41" s="869" t="s">
        <v>1172</v>
      </c>
      <c r="AB41" s="870">
        <v>20</v>
      </c>
      <c r="AC41" s="1856" t="s">
        <v>187</v>
      </c>
      <c r="AD41" s="2307"/>
      <c r="AE41" s="2307"/>
      <c r="AF41" s="4179"/>
      <c r="AG41" s="2307"/>
      <c r="AH41" s="4180"/>
      <c r="AI41" s="2307"/>
      <c r="AJ41" s="4179"/>
      <c r="AK41" s="2307"/>
      <c r="AL41" s="4180"/>
      <c r="AM41" s="2307"/>
      <c r="AN41" s="4179"/>
      <c r="AO41" s="2307"/>
      <c r="AP41" s="4180"/>
      <c r="AQ41" s="2307"/>
      <c r="AR41" s="4179"/>
      <c r="AS41" s="2307"/>
      <c r="AT41" s="4180"/>
      <c r="AU41" s="2307"/>
      <c r="AV41" s="4179"/>
      <c r="AW41" s="2307"/>
      <c r="AX41" s="4180"/>
      <c r="AY41" s="2307"/>
      <c r="AZ41" s="4179"/>
      <c r="BA41" s="2307"/>
      <c r="BB41" s="4180"/>
      <c r="BC41" s="2307"/>
      <c r="BD41" s="4179"/>
      <c r="BE41" s="2307"/>
      <c r="BF41" s="4180"/>
      <c r="BG41" s="2307"/>
      <c r="BH41" s="3546"/>
      <c r="BI41" s="2307"/>
      <c r="BJ41" s="2307"/>
      <c r="BK41" s="4177"/>
      <c r="BL41" s="4177"/>
      <c r="BM41" s="2552"/>
      <c r="BN41" s="2307"/>
      <c r="BO41" s="2307"/>
      <c r="BP41" s="2307"/>
      <c r="BQ41" s="4173"/>
      <c r="BR41" s="4000"/>
      <c r="BS41" s="4176"/>
      <c r="BT41" s="4000"/>
      <c r="BU41" s="3512"/>
    </row>
    <row r="42" spans="1:73" s="70" customFormat="1" ht="71.25" customHeight="1" x14ac:dyDescent="0.25">
      <c r="A42" s="2836"/>
      <c r="B42" s="2837"/>
      <c r="C42" s="1883"/>
      <c r="D42" s="1891"/>
      <c r="E42" s="4060"/>
      <c r="F42" s="4060"/>
      <c r="G42" s="4112"/>
      <c r="H42" s="4101"/>
      <c r="I42" s="4114"/>
      <c r="J42" s="3434"/>
      <c r="K42" s="3406"/>
      <c r="L42" s="3434"/>
      <c r="M42" s="3406"/>
      <c r="N42" s="4103"/>
      <c r="O42" s="3385"/>
      <c r="P42" s="3385"/>
      <c r="Q42" s="4060"/>
      <c r="R42" s="4136"/>
      <c r="S42" s="3435"/>
      <c r="T42" s="4108"/>
      <c r="U42" s="4046"/>
      <c r="V42" s="4186"/>
      <c r="W42" s="4163"/>
      <c r="X42" s="2165">
        <v>54647889</v>
      </c>
      <c r="Y42" s="2166"/>
      <c r="Z42" s="2166"/>
      <c r="AA42" s="869" t="s">
        <v>1175</v>
      </c>
      <c r="AB42" s="870">
        <v>88</v>
      </c>
      <c r="AC42" s="1856" t="s">
        <v>1126</v>
      </c>
      <c r="AD42" s="2307"/>
      <c r="AE42" s="2307"/>
      <c r="AF42" s="4179"/>
      <c r="AG42" s="2307"/>
      <c r="AH42" s="4180"/>
      <c r="AI42" s="2307"/>
      <c r="AJ42" s="4179"/>
      <c r="AK42" s="2307"/>
      <c r="AL42" s="4180"/>
      <c r="AM42" s="2307"/>
      <c r="AN42" s="4179"/>
      <c r="AO42" s="2307"/>
      <c r="AP42" s="4180"/>
      <c r="AQ42" s="2307"/>
      <c r="AR42" s="4179"/>
      <c r="AS42" s="2307"/>
      <c r="AT42" s="4180"/>
      <c r="AU42" s="2307"/>
      <c r="AV42" s="4179"/>
      <c r="AW42" s="2307"/>
      <c r="AX42" s="4180"/>
      <c r="AY42" s="2307"/>
      <c r="AZ42" s="4179"/>
      <c r="BA42" s="2307"/>
      <c r="BB42" s="4180"/>
      <c r="BC42" s="2307"/>
      <c r="BD42" s="4179"/>
      <c r="BE42" s="2307"/>
      <c r="BF42" s="4180"/>
      <c r="BG42" s="2307"/>
      <c r="BH42" s="3546"/>
      <c r="BI42" s="2307"/>
      <c r="BJ42" s="2307"/>
      <c r="BK42" s="4177"/>
      <c r="BL42" s="4177"/>
      <c r="BM42" s="2552"/>
      <c r="BN42" s="2307"/>
      <c r="BO42" s="2307"/>
      <c r="BP42" s="2307"/>
      <c r="BQ42" s="4173"/>
      <c r="BR42" s="4000"/>
      <c r="BS42" s="4176"/>
      <c r="BT42" s="4000"/>
      <c r="BU42" s="3512"/>
    </row>
    <row r="43" spans="1:73" s="70" customFormat="1" ht="87.75" customHeight="1" x14ac:dyDescent="0.25">
      <c r="A43" s="2836"/>
      <c r="B43" s="2837"/>
      <c r="C43" s="1883"/>
      <c r="D43" s="1891"/>
      <c r="E43" s="4060"/>
      <c r="F43" s="4060"/>
      <c r="G43" s="4112"/>
      <c r="H43" s="4101"/>
      <c r="I43" s="4114"/>
      <c r="J43" s="3434"/>
      <c r="K43" s="3406"/>
      <c r="L43" s="3434"/>
      <c r="M43" s="3406"/>
      <c r="N43" s="4103"/>
      <c r="O43" s="3385"/>
      <c r="P43" s="3385"/>
      <c r="Q43" s="4060"/>
      <c r="R43" s="4136"/>
      <c r="S43" s="3435"/>
      <c r="T43" s="4108"/>
      <c r="U43" s="4046"/>
      <c r="V43" s="4186"/>
      <c r="W43" s="873" t="s">
        <v>1176</v>
      </c>
      <c r="X43" s="2165">
        <v>30800000</v>
      </c>
      <c r="Y43" s="2166">
        <v>13350000</v>
      </c>
      <c r="Z43" s="2166">
        <v>13080000</v>
      </c>
      <c r="AA43" s="869" t="s">
        <v>1172</v>
      </c>
      <c r="AB43" s="870">
        <v>20</v>
      </c>
      <c r="AC43" s="1856" t="s">
        <v>187</v>
      </c>
      <c r="AD43" s="2307"/>
      <c r="AE43" s="2307"/>
      <c r="AF43" s="4179"/>
      <c r="AG43" s="2307"/>
      <c r="AH43" s="4180"/>
      <c r="AI43" s="2307"/>
      <c r="AJ43" s="4179"/>
      <c r="AK43" s="2307"/>
      <c r="AL43" s="4180"/>
      <c r="AM43" s="2307"/>
      <c r="AN43" s="4179"/>
      <c r="AO43" s="2307"/>
      <c r="AP43" s="4180"/>
      <c r="AQ43" s="2307"/>
      <c r="AR43" s="4179"/>
      <c r="AS43" s="2307"/>
      <c r="AT43" s="4180"/>
      <c r="AU43" s="2307"/>
      <c r="AV43" s="4179"/>
      <c r="AW43" s="2307"/>
      <c r="AX43" s="4180"/>
      <c r="AY43" s="2307"/>
      <c r="AZ43" s="4179"/>
      <c r="BA43" s="2307"/>
      <c r="BB43" s="4180"/>
      <c r="BC43" s="2307"/>
      <c r="BD43" s="4179"/>
      <c r="BE43" s="2307"/>
      <c r="BF43" s="4180"/>
      <c r="BG43" s="2307"/>
      <c r="BH43" s="3546"/>
      <c r="BI43" s="2307"/>
      <c r="BJ43" s="2307"/>
      <c r="BK43" s="4177"/>
      <c r="BL43" s="4177"/>
      <c r="BM43" s="2552"/>
      <c r="BN43" s="2307"/>
      <c r="BO43" s="2307"/>
      <c r="BP43" s="2307"/>
      <c r="BQ43" s="4173"/>
      <c r="BR43" s="4000"/>
      <c r="BS43" s="4176"/>
      <c r="BT43" s="4000"/>
      <c r="BU43" s="3512"/>
    </row>
    <row r="44" spans="1:73" s="70" customFormat="1" ht="48" customHeight="1" x14ac:dyDescent="0.25">
      <c r="A44" s="2836"/>
      <c r="B44" s="2837"/>
      <c r="C44" s="1883"/>
      <c r="D44" s="1891"/>
      <c r="E44" s="4060"/>
      <c r="F44" s="4060"/>
      <c r="G44" s="4112"/>
      <c r="H44" s="4101"/>
      <c r="I44" s="4114"/>
      <c r="J44" s="3434"/>
      <c r="K44" s="3406"/>
      <c r="L44" s="3434"/>
      <c r="M44" s="3406"/>
      <c r="N44" s="4103"/>
      <c r="O44" s="3385"/>
      <c r="P44" s="3385"/>
      <c r="Q44" s="4060"/>
      <c r="R44" s="4136"/>
      <c r="S44" s="3435"/>
      <c r="T44" s="4108"/>
      <c r="U44" s="4046"/>
      <c r="V44" s="4186"/>
      <c r="W44" s="874" t="s">
        <v>1177</v>
      </c>
      <c r="X44" s="2165">
        <v>5000000</v>
      </c>
      <c r="Y44" s="2166"/>
      <c r="Z44" s="2166"/>
      <c r="AA44" s="869" t="s">
        <v>1172</v>
      </c>
      <c r="AB44" s="870">
        <v>20</v>
      </c>
      <c r="AC44" s="1856" t="s">
        <v>187</v>
      </c>
      <c r="AD44" s="2307"/>
      <c r="AE44" s="2307"/>
      <c r="AF44" s="4179"/>
      <c r="AG44" s="2307"/>
      <c r="AH44" s="4180"/>
      <c r="AI44" s="2307"/>
      <c r="AJ44" s="4179"/>
      <c r="AK44" s="2307"/>
      <c r="AL44" s="4180"/>
      <c r="AM44" s="2307"/>
      <c r="AN44" s="4179"/>
      <c r="AO44" s="2307"/>
      <c r="AP44" s="4180"/>
      <c r="AQ44" s="2307"/>
      <c r="AR44" s="4179"/>
      <c r="AS44" s="2307"/>
      <c r="AT44" s="4180"/>
      <c r="AU44" s="2307"/>
      <c r="AV44" s="4179"/>
      <c r="AW44" s="2307"/>
      <c r="AX44" s="4180"/>
      <c r="AY44" s="2307"/>
      <c r="AZ44" s="4179"/>
      <c r="BA44" s="2307"/>
      <c r="BB44" s="4180"/>
      <c r="BC44" s="2307"/>
      <c r="BD44" s="4179"/>
      <c r="BE44" s="2307"/>
      <c r="BF44" s="4180"/>
      <c r="BG44" s="2307"/>
      <c r="BH44" s="3546"/>
      <c r="BI44" s="2307"/>
      <c r="BJ44" s="2307"/>
      <c r="BK44" s="4177"/>
      <c r="BL44" s="4177"/>
      <c r="BM44" s="2552"/>
      <c r="BN44" s="2307"/>
      <c r="BO44" s="2307"/>
      <c r="BP44" s="2307"/>
      <c r="BQ44" s="4173"/>
      <c r="BR44" s="4000"/>
      <c r="BS44" s="4176"/>
      <c r="BT44" s="4000"/>
      <c r="BU44" s="3512"/>
    </row>
    <row r="45" spans="1:73" s="70" customFormat="1" ht="44.25" customHeight="1" x14ac:dyDescent="0.25">
      <c r="A45" s="2836"/>
      <c r="B45" s="2837"/>
      <c r="C45" s="1883"/>
      <c r="D45" s="1891"/>
      <c r="E45" s="4060"/>
      <c r="F45" s="4060"/>
      <c r="G45" s="4112"/>
      <c r="H45" s="4101"/>
      <c r="I45" s="4114"/>
      <c r="J45" s="3434"/>
      <c r="K45" s="3406"/>
      <c r="L45" s="3434"/>
      <c r="M45" s="3406"/>
      <c r="N45" s="4103"/>
      <c r="O45" s="3385"/>
      <c r="P45" s="3385"/>
      <c r="Q45" s="4060"/>
      <c r="R45" s="4136"/>
      <c r="S45" s="3435"/>
      <c r="T45" s="4108"/>
      <c r="U45" s="4046"/>
      <c r="V45" s="4186"/>
      <c r="W45" s="875" t="s">
        <v>1103</v>
      </c>
      <c r="X45" s="2179">
        <v>8000000</v>
      </c>
      <c r="Y45" s="2166">
        <v>8000000</v>
      </c>
      <c r="Z45" s="2166"/>
      <c r="AA45" s="869" t="s">
        <v>1178</v>
      </c>
      <c r="AB45" s="870">
        <v>20</v>
      </c>
      <c r="AC45" s="1856" t="s">
        <v>187</v>
      </c>
      <c r="AD45" s="2307"/>
      <c r="AE45" s="2307"/>
      <c r="AF45" s="4179"/>
      <c r="AG45" s="2307"/>
      <c r="AH45" s="4180"/>
      <c r="AI45" s="2307"/>
      <c r="AJ45" s="4179"/>
      <c r="AK45" s="2307"/>
      <c r="AL45" s="4180"/>
      <c r="AM45" s="2307"/>
      <c r="AN45" s="4179"/>
      <c r="AO45" s="2307"/>
      <c r="AP45" s="4180"/>
      <c r="AQ45" s="2307"/>
      <c r="AR45" s="4179"/>
      <c r="AS45" s="2307"/>
      <c r="AT45" s="4180"/>
      <c r="AU45" s="2307"/>
      <c r="AV45" s="4179"/>
      <c r="AW45" s="2307"/>
      <c r="AX45" s="4180"/>
      <c r="AY45" s="2307"/>
      <c r="AZ45" s="4179"/>
      <c r="BA45" s="2307"/>
      <c r="BB45" s="4180"/>
      <c r="BC45" s="2307"/>
      <c r="BD45" s="4179"/>
      <c r="BE45" s="2307"/>
      <c r="BF45" s="4180"/>
      <c r="BG45" s="2307"/>
      <c r="BH45" s="3546"/>
      <c r="BI45" s="2307"/>
      <c r="BJ45" s="2307"/>
      <c r="BK45" s="4177"/>
      <c r="BL45" s="4177"/>
      <c r="BM45" s="2552"/>
      <c r="BN45" s="2307"/>
      <c r="BO45" s="2307"/>
      <c r="BP45" s="2307"/>
      <c r="BQ45" s="4173"/>
      <c r="BR45" s="4000"/>
      <c r="BS45" s="4176"/>
      <c r="BT45" s="4000"/>
      <c r="BU45" s="3512"/>
    </row>
    <row r="46" spans="1:73" s="70" customFormat="1" ht="44.25" customHeight="1" x14ac:dyDescent="0.25">
      <c r="A46" s="2836"/>
      <c r="B46" s="2837"/>
      <c r="C46" s="1883"/>
      <c r="D46" s="1891"/>
      <c r="E46" s="4060"/>
      <c r="F46" s="4060"/>
      <c r="G46" s="4112"/>
      <c r="H46" s="4101"/>
      <c r="I46" s="4114"/>
      <c r="J46" s="3434"/>
      <c r="K46" s="3406"/>
      <c r="L46" s="3434"/>
      <c r="M46" s="3406"/>
      <c r="N46" s="4103"/>
      <c r="O46" s="3385"/>
      <c r="P46" s="3385"/>
      <c r="Q46" s="4060"/>
      <c r="R46" s="4136"/>
      <c r="S46" s="3435"/>
      <c r="T46" s="4108"/>
      <c r="U46" s="4046"/>
      <c r="V46" s="4186"/>
      <c r="W46" s="875" t="s">
        <v>1179</v>
      </c>
      <c r="X46" s="2179">
        <v>7000000</v>
      </c>
      <c r="Y46" s="2166"/>
      <c r="Z46" s="2166"/>
      <c r="AA46" s="869" t="s">
        <v>1180</v>
      </c>
      <c r="AB46" s="870">
        <v>20</v>
      </c>
      <c r="AC46" s="1856" t="s">
        <v>187</v>
      </c>
      <c r="AD46" s="2307"/>
      <c r="AE46" s="2307"/>
      <c r="AF46" s="4179"/>
      <c r="AG46" s="2307"/>
      <c r="AH46" s="4181"/>
      <c r="AI46" s="2307"/>
      <c r="AJ46" s="4179"/>
      <c r="AK46" s="2307"/>
      <c r="AL46" s="4181"/>
      <c r="AM46" s="2307"/>
      <c r="AN46" s="4179"/>
      <c r="AO46" s="2307"/>
      <c r="AP46" s="4181"/>
      <c r="AQ46" s="2307"/>
      <c r="AR46" s="4179"/>
      <c r="AS46" s="2307"/>
      <c r="AT46" s="4181"/>
      <c r="AU46" s="2307"/>
      <c r="AV46" s="4179"/>
      <c r="AW46" s="2307"/>
      <c r="AX46" s="4181"/>
      <c r="AY46" s="2307"/>
      <c r="AZ46" s="4179"/>
      <c r="BA46" s="2307"/>
      <c r="BB46" s="4181"/>
      <c r="BC46" s="2307"/>
      <c r="BD46" s="4179"/>
      <c r="BE46" s="2307"/>
      <c r="BF46" s="4181"/>
      <c r="BG46" s="2307"/>
      <c r="BH46" s="3546"/>
      <c r="BI46" s="2307"/>
      <c r="BJ46" s="2307"/>
      <c r="BK46" s="4177"/>
      <c r="BL46" s="4177"/>
      <c r="BM46" s="2552"/>
      <c r="BN46" s="2307"/>
      <c r="BO46" s="2307"/>
      <c r="BP46" s="2307"/>
      <c r="BQ46" s="4174"/>
      <c r="BR46" s="4000"/>
      <c r="BS46" s="4176"/>
      <c r="BT46" s="4000"/>
      <c r="BU46" s="3617"/>
    </row>
    <row r="47" spans="1:73" s="70" customFormat="1" ht="48.75" customHeight="1" x14ac:dyDescent="0.25">
      <c r="A47" s="2836"/>
      <c r="B47" s="2837"/>
      <c r="C47" s="1883"/>
      <c r="D47" s="1891"/>
      <c r="E47" s="4060"/>
      <c r="F47" s="4060"/>
      <c r="G47" s="4112" t="s">
        <v>74</v>
      </c>
      <c r="H47" s="4077" t="s">
        <v>1181</v>
      </c>
      <c r="I47" s="3433">
        <v>4102038</v>
      </c>
      <c r="J47" s="4077" t="s">
        <v>1182</v>
      </c>
      <c r="K47" s="3409" t="s">
        <v>74</v>
      </c>
      <c r="L47" s="2702" t="s">
        <v>1183</v>
      </c>
      <c r="M47" s="3409">
        <v>410203800</v>
      </c>
      <c r="N47" s="2702" t="s">
        <v>1184</v>
      </c>
      <c r="O47" s="3409">
        <v>1</v>
      </c>
      <c r="P47" s="3408">
        <v>0.25</v>
      </c>
      <c r="Q47" s="3601" t="s">
        <v>1185</v>
      </c>
      <c r="R47" s="2703" t="s">
        <v>1186</v>
      </c>
      <c r="S47" s="3712">
        <f>SUM(X47:X54)/T47</f>
        <v>1</v>
      </c>
      <c r="T47" s="4021">
        <f>SUM(X47:X54)</f>
        <v>210000000</v>
      </c>
      <c r="U47" s="2429" t="s">
        <v>1187</v>
      </c>
      <c r="V47" s="2772" t="s">
        <v>1110</v>
      </c>
      <c r="W47" s="1888" t="s">
        <v>1188</v>
      </c>
      <c r="X47" s="2165">
        <f>30800000+17600000+33060000</f>
        <v>81460000</v>
      </c>
      <c r="Y47" s="2166">
        <v>18140000</v>
      </c>
      <c r="Z47" s="2166">
        <v>14295000</v>
      </c>
      <c r="AA47" s="1930" t="s">
        <v>1189</v>
      </c>
      <c r="AB47" s="4160">
        <v>20</v>
      </c>
      <c r="AC47" s="2728" t="s">
        <v>187</v>
      </c>
      <c r="AD47" s="2317">
        <v>550</v>
      </c>
      <c r="AE47" s="3424">
        <v>393</v>
      </c>
      <c r="AF47" s="2318">
        <v>450</v>
      </c>
      <c r="AG47" s="3424">
        <v>813</v>
      </c>
      <c r="AH47" s="2317" t="s">
        <v>319</v>
      </c>
      <c r="AI47" s="3424"/>
      <c r="AJ47" s="2318">
        <v>950</v>
      </c>
      <c r="AK47" s="3424">
        <v>799</v>
      </c>
      <c r="AL47" s="2317">
        <v>50</v>
      </c>
      <c r="AM47" s="3424">
        <v>303</v>
      </c>
      <c r="AN47" s="2318" t="s">
        <v>319</v>
      </c>
      <c r="AO47" s="3424"/>
      <c r="AP47" s="2317" t="s">
        <v>319</v>
      </c>
      <c r="AQ47" s="3424"/>
      <c r="AR47" s="2318"/>
      <c r="AS47" s="3424"/>
      <c r="AT47" s="2317"/>
      <c r="AU47" s="3424"/>
      <c r="AV47" s="2318"/>
      <c r="AW47" s="3424"/>
      <c r="AX47" s="2317"/>
      <c r="AY47" s="3424"/>
      <c r="AZ47" s="2318"/>
      <c r="BA47" s="3424"/>
      <c r="BB47" s="2317"/>
      <c r="BC47" s="3424"/>
      <c r="BD47" s="2318"/>
      <c r="BE47" s="3424"/>
      <c r="BF47" s="2317"/>
      <c r="BG47" s="3424"/>
      <c r="BH47" s="3424">
        <f>SUM(AH47:BF54)</f>
        <v>2102</v>
      </c>
      <c r="BI47" s="3424">
        <f>SUM(AK47+AM47+AO47)</f>
        <v>1102</v>
      </c>
      <c r="BJ47" s="3424">
        <v>5</v>
      </c>
      <c r="BK47" s="4093">
        <f>SUM(Y47:Y54)</f>
        <v>70260000</v>
      </c>
      <c r="BL47" s="4093">
        <f>SUM(Z47:Z54)</f>
        <v>44105000</v>
      </c>
      <c r="BM47" s="2463">
        <f>BK47/BL47</f>
        <v>1.5930166647772361</v>
      </c>
      <c r="BN47" s="3424">
        <v>20</v>
      </c>
      <c r="BO47" s="3424" t="s">
        <v>187</v>
      </c>
      <c r="BP47" s="3424" t="s">
        <v>1113</v>
      </c>
      <c r="BQ47" s="4147">
        <v>44197</v>
      </c>
      <c r="BR47" s="4147">
        <v>44251</v>
      </c>
      <c r="BS47" s="4007">
        <v>44561</v>
      </c>
      <c r="BT47" s="4007">
        <v>44377</v>
      </c>
      <c r="BU47" s="3662" t="s">
        <v>1190</v>
      </c>
    </row>
    <row r="48" spans="1:73" s="70" customFormat="1" ht="48.75" customHeight="1" x14ac:dyDescent="0.25">
      <c r="A48" s="2836"/>
      <c r="B48" s="2837"/>
      <c r="C48" s="1883"/>
      <c r="D48" s="1891"/>
      <c r="E48" s="4060"/>
      <c r="F48" s="4060"/>
      <c r="G48" s="4112"/>
      <c r="H48" s="4077"/>
      <c r="I48" s="3377"/>
      <c r="J48" s="4077"/>
      <c r="K48" s="3409"/>
      <c r="L48" s="2702"/>
      <c r="M48" s="3409"/>
      <c r="N48" s="2702"/>
      <c r="O48" s="3409"/>
      <c r="P48" s="3409"/>
      <c r="Q48" s="3385"/>
      <c r="R48" s="2476"/>
      <c r="S48" s="3712"/>
      <c r="T48" s="4021"/>
      <c r="U48" s="2429"/>
      <c r="V48" s="2772"/>
      <c r="W48" s="1888" t="s">
        <v>1191</v>
      </c>
      <c r="X48" s="2165">
        <f>30800000-8260000</f>
        <v>22540000</v>
      </c>
      <c r="Y48" s="2166">
        <v>13080000</v>
      </c>
      <c r="Z48" s="2166">
        <v>12540000</v>
      </c>
      <c r="AA48" s="1930" t="s">
        <v>1189</v>
      </c>
      <c r="AB48" s="4027"/>
      <c r="AC48" s="2728"/>
      <c r="AD48" s="2318"/>
      <c r="AE48" s="3424"/>
      <c r="AF48" s="2318"/>
      <c r="AG48" s="3424"/>
      <c r="AH48" s="2318"/>
      <c r="AI48" s="3424"/>
      <c r="AJ48" s="2318"/>
      <c r="AK48" s="3424"/>
      <c r="AL48" s="2318"/>
      <c r="AM48" s="3424"/>
      <c r="AN48" s="2318"/>
      <c r="AO48" s="3424"/>
      <c r="AP48" s="2318"/>
      <c r="AQ48" s="3424"/>
      <c r="AR48" s="2318"/>
      <c r="AS48" s="3424"/>
      <c r="AT48" s="2318"/>
      <c r="AU48" s="3424"/>
      <c r="AV48" s="2318"/>
      <c r="AW48" s="3424"/>
      <c r="AX48" s="2318"/>
      <c r="AY48" s="3424"/>
      <c r="AZ48" s="2318"/>
      <c r="BA48" s="3424"/>
      <c r="BB48" s="2318"/>
      <c r="BC48" s="3424"/>
      <c r="BD48" s="2318"/>
      <c r="BE48" s="3424"/>
      <c r="BF48" s="2318"/>
      <c r="BG48" s="3424"/>
      <c r="BH48" s="3424"/>
      <c r="BI48" s="3424"/>
      <c r="BJ48" s="3424"/>
      <c r="BK48" s="4093"/>
      <c r="BL48" s="4093"/>
      <c r="BM48" s="2463"/>
      <c r="BN48" s="3424"/>
      <c r="BO48" s="3424"/>
      <c r="BP48" s="3424"/>
      <c r="BQ48" s="4007"/>
      <c r="BR48" s="4007"/>
      <c r="BS48" s="4007"/>
      <c r="BT48" s="4007"/>
      <c r="BU48" s="3463"/>
    </row>
    <row r="49" spans="1:73" s="70" customFormat="1" ht="48.75" customHeight="1" x14ac:dyDescent="0.25">
      <c r="A49" s="2836"/>
      <c r="B49" s="2837"/>
      <c r="C49" s="1883"/>
      <c r="D49" s="1891"/>
      <c r="E49" s="4060"/>
      <c r="F49" s="4060"/>
      <c r="G49" s="4112"/>
      <c r="H49" s="4077"/>
      <c r="I49" s="3377"/>
      <c r="J49" s="4077"/>
      <c r="K49" s="3409"/>
      <c r="L49" s="2702"/>
      <c r="M49" s="3409"/>
      <c r="N49" s="2702"/>
      <c r="O49" s="3409"/>
      <c r="P49" s="3409"/>
      <c r="Q49" s="3385"/>
      <c r="R49" s="2476"/>
      <c r="S49" s="3712"/>
      <c r="T49" s="4021"/>
      <c r="U49" s="2429"/>
      <c r="V49" s="2772"/>
      <c r="W49" s="1888" t="s">
        <v>1192</v>
      </c>
      <c r="X49" s="2165">
        <f>57600000-17600000-16425000</f>
        <v>23575000</v>
      </c>
      <c r="Y49" s="2166">
        <v>10000000</v>
      </c>
      <c r="Z49" s="2166">
        <v>8230000</v>
      </c>
      <c r="AA49" s="1930" t="s">
        <v>1189</v>
      </c>
      <c r="AB49" s="4027"/>
      <c r="AC49" s="2728"/>
      <c r="AD49" s="2318"/>
      <c r="AE49" s="3424"/>
      <c r="AF49" s="2318"/>
      <c r="AG49" s="3424"/>
      <c r="AH49" s="2318"/>
      <c r="AI49" s="3424"/>
      <c r="AJ49" s="2318"/>
      <c r="AK49" s="3424"/>
      <c r="AL49" s="2318"/>
      <c r="AM49" s="3424"/>
      <c r="AN49" s="2318"/>
      <c r="AO49" s="3424"/>
      <c r="AP49" s="2318"/>
      <c r="AQ49" s="3424"/>
      <c r="AR49" s="2318"/>
      <c r="AS49" s="3424"/>
      <c r="AT49" s="2318"/>
      <c r="AU49" s="3424"/>
      <c r="AV49" s="2318"/>
      <c r="AW49" s="3424"/>
      <c r="AX49" s="2318"/>
      <c r="AY49" s="3424"/>
      <c r="AZ49" s="2318"/>
      <c r="BA49" s="3424"/>
      <c r="BB49" s="2318"/>
      <c r="BC49" s="3424"/>
      <c r="BD49" s="2318"/>
      <c r="BE49" s="3424"/>
      <c r="BF49" s="2318"/>
      <c r="BG49" s="3424"/>
      <c r="BH49" s="3424"/>
      <c r="BI49" s="3424"/>
      <c r="BJ49" s="3424"/>
      <c r="BK49" s="4093"/>
      <c r="BL49" s="4093"/>
      <c r="BM49" s="2463"/>
      <c r="BN49" s="3424"/>
      <c r="BO49" s="3424"/>
      <c r="BP49" s="3424"/>
      <c r="BQ49" s="4007"/>
      <c r="BR49" s="4007"/>
      <c r="BS49" s="4007"/>
      <c r="BT49" s="4007"/>
      <c r="BU49" s="3463"/>
    </row>
    <row r="50" spans="1:73" s="70" customFormat="1" ht="48.75" customHeight="1" x14ac:dyDescent="0.25">
      <c r="A50" s="2836"/>
      <c r="B50" s="2837"/>
      <c r="C50" s="1883"/>
      <c r="D50" s="1891"/>
      <c r="E50" s="4060"/>
      <c r="F50" s="4060"/>
      <c r="G50" s="4112"/>
      <c r="H50" s="4077"/>
      <c r="I50" s="3377"/>
      <c r="J50" s="4077"/>
      <c r="K50" s="3409"/>
      <c r="L50" s="2702"/>
      <c r="M50" s="3409"/>
      <c r="N50" s="2702"/>
      <c r="O50" s="3409"/>
      <c r="P50" s="3409"/>
      <c r="Q50" s="3385"/>
      <c r="R50" s="2476"/>
      <c r="S50" s="3712"/>
      <c r="T50" s="4021"/>
      <c r="U50" s="2429"/>
      <c r="V50" s="2772"/>
      <c r="W50" s="1888" t="s">
        <v>1193</v>
      </c>
      <c r="X50" s="2165">
        <f>30800000-8375000</f>
        <v>22425000</v>
      </c>
      <c r="Y50" s="2166">
        <v>9040000</v>
      </c>
      <c r="Z50" s="2166">
        <v>9040000</v>
      </c>
      <c r="AA50" s="1935" t="s">
        <v>1189</v>
      </c>
      <c r="AB50" s="4027"/>
      <c r="AC50" s="2728"/>
      <c r="AD50" s="2318"/>
      <c r="AE50" s="3424"/>
      <c r="AF50" s="2318"/>
      <c r="AG50" s="3424"/>
      <c r="AH50" s="2318"/>
      <c r="AI50" s="3424"/>
      <c r="AJ50" s="2318"/>
      <c r="AK50" s="3424"/>
      <c r="AL50" s="2318"/>
      <c r="AM50" s="3424"/>
      <c r="AN50" s="2318"/>
      <c r="AO50" s="3424"/>
      <c r="AP50" s="2318"/>
      <c r="AQ50" s="3424"/>
      <c r="AR50" s="2318"/>
      <c r="AS50" s="3424"/>
      <c r="AT50" s="2318"/>
      <c r="AU50" s="3424"/>
      <c r="AV50" s="2318"/>
      <c r="AW50" s="3424"/>
      <c r="AX50" s="2318"/>
      <c r="AY50" s="3424"/>
      <c r="AZ50" s="2318"/>
      <c r="BA50" s="3424"/>
      <c r="BB50" s="2318"/>
      <c r="BC50" s="3424"/>
      <c r="BD50" s="2318"/>
      <c r="BE50" s="3424"/>
      <c r="BF50" s="2318"/>
      <c r="BG50" s="3424"/>
      <c r="BH50" s="3424"/>
      <c r="BI50" s="3424"/>
      <c r="BJ50" s="3424"/>
      <c r="BK50" s="4093"/>
      <c r="BL50" s="4093"/>
      <c r="BM50" s="2463"/>
      <c r="BN50" s="3424"/>
      <c r="BO50" s="3424"/>
      <c r="BP50" s="3424"/>
      <c r="BQ50" s="4007"/>
      <c r="BR50" s="4007"/>
      <c r="BS50" s="4007"/>
      <c r="BT50" s="4007"/>
      <c r="BU50" s="3463"/>
    </row>
    <row r="51" spans="1:73" s="70" customFormat="1" ht="32.25" customHeight="1" x14ac:dyDescent="0.25">
      <c r="A51" s="2836"/>
      <c r="B51" s="2837"/>
      <c r="C51" s="1883"/>
      <c r="D51" s="1891"/>
      <c r="E51" s="4060"/>
      <c r="F51" s="4060"/>
      <c r="G51" s="4112"/>
      <c r="H51" s="4077"/>
      <c r="I51" s="3377"/>
      <c r="J51" s="4077"/>
      <c r="K51" s="3409"/>
      <c r="L51" s="2702"/>
      <c r="M51" s="3409"/>
      <c r="N51" s="2702"/>
      <c r="O51" s="3409"/>
      <c r="P51" s="3409"/>
      <c r="Q51" s="3385"/>
      <c r="R51" s="2476"/>
      <c r="S51" s="3712"/>
      <c r="T51" s="4021"/>
      <c r="U51" s="2429"/>
      <c r="V51" s="2772"/>
      <c r="W51" s="1888" t="s">
        <v>1103</v>
      </c>
      <c r="X51" s="2179">
        <v>10000000</v>
      </c>
      <c r="Y51" s="2166">
        <v>10000000</v>
      </c>
      <c r="Z51" s="2166">
        <v>0</v>
      </c>
      <c r="AA51" s="1948" t="s">
        <v>1194</v>
      </c>
      <c r="AB51" s="4027"/>
      <c r="AC51" s="2728"/>
      <c r="AD51" s="2318"/>
      <c r="AE51" s="3424"/>
      <c r="AF51" s="2318"/>
      <c r="AG51" s="3424"/>
      <c r="AH51" s="2318"/>
      <c r="AI51" s="3424"/>
      <c r="AJ51" s="2318"/>
      <c r="AK51" s="3424"/>
      <c r="AL51" s="2318"/>
      <c r="AM51" s="3424"/>
      <c r="AN51" s="2318"/>
      <c r="AO51" s="3424"/>
      <c r="AP51" s="2318"/>
      <c r="AQ51" s="3424"/>
      <c r="AR51" s="2318"/>
      <c r="AS51" s="3424"/>
      <c r="AT51" s="2318"/>
      <c r="AU51" s="3424"/>
      <c r="AV51" s="2318"/>
      <c r="AW51" s="3424"/>
      <c r="AX51" s="2318"/>
      <c r="AY51" s="3424"/>
      <c r="AZ51" s="2318"/>
      <c r="BA51" s="3424"/>
      <c r="BB51" s="2318"/>
      <c r="BC51" s="3424"/>
      <c r="BD51" s="2318"/>
      <c r="BE51" s="3424"/>
      <c r="BF51" s="2318"/>
      <c r="BG51" s="3424"/>
      <c r="BH51" s="3424"/>
      <c r="BI51" s="3424"/>
      <c r="BJ51" s="3424"/>
      <c r="BK51" s="4093"/>
      <c r="BL51" s="4093"/>
      <c r="BM51" s="2463"/>
      <c r="BN51" s="3424"/>
      <c r="BO51" s="3424"/>
      <c r="BP51" s="3424"/>
      <c r="BQ51" s="4007"/>
      <c r="BR51" s="4007"/>
      <c r="BS51" s="4007"/>
      <c r="BT51" s="4007"/>
      <c r="BU51" s="3463"/>
    </row>
    <row r="52" spans="1:73" s="70" customFormat="1" ht="32.25" customHeight="1" x14ac:dyDescent="0.25">
      <c r="A52" s="2836"/>
      <c r="B52" s="2837"/>
      <c r="C52" s="1883"/>
      <c r="D52" s="1891"/>
      <c r="E52" s="4060"/>
      <c r="F52" s="4060"/>
      <c r="G52" s="4112"/>
      <c r="H52" s="4077"/>
      <c r="I52" s="3377"/>
      <c r="J52" s="4077"/>
      <c r="K52" s="3409"/>
      <c r="L52" s="2702"/>
      <c r="M52" s="3409"/>
      <c r="N52" s="2702"/>
      <c r="O52" s="3409"/>
      <c r="P52" s="3409"/>
      <c r="Q52" s="3385"/>
      <c r="R52" s="2476"/>
      <c r="S52" s="3712"/>
      <c r="T52" s="4021"/>
      <c r="U52" s="2429"/>
      <c r="V52" s="2772"/>
      <c r="W52" s="1888" t="s">
        <v>1179</v>
      </c>
      <c r="X52" s="2179">
        <v>15000000</v>
      </c>
      <c r="Y52" s="2166">
        <v>0</v>
      </c>
      <c r="Z52" s="2166">
        <v>0</v>
      </c>
      <c r="AA52" s="1930" t="s">
        <v>1195</v>
      </c>
      <c r="AB52" s="4027"/>
      <c r="AC52" s="2728"/>
      <c r="AD52" s="2318"/>
      <c r="AE52" s="3424"/>
      <c r="AF52" s="2318"/>
      <c r="AG52" s="3424"/>
      <c r="AH52" s="2318"/>
      <c r="AI52" s="3424"/>
      <c r="AJ52" s="2318"/>
      <c r="AK52" s="3424"/>
      <c r="AL52" s="2318"/>
      <c r="AM52" s="3424"/>
      <c r="AN52" s="2318"/>
      <c r="AO52" s="3424"/>
      <c r="AP52" s="2318"/>
      <c r="AQ52" s="3424"/>
      <c r="AR52" s="2318"/>
      <c r="AS52" s="3424"/>
      <c r="AT52" s="2318"/>
      <c r="AU52" s="3424"/>
      <c r="AV52" s="2318"/>
      <c r="AW52" s="3424"/>
      <c r="AX52" s="2318"/>
      <c r="AY52" s="3424"/>
      <c r="AZ52" s="2318"/>
      <c r="BA52" s="3424"/>
      <c r="BB52" s="2318"/>
      <c r="BC52" s="3424"/>
      <c r="BD52" s="2318"/>
      <c r="BE52" s="3424"/>
      <c r="BF52" s="2318"/>
      <c r="BG52" s="3424"/>
      <c r="BH52" s="3424"/>
      <c r="BI52" s="3424"/>
      <c r="BJ52" s="3424"/>
      <c r="BK52" s="4093"/>
      <c r="BL52" s="4093"/>
      <c r="BM52" s="2463"/>
      <c r="BN52" s="3424"/>
      <c r="BO52" s="3424"/>
      <c r="BP52" s="3424"/>
      <c r="BQ52" s="4007"/>
      <c r="BR52" s="4007"/>
      <c r="BS52" s="4007"/>
      <c r="BT52" s="4007"/>
      <c r="BU52" s="3463"/>
    </row>
    <row r="53" spans="1:73" s="70" customFormat="1" ht="32.25" customHeight="1" x14ac:dyDescent="0.25">
      <c r="A53" s="2836"/>
      <c r="B53" s="2837"/>
      <c r="C53" s="1883"/>
      <c r="D53" s="1891"/>
      <c r="E53" s="4060"/>
      <c r="F53" s="4060"/>
      <c r="G53" s="4112"/>
      <c r="H53" s="4077"/>
      <c r="I53" s="3377"/>
      <c r="J53" s="4077"/>
      <c r="K53" s="3409"/>
      <c r="L53" s="2702"/>
      <c r="M53" s="3409"/>
      <c r="N53" s="2702"/>
      <c r="O53" s="3409"/>
      <c r="P53" s="3409"/>
      <c r="Q53" s="3385"/>
      <c r="R53" s="2476"/>
      <c r="S53" s="3712"/>
      <c r="T53" s="4021"/>
      <c r="U53" s="2429"/>
      <c r="V53" s="2772"/>
      <c r="W53" s="1888" t="s">
        <v>1196</v>
      </c>
      <c r="X53" s="2179">
        <v>15000000</v>
      </c>
      <c r="Y53" s="2166">
        <v>10000000</v>
      </c>
      <c r="Z53" s="2166">
        <v>0</v>
      </c>
      <c r="AA53" s="1935" t="s">
        <v>1197</v>
      </c>
      <c r="AB53" s="4027"/>
      <c r="AC53" s="2728"/>
      <c r="AD53" s="2318"/>
      <c r="AE53" s="3424"/>
      <c r="AF53" s="2318"/>
      <c r="AG53" s="3424"/>
      <c r="AH53" s="2318"/>
      <c r="AI53" s="3424"/>
      <c r="AJ53" s="2318"/>
      <c r="AK53" s="3424"/>
      <c r="AL53" s="2318"/>
      <c r="AM53" s="3424"/>
      <c r="AN53" s="2318"/>
      <c r="AO53" s="3424"/>
      <c r="AP53" s="2318"/>
      <c r="AQ53" s="3424"/>
      <c r="AR53" s="2318"/>
      <c r="AS53" s="3424"/>
      <c r="AT53" s="2318"/>
      <c r="AU53" s="3424"/>
      <c r="AV53" s="2318"/>
      <c r="AW53" s="3424"/>
      <c r="AX53" s="2318"/>
      <c r="AY53" s="3424"/>
      <c r="AZ53" s="2318"/>
      <c r="BA53" s="3424"/>
      <c r="BB53" s="2318"/>
      <c r="BC53" s="3424"/>
      <c r="BD53" s="2318"/>
      <c r="BE53" s="3424"/>
      <c r="BF53" s="2318"/>
      <c r="BG53" s="3424"/>
      <c r="BH53" s="3424"/>
      <c r="BI53" s="3424"/>
      <c r="BJ53" s="3424"/>
      <c r="BK53" s="4093"/>
      <c r="BL53" s="4093"/>
      <c r="BM53" s="2463"/>
      <c r="BN53" s="3424"/>
      <c r="BO53" s="3424"/>
      <c r="BP53" s="3424"/>
      <c r="BQ53" s="4007"/>
      <c r="BR53" s="4007"/>
      <c r="BS53" s="4007"/>
      <c r="BT53" s="4007"/>
      <c r="BU53" s="3463"/>
    </row>
    <row r="54" spans="1:73" s="70" customFormat="1" ht="32.25" customHeight="1" x14ac:dyDescent="0.25">
      <c r="A54" s="2836"/>
      <c r="B54" s="2837"/>
      <c r="C54" s="1883"/>
      <c r="D54" s="1891"/>
      <c r="E54" s="4060"/>
      <c r="F54" s="4060"/>
      <c r="G54" s="4112"/>
      <c r="H54" s="4078"/>
      <c r="I54" s="3377"/>
      <c r="J54" s="4078"/>
      <c r="K54" s="3601"/>
      <c r="L54" s="2703"/>
      <c r="M54" s="3601"/>
      <c r="N54" s="2703"/>
      <c r="O54" s="3601"/>
      <c r="P54" s="3601"/>
      <c r="Q54" s="3385"/>
      <c r="R54" s="2476"/>
      <c r="S54" s="3659"/>
      <c r="T54" s="4161"/>
      <c r="U54" s="2430"/>
      <c r="V54" s="2773"/>
      <c r="W54" s="1888" t="s">
        <v>1198</v>
      </c>
      <c r="X54" s="2165">
        <v>20000000</v>
      </c>
      <c r="Y54" s="2166">
        <v>0</v>
      </c>
      <c r="Z54" s="2166">
        <v>0</v>
      </c>
      <c r="AA54" s="1930" t="s">
        <v>1199</v>
      </c>
      <c r="AB54" s="4028"/>
      <c r="AC54" s="2728"/>
      <c r="AD54" s="4023"/>
      <c r="AE54" s="3425"/>
      <c r="AF54" s="4023"/>
      <c r="AG54" s="3425"/>
      <c r="AH54" s="4023"/>
      <c r="AI54" s="3425"/>
      <c r="AJ54" s="4023"/>
      <c r="AK54" s="3425"/>
      <c r="AL54" s="4023"/>
      <c r="AM54" s="3425"/>
      <c r="AN54" s="4023"/>
      <c r="AO54" s="3425"/>
      <c r="AP54" s="4023"/>
      <c r="AQ54" s="3425"/>
      <c r="AR54" s="4023"/>
      <c r="AS54" s="3425"/>
      <c r="AT54" s="4023"/>
      <c r="AU54" s="3425"/>
      <c r="AV54" s="4023"/>
      <c r="AW54" s="3425"/>
      <c r="AX54" s="4023"/>
      <c r="AY54" s="3425"/>
      <c r="AZ54" s="4023"/>
      <c r="BA54" s="3425"/>
      <c r="BB54" s="4023"/>
      <c r="BC54" s="3425"/>
      <c r="BD54" s="4023"/>
      <c r="BE54" s="3425"/>
      <c r="BF54" s="4023"/>
      <c r="BG54" s="3425"/>
      <c r="BH54" s="3425"/>
      <c r="BI54" s="3425"/>
      <c r="BJ54" s="3425"/>
      <c r="BK54" s="4009"/>
      <c r="BL54" s="4009"/>
      <c r="BM54" s="2464"/>
      <c r="BN54" s="3425"/>
      <c r="BO54" s="3425"/>
      <c r="BP54" s="3425"/>
      <c r="BQ54" s="4022"/>
      <c r="BR54" s="4022"/>
      <c r="BS54" s="4022"/>
      <c r="BT54" s="4022"/>
      <c r="BU54" s="3464"/>
    </row>
    <row r="55" spans="1:73" s="70" customFormat="1" ht="129" customHeight="1" x14ac:dyDescent="0.25">
      <c r="A55" s="2836"/>
      <c r="B55" s="2837"/>
      <c r="C55" s="1883"/>
      <c r="D55" s="1891"/>
      <c r="E55" s="4060"/>
      <c r="F55" s="4060"/>
      <c r="G55" s="4112" t="s">
        <v>74</v>
      </c>
      <c r="H55" s="4076" t="s">
        <v>1200</v>
      </c>
      <c r="I55" s="3377">
        <v>4102042</v>
      </c>
      <c r="J55" s="4076" t="s">
        <v>1201</v>
      </c>
      <c r="K55" s="3408" t="s">
        <v>74</v>
      </c>
      <c r="L55" s="2701" t="s">
        <v>1202</v>
      </c>
      <c r="M55" s="3408">
        <v>410204200</v>
      </c>
      <c r="N55" s="2701" t="s">
        <v>1203</v>
      </c>
      <c r="O55" s="3408">
        <v>12</v>
      </c>
      <c r="P55" s="3408">
        <v>0</v>
      </c>
      <c r="Q55" s="3385" t="s">
        <v>1204</v>
      </c>
      <c r="R55" s="2476" t="s">
        <v>1205</v>
      </c>
      <c r="S55" s="3658">
        <f>SUM(X55:X57)/T55</f>
        <v>1</v>
      </c>
      <c r="T55" s="4020">
        <f>SUM(X55:X57)</f>
        <v>18000000</v>
      </c>
      <c r="U55" s="2771" t="s">
        <v>1206</v>
      </c>
      <c r="V55" s="2771" t="s">
        <v>1207</v>
      </c>
      <c r="W55" s="1888" t="s">
        <v>1208</v>
      </c>
      <c r="X55" s="2165">
        <v>5000000</v>
      </c>
      <c r="Y55" s="2166">
        <v>5000000</v>
      </c>
      <c r="Z55" s="2166">
        <v>3655000</v>
      </c>
      <c r="AA55" s="1948" t="s">
        <v>1209</v>
      </c>
      <c r="AB55" s="4160">
        <v>20</v>
      </c>
      <c r="AC55" s="3385" t="s">
        <v>187</v>
      </c>
      <c r="AD55" s="2317">
        <v>2360</v>
      </c>
      <c r="AE55" s="2317">
        <v>381</v>
      </c>
      <c r="AF55" s="2317">
        <v>2360</v>
      </c>
      <c r="AG55" s="2317">
        <v>114</v>
      </c>
      <c r="AH55" s="2317">
        <v>480</v>
      </c>
      <c r="AI55" s="2317">
        <v>24</v>
      </c>
      <c r="AJ55" s="2317">
        <v>1500</v>
      </c>
      <c r="AK55" s="2317">
        <v>46</v>
      </c>
      <c r="AL55" s="2317">
        <v>1540</v>
      </c>
      <c r="AM55" s="2317">
        <v>373</v>
      </c>
      <c r="AN55" s="2317">
        <v>1000</v>
      </c>
      <c r="AO55" s="2317">
        <v>52</v>
      </c>
      <c r="AP55" s="2317">
        <v>50</v>
      </c>
      <c r="AQ55" s="2317">
        <v>0</v>
      </c>
      <c r="AR55" s="2317">
        <v>50</v>
      </c>
      <c r="AS55" s="2317">
        <v>0</v>
      </c>
      <c r="AT55" s="2317" t="s">
        <v>319</v>
      </c>
      <c r="AU55" s="2317"/>
      <c r="AV55" s="2317" t="s">
        <v>319</v>
      </c>
      <c r="AW55" s="2317"/>
      <c r="AX55" s="2317" t="s">
        <v>319</v>
      </c>
      <c r="AY55" s="2317"/>
      <c r="AZ55" s="2317" t="s">
        <v>319</v>
      </c>
      <c r="BA55" s="2317"/>
      <c r="BB55" s="2317">
        <v>50</v>
      </c>
      <c r="BC55" s="2317">
        <v>12</v>
      </c>
      <c r="BD55" s="2317">
        <v>50</v>
      </c>
      <c r="BE55" s="2317">
        <v>22</v>
      </c>
      <c r="BF55" s="2317" t="s">
        <v>319</v>
      </c>
      <c r="BG55" s="2317"/>
      <c r="BH55" s="3662">
        <f>SUM(AH55:BF57)</f>
        <v>5249</v>
      </c>
      <c r="BI55" s="2317">
        <f>SUM(AI55+AK55+AM55+AO55)</f>
        <v>495</v>
      </c>
      <c r="BJ55" s="2317">
        <v>1</v>
      </c>
      <c r="BK55" s="4165">
        <f>SUM(Y55:Y57)</f>
        <v>10000000</v>
      </c>
      <c r="BL55" s="4165">
        <f>SUM(Z55:Z57)</f>
        <v>8655000</v>
      </c>
      <c r="BM55" s="4016">
        <f>BL55/BK55</f>
        <v>0.86550000000000005</v>
      </c>
      <c r="BN55" s="2317">
        <v>20</v>
      </c>
      <c r="BO55" s="2317" t="s">
        <v>187</v>
      </c>
      <c r="BP55" s="2317" t="s">
        <v>1091</v>
      </c>
      <c r="BQ55" s="4147">
        <v>44197</v>
      </c>
      <c r="BR55" s="4147">
        <v>44256</v>
      </c>
      <c r="BS55" s="4147">
        <v>44561</v>
      </c>
      <c r="BT55" s="4147">
        <v>44375</v>
      </c>
      <c r="BU55" s="3662" t="s">
        <v>1091</v>
      </c>
    </row>
    <row r="56" spans="1:73" s="70" customFormat="1" ht="86.25" customHeight="1" x14ac:dyDescent="0.25">
      <c r="A56" s="2836"/>
      <c r="B56" s="2837"/>
      <c r="C56" s="1883"/>
      <c r="D56" s="1891"/>
      <c r="E56" s="4060"/>
      <c r="F56" s="4060"/>
      <c r="G56" s="4112"/>
      <c r="H56" s="4077"/>
      <c r="I56" s="3377"/>
      <c r="J56" s="4077"/>
      <c r="K56" s="3409"/>
      <c r="L56" s="2702"/>
      <c r="M56" s="3409"/>
      <c r="N56" s="2702"/>
      <c r="O56" s="3409"/>
      <c r="P56" s="3409"/>
      <c r="Q56" s="3385"/>
      <c r="R56" s="2476"/>
      <c r="S56" s="3712"/>
      <c r="T56" s="4021"/>
      <c r="U56" s="2772"/>
      <c r="V56" s="2772"/>
      <c r="W56" s="1888" t="s">
        <v>1210</v>
      </c>
      <c r="X56" s="2165">
        <v>5000000</v>
      </c>
      <c r="Y56" s="2166">
        <v>5000000</v>
      </c>
      <c r="Z56" s="2166">
        <v>5000000</v>
      </c>
      <c r="AA56" s="1930" t="s">
        <v>1209</v>
      </c>
      <c r="AB56" s="4027"/>
      <c r="AC56" s="3385"/>
      <c r="AD56" s="2318"/>
      <c r="AE56" s="2318"/>
      <c r="AF56" s="2318"/>
      <c r="AG56" s="2318"/>
      <c r="AH56" s="2318"/>
      <c r="AI56" s="2318"/>
      <c r="AJ56" s="2318"/>
      <c r="AK56" s="2318"/>
      <c r="AL56" s="2318"/>
      <c r="AM56" s="2318"/>
      <c r="AN56" s="2318"/>
      <c r="AO56" s="2318"/>
      <c r="AP56" s="2318"/>
      <c r="AQ56" s="2318"/>
      <c r="AR56" s="2318"/>
      <c r="AS56" s="2318"/>
      <c r="AT56" s="2318"/>
      <c r="AU56" s="2318"/>
      <c r="AV56" s="2318"/>
      <c r="AW56" s="2318"/>
      <c r="AX56" s="2318"/>
      <c r="AY56" s="2318"/>
      <c r="AZ56" s="2318"/>
      <c r="BA56" s="2318"/>
      <c r="BB56" s="2318"/>
      <c r="BC56" s="2318"/>
      <c r="BD56" s="2318"/>
      <c r="BE56" s="2318"/>
      <c r="BF56" s="2318"/>
      <c r="BG56" s="2318"/>
      <c r="BH56" s="3463"/>
      <c r="BI56" s="2318"/>
      <c r="BJ56" s="2318"/>
      <c r="BK56" s="4166"/>
      <c r="BL56" s="4166"/>
      <c r="BM56" s="4017"/>
      <c r="BN56" s="2318"/>
      <c r="BO56" s="2318"/>
      <c r="BP56" s="2318"/>
      <c r="BQ56" s="4007"/>
      <c r="BR56" s="4007"/>
      <c r="BS56" s="4007"/>
      <c r="BT56" s="4007"/>
      <c r="BU56" s="3463"/>
    </row>
    <row r="57" spans="1:73" s="70" customFormat="1" ht="61.5" customHeight="1" x14ac:dyDescent="0.25">
      <c r="A57" s="2836"/>
      <c r="B57" s="2837"/>
      <c r="C57" s="1883"/>
      <c r="D57" s="1891"/>
      <c r="E57" s="4060"/>
      <c r="F57" s="4060"/>
      <c r="G57" s="4112"/>
      <c r="H57" s="4078"/>
      <c r="I57" s="3377"/>
      <c r="J57" s="4078"/>
      <c r="K57" s="3601"/>
      <c r="L57" s="2703"/>
      <c r="M57" s="3601"/>
      <c r="N57" s="2703"/>
      <c r="O57" s="3601"/>
      <c r="P57" s="3601"/>
      <c r="Q57" s="3385"/>
      <c r="R57" s="2476"/>
      <c r="S57" s="3659"/>
      <c r="T57" s="4161"/>
      <c r="U57" s="2773"/>
      <c r="V57" s="2773"/>
      <c r="W57" s="1888" t="s">
        <v>1099</v>
      </c>
      <c r="X57" s="2165">
        <v>8000000</v>
      </c>
      <c r="Y57" s="2166">
        <v>0</v>
      </c>
      <c r="Z57" s="2166">
        <v>0</v>
      </c>
      <c r="AA57" s="1930" t="s">
        <v>1211</v>
      </c>
      <c r="AB57" s="4028"/>
      <c r="AC57" s="3385"/>
      <c r="AD57" s="4023"/>
      <c r="AE57" s="4023"/>
      <c r="AF57" s="4023"/>
      <c r="AG57" s="4023"/>
      <c r="AH57" s="4023"/>
      <c r="AI57" s="4023"/>
      <c r="AJ57" s="4023"/>
      <c r="AK57" s="4023"/>
      <c r="AL57" s="4023"/>
      <c r="AM57" s="4023"/>
      <c r="AN57" s="4023"/>
      <c r="AO57" s="4023"/>
      <c r="AP57" s="4023"/>
      <c r="AQ57" s="4023"/>
      <c r="AR57" s="4023"/>
      <c r="AS57" s="4023"/>
      <c r="AT57" s="4023"/>
      <c r="AU57" s="4023"/>
      <c r="AV57" s="4023"/>
      <c r="AW57" s="4023"/>
      <c r="AX57" s="4023"/>
      <c r="AY57" s="4023"/>
      <c r="AZ57" s="4023"/>
      <c r="BA57" s="4023"/>
      <c r="BB57" s="4023"/>
      <c r="BC57" s="4023"/>
      <c r="BD57" s="4023"/>
      <c r="BE57" s="4023"/>
      <c r="BF57" s="4023"/>
      <c r="BG57" s="4023"/>
      <c r="BH57" s="3464"/>
      <c r="BI57" s="4023"/>
      <c r="BJ57" s="4023"/>
      <c r="BK57" s="4167"/>
      <c r="BL57" s="4167"/>
      <c r="BM57" s="4025"/>
      <c r="BN57" s="4023"/>
      <c r="BO57" s="4023"/>
      <c r="BP57" s="4023"/>
      <c r="BQ57" s="4022"/>
      <c r="BR57" s="4022"/>
      <c r="BS57" s="4022"/>
      <c r="BT57" s="4022"/>
      <c r="BU57" s="3464"/>
    </row>
    <row r="58" spans="1:73" s="70" customFormat="1" ht="53.25" customHeight="1" x14ac:dyDescent="0.25">
      <c r="A58" s="2836"/>
      <c r="B58" s="2837"/>
      <c r="C58" s="1883"/>
      <c r="D58" s="1891"/>
      <c r="E58" s="4060"/>
      <c r="F58" s="4060"/>
      <c r="G58" s="3378" t="s">
        <v>74</v>
      </c>
      <c r="H58" s="3418" t="s">
        <v>1212</v>
      </c>
      <c r="I58" s="4079">
        <v>4102001</v>
      </c>
      <c r="J58" s="3418" t="s">
        <v>1213</v>
      </c>
      <c r="K58" s="3408" t="s">
        <v>74</v>
      </c>
      <c r="L58" s="2701" t="s">
        <v>1214</v>
      </c>
      <c r="M58" s="3408">
        <v>410200100</v>
      </c>
      <c r="N58" s="2701" t="s">
        <v>1130</v>
      </c>
      <c r="O58" s="3408">
        <v>1</v>
      </c>
      <c r="P58" s="4169">
        <v>0.1</v>
      </c>
      <c r="Q58" s="3385" t="s">
        <v>1215</v>
      </c>
      <c r="R58" s="2476" t="s">
        <v>1216</v>
      </c>
      <c r="S58" s="3658">
        <f>SUM(X58:X60)/T58</f>
        <v>0.39227223693243113</v>
      </c>
      <c r="T58" s="4020">
        <f>SUM(X58:X62)</f>
        <v>50985000</v>
      </c>
      <c r="U58" s="2428" t="s">
        <v>1217</v>
      </c>
      <c r="V58" s="2771" t="s">
        <v>1218</v>
      </c>
      <c r="W58" s="1888" t="s">
        <v>1219</v>
      </c>
      <c r="X58" s="2165">
        <f>5000000-2000000</f>
        <v>3000000</v>
      </c>
      <c r="Y58" s="2166">
        <v>2540000</v>
      </c>
      <c r="Z58" s="2166">
        <v>0</v>
      </c>
      <c r="AA58" s="869" t="s">
        <v>1220</v>
      </c>
      <c r="AB58" s="876">
        <v>20</v>
      </c>
      <c r="AC58" s="1879" t="s">
        <v>187</v>
      </c>
      <c r="AD58" s="2317">
        <v>260</v>
      </c>
      <c r="AE58" s="2317">
        <v>206</v>
      </c>
      <c r="AF58" s="2317">
        <v>240</v>
      </c>
      <c r="AG58" s="2317">
        <v>68</v>
      </c>
      <c r="AH58" s="2317">
        <v>125</v>
      </c>
      <c r="AI58" s="2317">
        <v>5</v>
      </c>
      <c r="AJ58" s="2317">
        <v>250</v>
      </c>
      <c r="AK58" s="2317">
        <v>3</v>
      </c>
      <c r="AL58" s="2317">
        <v>125</v>
      </c>
      <c r="AM58" s="2317">
        <v>253</v>
      </c>
      <c r="AN58" s="2317" t="s">
        <v>319</v>
      </c>
      <c r="AO58" s="2317">
        <v>13</v>
      </c>
      <c r="AP58" s="2317" t="s">
        <v>319</v>
      </c>
      <c r="AQ58" s="2317"/>
      <c r="AR58" s="2317" t="s">
        <v>319</v>
      </c>
      <c r="AS58" s="2317"/>
      <c r="AT58" s="2317" t="s">
        <v>319</v>
      </c>
      <c r="AU58" s="2317"/>
      <c r="AV58" s="2317" t="s">
        <v>319</v>
      </c>
      <c r="AW58" s="2317"/>
      <c r="AX58" s="2317" t="s">
        <v>319</v>
      </c>
      <c r="AY58" s="2317"/>
      <c r="AZ58" s="2317" t="s">
        <v>319</v>
      </c>
      <c r="BA58" s="2317"/>
      <c r="BB58" s="2317" t="s">
        <v>319</v>
      </c>
      <c r="BC58" s="2317"/>
      <c r="BD58" s="2317" t="s">
        <v>319</v>
      </c>
      <c r="BE58" s="2317"/>
      <c r="BF58" s="2317" t="s">
        <v>319</v>
      </c>
      <c r="BG58" s="2317"/>
      <c r="BH58" s="3662">
        <f>SUM(AD58+AF58)</f>
        <v>500</v>
      </c>
      <c r="BI58" s="2317">
        <f>SUM(AI58+AK58+AM58+AO58)</f>
        <v>274</v>
      </c>
      <c r="BJ58" s="2317">
        <v>1</v>
      </c>
      <c r="BK58" s="4165">
        <f>+Y58+Y59+Y60+Y61+Y62</f>
        <v>11540000</v>
      </c>
      <c r="BL58" s="4165">
        <f>SUM(Z58:Z62)</f>
        <v>8655000</v>
      </c>
      <c r="BM58" s="4016">
        <f>BL58/BK58</f>
        <v>0.75</v>
      </c>
      <c r="BN58" s="2317">
        <v>20</v>
      </c>
      <c r="BO58" s="2317" t="s">
        <v>187</v>
      </c>
      <c r="BP58" s="2317" t="s">
        <v>1124</v>
      </c>
      <c r="BQ58" s="4147">
        <v>44197</v>
      </c>
      <c r="BR58" s="4147">
        <v>44257</v>
      </c>
      <c r="BS58" s="4147">
        <v>44561</v>
      </c>
      <c r="BT58" s="4147">
        <v>44376</v>
      </c>
      <c r="BU58" s="3662" t="s">
        <v>1124</v>
      </c>
    </row>
    <row r="59" spans="1:73" s="70" customFormat="1" ht="81" customHeight="1" x14ac:dyDescent="0.25">
      <c r="A59" s="2836"/>
      <c r="B59" s="2837"/>
      <c r="C59" s="1883"/>
      <c r="D59" s="1891"/>
      <c r="E59" s="4060"/>
      <c r="F59" s="4060"/>
      <c r="G59" s="3399"/>
      <c r="H59" s="3419"/>
      <c r="I59" s="4080"/>
      <c r="J59" s="3419"/>
      <c r="K59" s="3409"/>
      <c r="L59" s="2702"/>
      <c r="M59" s="3409"/>
      <c r="N59" s="2702"/>
      <c r="O59" s="3409"/>
      <c r="P59" s="4170"/>
      <c r="Q59" s="3385"/>
      <c r="R59" s="2476"/>
      <c r="S59" s="3712"/>
      <c r="T59" s="4021"/>
      <c r="U59" s="2429"/>
      <c r="V59" s="2772"/>
      <c r="W59" s="1888" t="s">
        <v>1221</v>
      </c>
      <c r="X59" s="2165">
        <f>5000000-2343000</f>
        <v>2657000</v>
      </c>
      <c r="Y59" s="2166">
        <v>0</v>
      </c>
      <c r="Z59" s="2166">
        <v>0</v>
      </c>
      <c r="AA59" s="869" t="s">
        <v>1220</v>
      </c>
      <c r="AB59" s="876">
        <v>20</v>
      </c>
      <c r="AC59" s="1879" t="s">
        <v>187</v>
      </c>
      <c r="AD59" s="2318"/>
      <c r="AE59" s="2318"/>
      <c r="AF59" s="2318"/>
      <c r="AG59" s="2318"/>
      <c r="AH59" s="2318"/>
      <c r="AI59" s="2318"/>
      <c r="AJ59" s="2318"/>
      <c r="AK59" s="2318"/>
      <c r="AL59" s="2318"/>
      <c r="AM59" s="2318"/>
      <c r="AN59" s="2318"/>
      <c r="AO59" s="2318"/>
      <c r="AP59" s="2318"/>
      <c r="AQ59" s="2318"/>
      <c r="AR59" s="2318"/>
      <c r="AS59" s="2318"/>
      <c r="AT59" s="2318"/>
      <c r="AU59" s="2318"/>
      <c r="AV59" s="2318"/>
      <c r="AW59" s="2318"/>
      <c r="AX59" s="2318"/>
      <c r="AY59" s="2318"/>
      <c r="AZ59" s="2318"/>
      <c r="BA59" s="2318"/>
      <c r="BB59" s="2318"/>
      <c r="BC59" s="2318"/>
      <c r="BD59" s="2318"/>
      <c r="BE59" s="2318"/>
      <c r="BF59" s="2318"/>
      <c r="BG59" s="2318"/>
      <c r="BH59" s="3463"/>
      <c r="BI59" s="2318"/>
      <c r="BJ59" s="2318"/>
      <c r="BK59" s="4166"/>
      <c r="BL59" s="4166"/>
      <c r="BM59" s="4017"/>
      <c r="BN59" s="2318"/>
      <c r="BO59" s="2318"/>
      <c r="BP59" s="2318"/>
      <c r="BQ59" s="4007"/>
      <c r="BR59" s="4007"/>
      <c r="BS59" s="4007"/>
      <c r="BT59" s="4007"/>
      <c r="BU59" s="3463"/>
    </row>
    <row r="60" spans="1:73" s="70" customFormat="1" ht="80.25" customHeight="1" x14ac:dyDescent="0.25">
      <c r="A60" s="2836"/>
      <c r="B60" s="2837"/>
      <c r="C60" s="1883"/>
      <c r="D60" s="1891"/>
      <c r="E60" s="4060"/>
      <c r="F60" s="4060"/>
      <c r="G60" s="3399"/>
      <c r="H60" s="3419"/>
      <c r="I60" s="4080"/>
      <c r="J60" s="3419"/>
      <c r="K60" s="3409"/>
      <c r="L60" s="2702"/>
      <c r="M60" s="3409"/>
      <c r="N60" s="2702"/>
      <c r="O60" s="3409"/>
      <c r="P60" s="4170"/>
      <c r="Q60" s="3385"/>
      <c r="R60" s="2476"/>
      <c r="S60" s="3712"/>
      <c r="T60" s="4021"/>
      <c r="U60" s="2429"/>
      <c r="V60" s="2772"/>
      <c r="W60" s="4148" t="s">
        <v>1222</v>
      </c>
      <c r="X60" s="2165">
        <f>10000000+4343000</f>
        <v>14343000</v>
      </c>
      <c r="Y60" s="2166">
        <v>0</v>
      </c>
      <c r="Z60" s="2166">
        <v>0</v>
      </c>
      <c r="AA60" s="869" t="s">
        <v>1220</v>
      </c>
      <c r="AB60" s="876">
        <v>20</v>
      </c>
      <c r="AC60" s="1879" t="s">
        <v>187</v>
      </c>
      <c r="AD60" s="2318"/>
      <c r="AE60" s="2318"/>
      <c r="AF60" s="2318"/>
      <c r="AG60" s="2318"/>
      <c r="AH60" s="2318"/>
      <c r="AI60" s="2318"/>
      <c r="AJ60" s="2318"/>
      <c r="AK60" s="2318"/>
      <c r="AL60" s="2318"/>
      <c r="AM60" s="2318"/>
      <c r="AN60" s="2318"/>
      <c r="AO60" s="2318"/>
      <c r="AP60" s="2318"/>
      <c r="AQ60" s="2318"/>
      <c r="AR60" s="2318"/>
      <c r="AS60" s="2318"/>
      <c r="AT60" s="2318"/>
      <c r="AU60" s="2318"/>
      <c r="AV60" s="2318"/>
      <c r="AW60" s="2318"/>
      <c r="AX60" s="2318"/>
      <c r="AY60" s="2318"/>
      <c r="AZ60" s="2318"/>
      <c r="BA60" s="2318"/>
      <c r="BB60" s="2318"/>
      <c r="BC60" s="2318"/>
      <c r="BD60" s="2318"/>
      <c r="BE60" s="2318"/>
      <c r="BF60" s="2318"/>
      <c r="BG60" s="2318"/>
      <c r="BH60" s="3463"/>
      <c r="BI60" s="2318"/>
      <c r="BJ60" s="2318"/>
      <c r="BK60" s="4166"/>
      <c r="BL60" s="4166"/>
      <c r="BM60" s="4017"/>
      <c r="BN60" s="2318"/>
      <c r="BO60" s="2318"/>
      <c r="BP60" s="2318"/>
      <c r="BQ60" s="4007"/>
      <c r="BR60" s="4007"/>
      <c r="BS60" s="4007"/>
      <c r="BT60" s="4007"/>
      <c r="BU60" s="3463"/>
    </row>
    <row r="61" spans="1:73" s="70" customFormat="1" ht="80.25" customHeight="1" x14ac:dyDescent="0.25">
      <c r="A61" s="2836"/>
      <c r="B61" s="2837"/>
      <c r="C61" s="1883"/>
      <c r="D61" s="1891"/>
      <c r="E61" s="4060"/>
      <c r="F61" s="4060"/>
      <c r="G61" s="3433"/>
      <c r="H61" s="3420"/>
      <c r="I61" s="4081"/>
      <c r="J61" s="4172"/>
      <c r="K61" s="3601"/>
      <c r="L61" s="2703"/>
      <c r="M61" s="3601"/>
      <c r="N61" s="4168"/>
      <c r="O61" s="3601"/>
      <c r="P61" s="4171"/>
      <c r="Q61" s="3385"/>
      <c r="R61" s="2476"/>
      <c r="S61" s="3659"/>
      <c r="T61" s="4021"/>
      <c r="U61" s="2429"/>
      <c r="V61" s="2772"/>
      <c r="W61" s="4067"/>
      <c r="X61" s="2165">
        <v>12985000</v>
      </c>
      <c r="Y61" s="2166"/>
      <c r="Z61" s="2166"/>
      <c r="AA61" s="869" t="s">
        <v>1223</v>
      </c>
      <c r="AB61" s="876">
        <v>88</v>
      </c>
      <c r="AC61" s="1879" t="s">
        <v>1126</v>
      </c>
      <c r="AD61" s="2318"/>
      <c r="AE61" s="2318"/>
      <c r="AF61" s="2318"/>
      <c r="AG61" s="2318"/>
      <c r="AH61" s="2318"/>
      <c r="AI61" s="2318"/>
      <c r="AJ61" s="2318"/>
      <c r="AK61" s="2318"/>
      <c r="AL61" s="2318"/>
      <c r="AM61" s="2318"/>
      <c r="AN61" s="2318"/>
      <c r="AO61" s="2318"/>
      <c r="AP61" s="2318"/>
      <c r="AQ61" s="2318"/>
      <c r="AR61" s="2318"/>
      <c r="AS61" s="2318"/>
      <c r="AT61" s="2318"/>
      <c r="AU61" s="2318"/>
      <c r="AV61" s="2318"/>
      <c r="AW61" s="2318"/>
      <c r="AX61" s="2318"/>
      <c r="AY61" s="2318"/>
      <c r="AZ61" s="2318"/>
      <c r="BA61" s="2318"/>
      <c r="BB61" s="2318"/>
      <c r="BC61" s="2318"/>
      <c r="BD61" s="2318"/>
      <c r="BE61" s="2318"/>
      <c r="BF61" s="2318"/>
      <c r="BG61" s="2318"/>
      <c r="BH61" s="3463"/>
      <c r="BI61" s="2318"/>
      <c r="BJ61" s="2318"/>
      <c r="BK61" s="4166"/>
      <c r="BL61" s="4166"/>
      <c r="BM61" s="4017"/>
      <c r="BN61" s="2318"/>
      <c r="BO61" s="2318"/>
      <c r="BP61" s="2318"/>
      <c r="BQ61" s="4007"/>
      <c r="BR61" s="4007"/>
      <c r="BS61" s="4007"/>
      <c r="BT61" s="4007"/>
      <c r="BU61" s="3463"/>
    </row>
    <row r="62" spans="1:73" s="70" customFormat="1" ht="154.5" customHeight="1" x14ac:dyDescent="0.25">
      <c r="A62" s="2836"/>
      <c r="B62" s="2837"/>
      <c r="C62" s="1883"/>
      <c r="D62" s="1891"/>
      <c r="E62" s="4060"/>
      <c r="F62" s="4060"/>
      <c r="G62" s="1957">
        <v>4102022</v>
      </c>
      <c r="H62" s="1933" t="s">
        <v>1224</v>
      </c>
      <c r="I62" s="1899">
        <v>4102046</v>
      </c>
      <c r="J62" s="878" t="s">
        <v>1225</v>
      </c>
      <c r="K62" s="1906">
        <v>410204600</v>
      </c>
      <c r="L62" s="1875" t="s">
        <v>1226</v>
      </c>
      <c r="M62" s="1906">
        <v>410204600</v>
      </c>
      <c r="N62" s="878" t="s">
        <v>1227</v>
      </c>
      <c r="O62" s="1906">
        <v>16</v>
      </c>
      <c r="P62" s="1906">
        <v>1</v>
      </c>
      <c r="Q62" s="3385"/>
      <c r="R62" s="2476"/>
      <c r="S62" s="1919">
        <f>SUM(X62)/T58</f>
        <v>0.35304501323918802</v>
      </c>
      <c r="T62" s="4161"/>
      <c r="U62" s="2430"/>
      <c r="V62" s="2773"/>
      <c r="W62" s="1888" t="s">
        <v>1228</v>
      </c>
      <c r="X62" s="2165">
        <v>18000000</v>
      </c>
      <c r="Y62" s="2166">
        <v>9000000</v>
      </c>
      <c r="Z62" s="2166">
        <v>8655000</v>
      </c>
      <c r="AA62" s="869" t="s">
        <v>1229</v>
      </c>
      <c r="AB62" s="876">
        <v>20</v>
      </c>
      <c r="AC62" s="1879" t="s">
        <v>187</v>
      </c>
      <c r="AD62" s="4023"/>
      <c r="AE62" s="4023"/>
      <c r="AF62" s="4023"/>
      <c r="AG62" s="4023"/>
      <c r="AH62" s="4023"/>
      <c r="AI62" s="4023"/>
      <c r="AJ62" s="4023"/>
      <c r="AK62" s="4023"/>
      <c r="AL62" s="4023"/>
      <c r="AM62" s="4023"/>
      <c r="AN62" s="4023"/>
      <c r="AO62" s="4023"/>
      <c r="AP62" s="4023"/>
      <c r="AQ62" s="4023"/>
      <c r="AR62" s="4023"/>
      <c r="AS62" s="4023"/>
      <c r="AT62" s="4023"/>
      <c r="AU62" s="4023"/>
      <c r="AV62" s="4023"/>
      <c r="AW62" s="4023"/>
      <c r="AX62" s="4023"/>
      <c r="AY62" s="4023"/>
      <c r="AZ62" s="4023"/>
      <c r="BA62" s="4023"/>
      <c r="BB62" s="4023"/>
      <c r="BC62" s="4023"/>
      <c r="BD62" s="4023"/>
      <c r="BE62" s="4023"/>
      <c r="BF62" s="4023"/>
      <c r="BG62" s="4023"/>
      <c r="BH62" s="3464"/>
      <c r="BI62" s="4023"/>
      <c r="BJ62" s="4023"/>
      <c r="BK62" s="4167"/>
      <c r="BL62" s="4167"/>
      <c r="BM62" s="4025"/>
      <c r="BN62" s="4023"/>
      <c r="BO62" s="4023"/>
      <c r="BP62" s="4023"/>
      <c r="BQ62" s="4022"/>
      <c r="BR62" s="4022"/>
      <c r="BS62" s="4022"/>
      <c r="BT62" s="4022"/>
      <c r="BU62" s="3464"/>
    </row>
    <row r="63" spans="1:73" s="70" customFormat="1" ht="66" customHeight="1" x14ac:dyDescent="0.25">
      <c r="A63" s="2836"/>
      <c r="B63" s="2837"/>
      <c r="C63" s="1883"/>
      <c r="D63" s="1891"/>
      <c r="E63" s="4060"/>
      <c r="F63" s="4060"/>
      <c r="G63" s="4112">
        <v>4102038</v>
      </c>
      <c r="H63" s="4076" t="s">
        <v>1230</v>
      </c>
      <c r="I63" s="3377">
        <v>4102038</v>
      </c>
      <c r="J63" s="4076" t="s">
        <v>1230</v>
      </c>
      <c r="K63" s="3408">
        <v>410203800</v>
      </c>
      <c r="L63" s="2701" t="s">
        <v>1184</v>
      </c>
      <c r="M63" s="3408">
        <v>410203800</v>
      </c>
      <c r="N63" s="2701" t="s">
        <v>1184</v>
      </c>
      <c r="O63" s="3408">
        <v>10</v>
      </c>
      <c r="P63" s="3408">
        <v>3</v>
      </c>
      <c r="Q63" s="3408" t="s">
        <v>1231</v>
      </c>
      <c r="R63" s="2701" t="s">
        <v>1232</v>
      </c>
      <c r="S63" s="3658">
        <f>SUM(X63:X67)/T63</f>
        <v>1</v>
      </c>
      <c r="T63" s="4020">
        <f>SUM(X63:X67)</f>
        <v>37000000</v>
      </c>
      <c r="U63" s="2771" t="s">
        <v>1233</v>
      </c>
      <c r="V63" s="2771" t="s">
        <v>1234</v>
      </c>
      <c r="W63" s="879" t="s">
        <v>1235</v>
      </c>
      <c r="X63" s="2180">
        <v>18000000</v>
      </c>
      <c r="Y63" s="2166">
        <v>0</v>
      </c>
      <c r="Z63" s="2166">
        <v>0</v>
      </c>
      <c r="AA63" s="1930" t="s">
        <v>1236</v>
      </c>
      <c r="AB63" s="4160">
        <v>20</v>
      </c>
      <c r="AC63" s="2728" t="s">
        <v>187</v>
      </c>
      <c r="AD63" s="3662"/>
      <c r="AE63" s="3662"/>
      <c r="AF63" s="3662">
        <v>10</v>
      </c>
      <c r="AG63" s="3662">
        <v>6</v>
      </c>
      <c r="AH63" s="3662"/>
      <c r="AI63" s="3662"/>
      <c r="AJ63" s="3662">
        <v>10</v>
      </c>
      <c r="AK63" s="3662">
        <v>6</v>
      </c>
      <c r="AL63" s="3662"/>
      <c r="AM63" s="3662"/>
      <c r="AN63" s="3662"/>
      <c r="AO63" s="3662"/>
      <c r="AP63" s="3662"/>
      <c r="AQ63" s="3662"/>
      <c r="AR63" s="3662"/>
      <c r="AS63" s="3662"/>
      <c r="AT63" s="3662"/>
      <c r="AU63" s="3662"/>
      <c r="AV63" s="3662"/>
      <c r="AW63" s="3662"/>
      <c r="AX63" s="3662"/>
      <c r="AY63" s="3662"/>
      <c r="AZ63" s="3662"/>
      <c r="BA63" s="3662"/>
      <c r="BB63" s="3662"/>
      <c r="BC63" s="3662"/>
      <c r="BD63" s="3662"/>
      <c r="BE63" s="3662"/>
      <c r="BF63" s="3662"/>
      <c r="BG63" s="3662"/>
      <c r="BH63" s="3662">
        <f>AF63</f>
        <v>10</v>
      </c>
      <c r="BI63" s="3662">
        <f>AG63</f>
        <v>6</v>
      </c>
      <c r="BJ63" s="3662">
        <v>1</v>
      </c>
      <c r="BK63" s="4164">
        <f>SUM(Y63:Y67)</f>
        <v>2500000</v>
      </c>
      <c r="BL63" s="4164">
        <f>SUM(Z63:Z67)</f>
        <v>0</v>
      </c>
      <c r="BM63" s="3662">
        <f>BL63/BK63</f>
        <v>0</v>
      </c>
      <c r="BN63" s="3662">
        <v>20</v>
      </c>
      <c r="BO63" s="3662" t="s">
        <v>187</v>
      </c>
      <c r="BP63" s="3662" t="s">
        <v>1113</v>
      </c>
      <c r="BQ63" s="4147">
        <v>44197</v>
      </c>
      <c r="BR63" s="4147">
        <v>44244</v>
      </c>
      <c r="BS63" s="4147">
        <v>44561</v>
      </c>
      <c r="BT63" s="4147">
        <v>44363</v>
      </c>
      <c r="BU63" s="3662" t="s">
        <v>1113</v>
      </c>
    </row>
    <row r="64" spans="1:73" s="70" customFormat="1" ht="71.25" customHeight="1" x14ac:dyDescent="0.25">
      <c r="A64" s="2836"/>
      <c r="B64" s="2837"/>
      <c r="C64" s="1883"/>
      <c r="D64" s="1891"/>
      <c r="E64" s="4060"/>
      <c r="F64" s="4060"/>
      <c r="G64" s="4112"/>
      <c r="H64" s="4077"/>
      <c r="I64" s="3377"/>
      <c r="J64" s="4077"/>
      <c r="K64" s="3409"/>
      <c r="L64" s="2702"/>
      <c r="M64" s="3409"/>
      <c r="N64" s="2702"/>
      <c r="O64" s="3409"/>
      <c r="P64" s="3409"/>
      <c r="Q64" s="3409"/>
      <c r="R64" s="2702"/>
      <c r="S64" s="3712"/>
      <c r="T64" s="4021"/>
      <c r="U64" s="2772"/>
      <c r="V64" s="2772"/>
      <c r="W64" s="879" t="s">
        <v>1237</v>
      </c>
      <c r="X64" s="2180">
        <v>4000000</v>
      </c>
      <c r="Y64" s="2166">
        <v>2500000</v>
      </c>
      <c r="Z64" s="2166">
        <v>0</v>
      </c>
      <c r="AA64" s="1930" t="s">
        <v>1236</v>
      </c>
      <c r="AB64" s="4027"/>
      <c r="AC64" s="2728"/>
      <c r="AD64" s="3463"/>
      <c r="AE64" s="3463"/>
      <c r="AF64" s="3463"/>
      <c r="AG64" s="3463"/>
      <c r="AH64" s="3463"/>
      <c r="AI64" s="3463"/>
      <c r="AJ64" s="3463"/>
      <c r="AK64" s="3463"/>
      <c r="AL64" s="3463"/>
      <c r="AM64" s="3463"/>
      <c r="AN64" s="3463"/>
      <c r="AO64" s="3463"/>
      <c r="AP64" s="3463"/>
      <c r="AQ64" s="3463"/>
      <c r="AR64" s="3463"/>
      <c r="AS64" s="3463"/>
      <c r="AT64" s="3463"/>
      <c r="AU64" s="3463"/>
      <c r="AV64" s="3463"/>
      <c r="AW64" s="3463"/>
      <c r="AX64" s="3463"/>
      <c r="AY64" s="3463"/>
      <c r="AZ64" s="3463"/>
      <c r="BA64" s="3463"/>
      <c r="BB64" s="3463"/>
      <c r="BC64" s="3463"/>
      <c r="BD64" s="3463"/>
      <c r="BE64" s="3463"/>
      <c r="BF64" s="3463"/>
      <c r="BG64" s="3463"/>
      <c r="BH64" s="3463"/>
      <c r="BI64" s="3463"/>
      <c r="BJ64" s="3463"/>
      <c r="BK64" s="4093"/>
      <c r="BL64" s="4093"/>
      <c r="BM64" s="3463"/>
      <c r="BN64" s="3463"/>
      <c r="BO64" s="3463"/>
      <c r="BP64" s="3463"/>
      <c r="BQ64" s="4007"/>
      <c r="BR64" s="4007"/>
      <c r="BS64" s="4007"/>
      <c r="BT64" s="4007"/>
      <c r="BU64" s="3463"/>
    </row>
    <row r="65" spans="1:73" s="70" customFormat="1" ht="60" customHeight="1" x14ac:dyDescent="0.25">
      <c r="A65" s="2836"/>
      <c r="B65" s="2837"/>
      <c r="C65" s="1883"/>
      <c r="D65" s="1891"/>
      <c r="E65" s="4060"/>
      <c r="F65" s="4060"/>
      <c r="G65" s="4112"/>
      <c r="H65" s="4077"/>
      <c r="I65" s="3377"/>
      <c r="J65" s="4077"/>
      <c r="K65" s="3409"/>
      <c r="L65" s="2702"/>
      <c r="M65" s="3409"/>
      <c r="N65" s="2702"/>
      <c r="O65" s="3409"/>
      <c r="P65" s="3409"/>
      <c r="Q65" s="3409"/>
      <c r="R65" s="2702"/>
      <c r="S65" s="3712"/>
      <c r="T65" s="4021"/>
      <c r="U65" s="2772"/>
      <c r="V65" s="2772"/>
      <c r="W65" s="879" t="s">
        <v>1238</v>
      </c>
      <c r="X65" s="2180">
        <v>8000000</v>
      </c>
      <c r="Y65" s="2166">
        <v>0</v>
      </c>
      <c r="Z65" s="2166">
        <v>0</v>
      </c>
      <c r="AA65" s="1930" t="s">
        <v>1236</v>
      </c>
      <c r="AB65" s="4027"/>
      <c r="AC65" s="2728"/>
      <c r="AD65" s="3463"/>
      <c r="AE65" s="3463"/>
      <c r="AF65" s="3463"/>
      <c r="AG65" s="3463"/>
      <c r="AH65" s="3463"/>
      <c r="AI65" s="3463"/>
      <c r="AJ65" s="3463"/>
      <c r="AK65" s="3463"/>
      <c r="AL65" s="3463"/>
      <c r="AM65" s="3463"/>
      <c r="AN65" s="3463"/>
      <c r="AO65" s="3463"/>
      <c r="AP65" s="3463"/>
      <c r="AQ65" s="3463"/>
      <c r="AR65" s="3463"/>
      <c r="AS65" s="3463"/>
      <c r="AT65" s="3463"/>
      <c r="AU65" s="3463"/>
      <c r="AV65" s="3463"/>
      <c r="AW65" s="3463"/>
      <c r="AX65" s="3463"/>
      <c r="AY65" s="3463"/>
      <c r="AZ65" s="3463"/>
      <c r="BA65" s="3463"/>
      <c r="BB65" s="3463"/>
      <c r="BC65" s="3463"/>
      <c r="BD65" s="3463"/>
      <c r="BE65" s="3463"/>
      <c r="BF65" s="3463"/>
      <c r="BG65" s="3463"/>
      <c r="BH65" s="3463"/>
      <c r="BI65" s="3463"/>
      <c r="BJ65" s="3463"/>
      <c r="BK65" s="4093"/>
      <c r="BL65" s="4093"/>
      <c r="BM65" s="3463"/>
      <c r="BN65" s="3463"/>
      <c r="BO65" s="3463"/>
      <c r="BP65" s="3463"/>
      <c r="BQ65" s="4007"/>
      <c r="BR65" s="4007"/>
      <c r="BS65" s="4007"/>
      <c r="BT65" s="4007"/>
      <c r="BU65" s="3463"/>
    </row>
    <row r="66" spans="1:73" s="70" customFormat="1" ht="69.75" customHeight="1" x14ac:dyDescent="0.25">
      <c r="A66" s="2836"/>
      <c r="B66" s="2837"/>
      <c r="C66" s="1883"/>
      <c r="D66" s="1891"/>
      <c r="E66" s="4060"/>
      <c r="F66" s="4060"/>
      <c r="G66" s="4112"/>
      <c r="H66" s="4077"/>
      <c r="I66" s="3377"/>
      <c r="J66" s="4077"/>
      <c r="K66" s="3409"/>
      <c r="L66" s="2702"/>
      <c r="M66" s="3409"/>
      <c r="N66" s="2702"/>
      <c r="O66" s="3409"/>
      <c r="P66" s="3409"/>
      <c r="Q66" s="3409"/>
      <c r="R66" s="2702"/>
      <c r="S66" s="3712"/>
      <c r="T66" s="4021"/>
      <c r="U66" s="2772"/>
      <c r="V66" s="2772"/>
      <c r="W66" s="879" t="s">
        <v>1239</v>
      </c>
      <c r="X66" s="2180">
        <v>4000000</v>
      </c>
      <c r="Y66" s="2166">
        <v>0</v>
      </c>
      <c r="Z66" s="2166">
        <v>0</v>
      </c>
      <c r="AA66" s="1930" t="s">
        <v>1236</v>
      </c>
      <c r="AB66" s="4027"/>
      <c r="AC66" s="2728"/>
      <c r="AD66" s="3463"/>
      <c r="AE66" s="3463"/>
      <c r="AF66" s="3463"/>
      <c r="AG66" s="3463"/>
      <c r="AH66" s="3463"/>
      <c r="AI66" s="3463"/>
      <c r="AJ66" s="3463"/>
      <c r="AK66" s="3463"/>
      <c r="AL66" s="3463"/>
      <c r="AM66" s="3463"/>
      <c r="AN66" s="3463"/>
      <c r="AO66" s="3463"/>
      <c r="AP66" s="3463"/>
      <c r="AQ66" s="3463"/>
      <c r="AR66" s="3463"/>
      <c r="AS66" s="3463"/>
      <c r="AT66" s="3463"/>
      <c r="AU66" s="3463"/>
      <c r="AV66" s="3463"/>
      <c r="AW66" s="3463"/>
      <c r="AX66" s="3463"/>
      <c r="AY66" s="3463"/>
      <c r="AZ66" s="3463"/>
      <c r="BA66" s="3463"/>
      <c r="BB66" s="3463"/>
      <c r="BC66" s="3463"/>
      <c r="BD66" s="3463"/>
      <c r="BE66" s="3463"/>
      <c r="BF66" s="3463"/>
      <c r="BG66" s="3463"/>
      <c r="BH66" s="3463"/>
      <c r="BI66" s="3463"/>
      <c r="BJ66" s="3463"/>
      <c r="BK66" s="4093"/>
      <c r="BL66" s="4093"/>
      <c r="BM66" s="3463"/>
      <c r="BN66" s="3463"/>
      <c r="BO66" s="3463"/>
      <c r="BP66" s="3463"/>
      <c r="BQ66" s="4007"/>
      <c r="BR66" s="4007"/>
      <c r="BS66" s="4007"/>
      <c r="BT66" s="4007"/>
      <c r="BU66" s="3463"/>
    </row>
    <row r="67" spans="1:73" s="70" customFormat="1" ht="60" customHeight="1" x14ac:dyDescent="0.25">
      <c r="A67" s="2836"/>
      <c r="B67" s="2837"/>
      <c r="C67" s="1883"/>
      <c r="D67" s="1891"/>
      <c r="E67" s="4060"/>
      <c r="F67" s="4069"/>
      <c r="G67" s="3386"/>
      <c r="H67" s="4077"/>
      <c r="I67" s="3378"/>
      <c r="J67" s="4077"/>
      <c r="K67" s="3409"/>
      <c r="L67" s="2702"/>
      <c r="M67" s="3409"/>
      <c r="N67" s="2702"/>
      <c r="O67" s="3409"/>
      <c r="P67" s="3409"/>
      <c r="Q67" s="3409"/>
      <c r="R67" s="2702"/>
      <c r="S67" s="3712"/>
      <c r="T67" s="4021"/>
      <c r="U67" s="2772"/>
      <c r="V67" s="2772"/>
      <c r="W67" s="880" t="s">
        <v>1240</v>
      </c>
      <c r="X67" s="2181">
        <v>3000000</v>
      </c>
      <c r="Y67" s="2182">
        <v>0</v>
      </c>
      <c r="Z67" s="2182">
        <v>0</v>
      </c>
      <c r="AA67" s="1930" t="s">
        <v>1236</v>
      </c>
      <c r="AB67" s="4027"/>
      <c r="AC67" s="2728"/>
      <c r="AD67" s="3463"/>
      <c r="AE67" s="3463"/>
      <c r="AF67" s="3463"/>
      <c r="AG67" s="3463"/>
      <c r="AH67" s="3463"/>
      <c r="AI67" s="3463"/>
      <c r="AJ67" s="3463"/>
      <c r="AK67" s="3463"/>
      <c r="AL67" s="3463"/>
      <c r="AM67" s="3463"/>
      <c r="AN67" s="3463"/>
      <c r="AO67" s="3463"/>
      <c r="AP67" s="3463"/>
      <c r="AQ67" s="3463"/>
      <c r="AR67" s="3463"/>
      <c r="AS67" s="3463"/>
      <c r="AT67" s="3463"/>
      <c r="AU67" s="3463"/>
      <c r="AV67" s="3463"/>
      <c r="AW67" s="3463"/>
      <c r="AX67" s="3463"/>
      <c r="AY67" s="3463"/>
      <c r="AZ67" s="3463"/>
      <c r="BA67" s="3463"/>
      <c r="BB67" s="3463"/>
      <c r="BC67" s="3463"/>
      <c r="BD67" s="3463"/>
      <c r="BE67" s="3463"/>
      <c r="BF67" s="3463"/>
      <c r="BG67" s="3463"/>
      <c r="BH67" s="3463"/>
      <c r="BI67" s="3463"/>
      <c r="BJ67" s="3463"/>
      <c r="BK67" s="4093"/>
      <c r="BL67" s="4093"/>
      <c r="BM67" s="3463"/>
      <c r="BN67" s="3463"/>
      <c r="BO67" s="3463"/>
      <c r="BP67" s="3463"/>
      <c r="BQ67" s="4007"/>
      <c r="BR67" s="4007"/>
      <c r="BS67" s="4007"/>
      <c r="BT67" s="4007"/>
      <c r="BU67" s="3463"/>
    </row>
    <row r="68" spans="1:73" s="2" customFormat="1" ht="27" customHeight="1" x14ac:dyDescent="0.25">
      <c r="A68" s="2836"/>
      <c r="B68" s="2837"/>
      <c r="C68" s="1894"/>
      <c r="D68" s="1895"/>
      <c r="E68" s="414">
        <v>4103</v>
      </c>
      <c r="F68" s="866" t="s">
        <v>1241</v>
      </c>
      <c r="G68" s="867"/>
      <c r="H68" s="867"/>
      <c r="I68" s="867"/>
      <c r="J68" s="867"/>
      <c r="K68" s="867"/>
      <c r="L68" s="867"/>
      <c r="M68" s="868"/>
      <c r="N68" s="881"/>
      <c r="O68" s="848"/>
      <c r="P68" s="848"/>
      <c r="Q68" s="848"/>
      <c r="R68" s="882"/>
      <c r="S68" s="849"/>
      <c r="T68" s="850"/>
      <c r="U68" s="882"/>
      <c r="V68" s="882"/>
      <c r="W68" s="882"/>
      <c r="X68" s="2172"/>
      <c r="Y68" s="2172"/>
      <c r="Z68" s="2172"/>
      <c r="AA68" s="569"/>
      <c r="AB68" s="852"/>
      <c r="AC68" s="188"/>
      <c r="AD68" s="848"/>
      <c r="AE68" s="848"/>
      <c r="AF68" s="848"/>
      <c r="AG68" s="848"/>
      <c r="AH68" s="848"/>
      <c r="AI68" s="848"/>
      <c r="AJ68" s="848"/>
      <c r="AK68" s="848"/>
      <c r="AL68" s="848"/>
      <c r="AM68" s="848"/>
      <c r="AN68" s="848"/>
      <c r="AO68" s="848"/>
      <c r="AP68" s="848"/>
      <c r="AQ68" s="848"/>
      <c r="AR68" s="848"/>
      <c r="AS68" s="848"/>
      <c r="AT68" s="848"/>
      <c r="AU68" s="848"/>
      <c r="AV68" s="848"/>
      <c r="AW68" s="848"/>
      <c r="AX68" s="848"/>
      <c r="AY68" s="848"/>
      <c r="AZ68" s="848"/>
      <c r="BA68" s="848"/>
      <c r="BB68" s="848"/>
      <c r="BC68" s="848"/>
      <c r="BD68" s="848"/>
      <c r="BE68" s="848"/>
      <c r="BF68" s="848"/>
      <c r="BG68" s="848"/>
      <c r="BH68" s="848"/>
      <c r="BI68" s="848"/>
      <c r="BJ68" s="848"/>
      <c r="BK68" s="851"/>
      <c r="BL68" s="851"/>
      <c r="BM68" s="57"/>
      <c r="BN68" s="848"/>
      <c r="BO68" s="848"/>
      <c r="BP68" s="848"/>
      <c r="BQ68" s="853"/>
      <c r="BR68" s="853"/>
      <c r="BS68" s="853"/>
      <c r="BT68" s="853"/>
      <c r="BU68" s="854"/>
    </row>
    <row r="69" spans="1:73" s="70" customFormat="1" ht="172.5" customHeight="1" x14ac:dyDescent="0.25">
      <c r="A69" s="2836"/>
      <c r="B69" s="2837"/>
      <c r="C69" s="1883"/>
      <c r="D69" s="1884"/>
      <c r="E69" s="4068"/>
      <c r="F69" s="4068"/>
      <c r="G69" s="1899">
        <v>4103059</v>
      </c>
      <c r="H69" s="1934" t="s">
        <v>1242</v>
      </c>
      <c r="I69" s="1931">
        <v>4103059</v>
      </c>
      <c r="J69" s="1934" t="s">
        <v>1242</v>
      </c>
      <c r="K69" s="1907">
        <v>410305900</v>
      </c>
      <c r="L69" s="1876" t="s">
        <v>1243</v>
      </c>
      <c r="M69" s="1907">
        <v>410305900</v>
      </c>
      <c r="N69" s="1876" t="s">
        <v>1243</v>
      </c>
      <c r="O69" s="1907">
        <v>10</v>
      </c>
      <c r="P69" s="1907">
        <v>2</v>
      </c>
      <c r="Q69" s="1916" t="s">
        <v>1244</v>
      </c>
      <c r="R69" s="1877" t="s">
        <v>1245</v>
      </c>
      <c r="S69" s="1922">
        <f>SUM(X69)/T69</f>
        <v>1</v>
      </c>
      <c r="T69" s="1932">
        <f>SUM(X69)</f>
        <v>15000000</v>
      </c>
      <c r="U69" s="1867" t="s">
        <v>1246</v>
      </c>
      <c r="V69" s="1890" t="s">
        <v>1110</v>
      </c>
      <c r="W69" s="1888" t="s">
        <v>1247</v>
      </c>
      <c r="X69" s="2165">
        <v>15000000</v>
      </c>
      <c r="Y69" s="2176">
        <v>6600000</v>
      </c>
      <c r="Z69" s="2176">
        <v>3300000</v>
      </c>
      <c r="AA69" s="1950" t="s">
        <v>1248</v>
      </c>
      <c r="AB69" s="1938">
        <v>20</v>
      </c>
      <c r="AC69" s="1901" t="s">
        <v>187</v>
      </c>
      <c r="AD69" s="1858">
        <v>4</v>
      </c>
      <c r="AE69" s="856">
        <v>2</v>
      </c>
      <c r="AF69" s="856">
        <v>6</v>
      </c>
      <c r="AG69" s="856">
        <v>4</v>
      </c>
      <c r="AH69" s="856" t="s">
        <v>319</v>
      </c>
      <c r="AI69" s="856"/>
      <c r="AJ69" s="856">
        <v>10</v>
      </c>
      <c r="AK69" s="856">
        <v>2</v>
      </c>
      <c r="AL69" s="1911"/>
      <c r="AM69" s="1911">
        <v>4</v>
      </c>
      <c r="AN69" s="1911"/>
      <c r="AO69" s="1911"/>
      <c r="AP69" s="1911"/>
      <c r="AQ69" s="1911"/>
      <c r="AR69" s="1911"/>
      <c r="AS69" s="1911"/>
      <c r="AT69" s="1911"/>
      <c r="AU69" s="1911"/>
      <c r="AV69" s="1911"/>
      <c r="AW69" s="1911"/>
      <c r="AX69" s="1911"/>
      <c r="AY69" s="1911"/>
      <c r="AZ69" s="1911"/>
      <c r="BA69" s="1911"/>
      <c r="BB69" s="1911"/>
      <c r="BC69" s="1911"/>
      <c r="BD69" s="1911"/>
      <c r="BE69" s="1911"/>
      <c r="BF69" s="1911"/>
      <c r="BG69" s="1911"/>
      <c r="BH69" s="1911">
        <f>SUM(AD69+AF69)</f>
        <v>10</v>
      </c>
      <c r="BI69" s="1911">
        <f>SUM(AK69+AM69)</f>
        <v>6</v>
      </c>
      <c r="BJ69" s="1911">
        <v>1</v>
      </c>
      <c r="BK69" s="1941">
        <f>SUM(Y69)</f>
        <v>6600000</v>
      </c>
      <c r="BL69" s="1941">
        <f>SUM(Z69)</f>
        <v>3300000</v>
      </c>
      <c r="BM69" s="1921">
        <f>BL69/BK69</f>
        <v>0.5</v>
      </c>
      <c r="BN69" s="1911">
        <v>20</v>
      </c>
      <c r="BO69" s="1911" t="s">
        <v>187</v>
      </c>
      <c r="BP69" s="1908" t="s">
        <v>1113</v>
      </c>
      <c r="BQ69" s="1872">
        <v>44197</v>
      </c>
      <c r="BR69" s="1872">
        <v>44265</v>
      </c>
      <c r="BS69" s="1872">
        <v>44561</v>
      </c>
      <c r="BT69" s="1872">
        <v>44384</v>
      </c>
      <c r="BU69" s="1908" t="s">
        <v>1113</v>
      </c>
    </row>
    <row r="70" spans="1:73" s="70" customFormat="1" ht="127.5" customHeight="1" x14ac:dyDescent="0.25">
      <c r="A70" s="2836"/>
      <c r="B70" s="2837"/>
      <c r="C70" s="1883"/>
      <c r="D70" s="1884"/>
      <c r="E70" s="4068"/>
      <c r="F70" s="4068"/>
      <c r="G70" s="1899">
        <v>4103052</v>
      </c>
      <c r="H70" s="1933" t="s">
        <v>1249</v>
      </c>
      <c r="I70" s="1931">
        <v>4103052</v>
      </c>
      <c r="J70" s="1933" t="s">
        <v>1249</v>
      </c>
      <c r="K70" s="1906">
        <v>410305202</v>
      </c>
      <c r="L70" s="1875" t="s">
        <v>1250</v>
      </c>
      <c r="M70" s="1906">
        <v>410305202</v>
      </c>
      <c r="N70" s="1875" t="s">
        <v>1250</v>
      </c>
      <c r="O70" s="1906">
        <v>1</v>
      </c>
      <c r="P70" s="1906">
        <v>0.25</v>
      </c>
      <c r="Q70" s="1901" t="s">
        <v>1251</v>
      </c>
      <c r="R70" s="1875" t="s">
        <v>1252</v>
      </c>
      <c r="S70" s="1919">
        <f>SUM(X70)/T70</f>
        <v>1</v>
      </c>
      <c r="T70" s="1939">
        <f>SUM(X70)</f>
        <v>20000000</v>
      </c>
      <c r="U70" s="1866" t="s">
        <v>1253</v>
      </c>
      <c r="V70" s="1889" t="s">
        <v>1254</v>
      </c>
      <c r="W70" s="1866" t="s">
        <v>1255</v>
      </c>
      <c r="X70" s="2183">
        <v>20000000</v>
      </c>
      <c r="Y70" s="2184">
        <v>11540000</v>
      </c>
      <c r="Z70" s="2182">
        <v>8655000</v>
      </c>
      <c r="AA70" s="1950" t="s">
        <v>1256</v>
      </c>
      <c r="AB70" s="1937">
        <v>20</v>
      </c>
      <c r="AC70" s="1879" t="s">
        <v>187</v>
      </c>
      <c r="AD70" s="1920">
        <v>300</v>
      </c>
      <c r="AE70" s="1920">
        <v>259</v>
      </c>
      <c r="AF70" s="1920">
        <v>300</v>
      </c>
      <c r="AG70" s="1920">
        <v>264</v>
      </c>
      <c r="AH70" s="1920"/>
      <c r="AI70" s="1920"/>
      <c r="AJ70" s="1920"/>
      <c r="AK70" s="1920"/>
      <c r="AL70" s="1920"/>
      <c r="AM70" s="1920"/>
      <c r="AN70" s="1920"/>
      <c r="AO70" s="1920"/>
      <c r="AP70" s="1920"/>
      <c r="AQ70" s="1920"/>
      <c r="AR70" s="1920"/>
      <c r="AS70" s="1920"/>
      <c r="AT70" s="1920"/>
      <c r="AU70" s="1920"/>
      <c r="AV70" s="1920"/>
      <c r="AW70" s="1920"/>
      <c r="AX70" s="1920"/>
      <c r="AY70" s="1920"/>
      <c r="AZ70" s="1920"/>
      <c r="BA70" s="1920"/>
      <c r="BB70" s="1920"/>
      <c r="BC70" s="1920"/>
      <c r="BD70" s="1920"/>
      <c r="BE70" s="1920"/>
      <c r="BF70" s="1920"/>
      <c r="BG70" s="1920"/>
      <c r="BH70" s="1920">
        <v>600</v>
      </c>
      <c r="BI70" s="1920">
        <f>SUM(AE70+AG70)</f>
        <v>523</v>
      </c>
      <c r="BJ70" s="1880">
        <v>1</v>
      </c>
      <c r="BK70" s="1945">
        <f>SUM(Y70)</f>
        <v>11540000</v>
      </c>
      <c r="BL70" s="1945">
        <f>SUM(Z70)</f>
        <v>8655000</v>
      </c>
      <c r="BM70" s="1869">
        <f>BL70/BK70</f>
        <v>0.75</v>
      </c>
      <c r="BN70" s="1920">
        <v>20</v>
      </c>
      <c r="BO70" s="1920" t="s">
        <v>187</v>
      </c>
      <c r="BP70" s="1920" t="s">
        <v>1257</v>
      </c>
      <c r="BQ70" s="1940">
        <v>44197</v>
      </c>
      <c r="BR70" s="1940">
        <v>44257</v>
      </c>
      <c r="BS70" s="1940">
        <v>44561</v>
      </c>
      <c r="BT70" s="1940">
        <v>44376</v>
      </c>
      <c r="BU70" s="1920" t="s">
        <v>1257</v>
      </c>
    </row>
    <row r="71" spans="1:73" s="70" customFormat="1" ht="71.25" customHeight="1" x14ac:dyDescent="0.25">
      <c r="A71" s="2836"/>
      <c r="B71" s="2837"/>
      <c r="C71" s="1883"/>
      <c r="D71" s="1884"/>
      <c r="E71" s="4068"/>
      <c r="F71" s="4068"/>
      <c r="G71" s="3377">
        <v>4103050</v>
      </c>
      <c r="H71" s="4076" t="s">
        <v>1258</v>
      </c>
      <c r="I71" s="4112">
        <v>4103050</v>
      </c>
      <c r="J71" s="4076" t="s">
        <v>1258</v>
      </c>
      <c r="K71" s="3408">
        <v>410305001</v>
      </c>
      <c r="L71" s="2701" t="s">
        <v>1259</v>
      </c>
      <c r="M71" s="3408">
        <v>410305001</v>
      </c>
      <c r="N71" s="2701" t="s">
        <v>1259</v>
      </c>
      <c r="O71" s="3408">
        <v>12</v>
      </c>
      <c r="P71" s="3408">
        <v>0.25</v>
      </c>
      <c r="Q71" s="3408" t="s">
        <v>1260</v>
      </c>
      <c r="R71" s="2476" t="s">
        <v>1261</v>
      </c>
      <c r="S71" s="3658">
        <f>SUM(X71:X73)/T71</f>
        <v>1</v>
      </c>
      <c r="T71" s="4020">
        <f>SUM(X71:X73)</f>
        <v>25000000</v>
      </c>
      <c r="U71" s="2428" t="s">
        <v>1262</v>
      </c>
      <c r="V71" s="2771" t="s">
        <v>1207</v>
      </c>
      <c r="W71" s="2428" t="s">
        <v>1263</v>
      </c>
      <c r="X71" s="4154">
        <v>10000000</v>
      </c>
      <c r="Y71" s="4156">
        <v>5770000</v>
      </c>
      <c r="Z71" s="4156">
        <v>5770000</v>
      </c>
      <c r="AA71" s="4158" t="s">
        <v>1264</v>
      </c>
      <c r="AB71" s="4160">
        <v>20</v>
      </c>
      <c r="AC71" s="2728" t="s">
        <v>187</v>
      </c>
      <c r="AD71" s="2325">
        <v>20</v>
      </c>
      <c r="AE71" s="2317">
        <v>84</v>
      </c>
      <c r="AF71" s="2317">
        <v>10</v>
      </c>
      <c r="AG71" s="2317">
        <v>37</v>
      </c>
      <c r="AH71" s="2317">
        <v>10</v>
      </c>
      <c r="AI71" s="2317">
        <v>0</v>
      </c>
      <c r="AJ71" s="2317" t="s">
        <v>319</v>
      </c>
      <c r="AK71" s="2317">
        <v>0</v>
      </c>
      <c r="AL71" s="2317">
        <v>0</v>
      </c>
      <c r="AM71" s="2317">
        <v>95</v>
      </c>
      <c r="AN71" s="3662"/>
      <c r="AO71" s="2317">
        <v>26</v>
      </c>
      <c r="AP71" s="3662"/>
      <c r="AQ71" s="2317">
        <v>1</v>
      </c>
      <c r="AR71" s="3662"/>
      <c r="AS71" s="2317"/>
      <c r="AT71" s="3662"/>
      <c r="AU71" s="2317"/>
      <c r="AV71" s="3662"/>
      <c r="AW71" s="2317"/>
      <c r="AX71" s="3662"/>
      <c r="AY71" s="2317"/>
      <c r="AZ71" s="3662"/>
      <c r="BA71" s="2317"/>
      <c r="BB71" s="3662"/>
      <c r="BC71" s="2317">
        <v>8</v>
      </c>
      <c r="BD71" s="3662"/>
      <c r="BE71" s="2317">
        <v>3</v>
      </c>
      <c r="BF71" s="3662"/>
      <c r="BG71" s="2317"/>
      <c r="BH71" s="3662">
        <f>AD71+AF71</f>
        <v>30</v>
      </c>
      <c r="BI71" s="2317">
        <f>SUM(AI71+AK71+AM71+AO71)</f>
        <v>121</v>
      </c>
      <c r="BJ71" s="4150">
        <v>2</v>
      </c>
      <c r="BK71" s="4014">
        <f>SUM(Y71:Y73)</f>
        <v>11770000</v>
      </c>
      <c r="BL71" s="4014">
        <f>SUM(Z71:Z73)</f>
        <v>11770000</v>
      </c>
      <c r="BM71" s="4016">
        <f>BL71/BK71</f>
        <v>1</v>
      </c>
      <c r="BN71" s="2317">
        <v>20</v>
      </c>
      <c r="BO71" s="2317" t="s">
        <v>187</v>
      </c>
      <c r="BP71" s="2317" t="s">
        <v>1091</v>
      </c>
      <c r="BQ71" s="4147">
        <v>44197</v>
      </c>
      <c r="BR71" s="4147">
        <v>44228</v>
      </c>
      <c r="BS71" s="4147">
        <v>44561</v>
      </c>
      <c r="BT71" s="4147">
        <v>44408</v>
      </c>
      <c r="BU71" s="3662" t="s">
        <v>1091</v>
      </c>
    </row>
    <row r="72" spans="1:73" s="70" customFormat="1" ht="18.75" customHeight="1" x14ac:dyDescent="0.25">
      <c r="A72" s="2836"/>
      <c r="B72" s="2837"/>
      <c r="C72" s="1883"/>
      <c r="D72" s="1884"/>
      <c r="E72" s="4068"/>
      <c r="F72" s="4068"/>
      <c r="G72" s="3377"/>
      <c r="H72" s="4077"/>
      <c r="I72" s="4112"/>
      <c r="J72" s="4077"/>
      <c r="K72" s="3409"/>
      <c r="L72" s="2702"/>
      <c r="M72" s="3409"/>
      <c r="N72" s="2702"/>
      <c r="O72" s="3409"/>
      <c r="P72" s="3409"/>
      <c r="Q72" s="3409"/>
      <c r="R72" s="2476"/>
      <c r="S72" s="3712"/>
      <c r="T72" s="4021"/>
      <c r="U72" s="2429"/>
      <c r="V72" s="2772"/>
      <c r="W72" s="2430"/>
      <c r="X72" s="4155"/>
      <c r="Y72" s="4157"/>
      <c r="Z72" s="4157"/>
      <c r="AA72" s="4159"/>
      <c r="AB72" s="4027"/>
      <c r="AC72" s="2728"/>
      <c r="AD72" s="2326"/>
      <c r="AE72" s="2318"/>
      <c r="AF72" s="2318"/>
      <c r="AG72" s="2318"/>
      <c r="AH72" s="2318"/>
      <c r="AI72" s="2318"/>
      <c r="AJ72" s="2318"/>
      <c r="AK72" s="2318"/>
      <c r="AL72" s="2318"/>
      <c r="AM72" s="2318"/>
      <c r="AN72" s="3463"/>
      <c r="AO72" s="2318"/>
      <c r="AP72" s="3463"/>
      <c r="AQ72" s="2318"/>
      <c r="AR72" s="3463"/>
      <c r="AS72" s="2318"/>
      <c r="AT72" s="3463"/>
      <c r="AU72" s="2318"/>
      <c r="AV72" s="3463"/>
      <c r="AW72" s="2318"/>
      <c r="AX72" s="3463"/>
      <c r="AY72" s="2318"/>
      <c r="AZ72" s="3463"/>
      <c r="BA72" s="2318"/>
      <c r="BB72" s="3463"/>
      <c r="BC72" s="2318"/>
      <c r="BD72" s="3463"/>
      <c r="BE72" s="2318"/>
      <c r="BF72" s="3463"/>
      <c r="BG72" s="2318"/>
      <c r="BH72" s="3463"/>
      <c r="BI72" s="2318"/>
      <c r="BJ72" s="4151"/>
      <c r="BK72" s="4015"/>
      <c r="BL72" s="4015"/>
      <c r="BM72" s="4017"/>
      <c r="BN72" s="2318"/>
      <c r="BO72" s="2318"/>
      <c r="BP72" s="2318"/>
      <c r="BQ72" s="4007"/>
      <c r="BR72" s="4007"/>
      <c r="BS72" s="4007"/>
      <c r="BT72" s="4007"/>
      <c r="BU72" s="3463"/>
    </row>
    <row r="73" spans="1:73" s="70" customFormat="1" ht="107.25" customHeight="1" x14ac:dyDescent="0.25">
      <c r="A73" s="2836"/>
      <c r="B73" s="2837"/>
      <c r="C73" s="1883"/>
      <c r="D73" s="1884"/>
      <c r="E73" s="4068"/>
      <c r="F73" s="4068"/>
      <c r="G73" s="3377"/>
      <c r="H73" s="4078"/>
      <c r="I73" s="4112"/>
      <c r="J73" s="4078"/>
      <c r="K73" s="3601"/>
      <c r="L73" s="2703"/>
      <c r="M73" s="3601"/>
      <c r="N73" s="2703"/>
      <c r="O73" s="3601"/>
      <c r="P73" s="3601"/>
      <c r="Q73" s="3601"/>
      <c r="R73" s="2476"/>
      <c r="S73" s="3659"/>
      <c r="T73" s="4161"/>
      <c r="U73" s="2430"/>
      <c r="V73" s="2773"/>
      <c r="W73" s="1888" t="s">
        <v>1265</v>
      </c>
      <c r="X73" s="2165">
        <v>15000000</v>
      </c>
      <c r="Y73" s="2166">
        <v>6000000</v>
      </c>
      <c r="Z73" s="2168">
        <v>6000000</v>
      </c>
      <c r="AA73" s="1950" t="s">
        <v>1264</v>
      </c>
      <c r="AB73" s="4028"/>
      <c r="AC73" s="2728"/>
      <c r="AD73" s="4153"/>
      <c r="AE73" s="4023"/>
      <c r="AF73" s="4023"/>
      <c r="AG73" s="4023"/>
      <c r="AH73" s="4023"/>
      <c r="AI73" s="4023"/>
      <c r="AJ73" s="4023"/>
      <c r="AK73" s="4023"/>
      <c r="AL73" s="4023"/>
      <c r="AM73" s="4023"/>
      <c r="AN73" s="3464"/>
      <c r="AO73" s="4023"/>
      <c r="AP73" s="3464"/>
      <c r="AQ73" s="4023"/>
      <c r="AR73" s="3464"/>
      <c r="AS73" s="4023"/>
      <c r="AT73" s="3464"/>
      <c r="AU73" s="4023"/>
      <c r="AV73" s="3464"/>
      <c r="AW73" s="4023"/>
      <c r="AX73" s="3464"/>
      <c r="AY73" s="4023"/>
      <c r="AZ73" s="3464"/>
      <c r="BA73" s="4023"/>
      <c r="BB73" s="3464"/>
      <c r="BC73" s="4023"/>
      <c r="BD73" s="3464"/>
      <c r="BE73" s="4023"/>
      <c r="BF73" s="3464"/>
      <c r="BG73" s="4023"/>
      <c r="BH73" s="3464"/>
      <c r="BI73" s="4023"/>
      <c r="BJ73" s="4152"/>
      <c r="BK73" s="4024"/>
      <c r="BL73" s="4024"/>
      <c r="BM73" s="4025"/>
      <c r="BN73" s="4023"/>
      <c r="BO73" s="4023"/>
      <c r="BP73" s="4023"/>
      <c r="BQ73" s="4022"/>
      <c r="BR73" s="4022"/>
      <c r="BS73" s="4022"/>
      <c r="BT73" s="4022"/>
      <c r="BU73" s="3464"/>
    </row>
    <row r="74" spans="1:73" s="70" customFormat="1" ht="69" customHeight="1" x14ac:dyDescent="0.25">
      <c r="A74" s="2836"/>
      <c r="B74" s="2837"/>
      <c r="C74" s="1883"/>
      <c r="D74" s="1884"/>
      <c r="E74" s="4068"/>
      <c r="F74" s="4068"/>
      <c r="G74" s="3377">
        <v>4103058</v>
      </c>
      <c r="H74" s="4076" t="s">
        <v>1266</v>
      </c>
      <c r="I74" s="3378">
        <v>4103058</v>
      </c>
      <c r="J74" s="3418" t="s">
        <v>1266</v>
      </c>
      <c r="K74" s="3408">
        <v>410305800</v>
      </c>
      <c r="L74" s="2701" t="s">
        <v>1267</v>
      </c>
      <c r="M74" s="3408">
        <v>410305800</v>
      </c>
      <c r="N74" s="2701" t="s">
        <v>1267</v>
      </c>
      <c r="O74" s="3408">
        <v>2</v>
      </c>
      <c r="P74" s="3408">
        <v>0</v>
      </c>
      <c r="Q74" s="3408" t="s">
        <v>1268</v>
      </c>
      <c r="R74" s="2701" t="s">
        <v>1269</v>
      </c>
      <c r="S74" s="3658">
        <f>SUM(X74:X77)/T74</f>
        <v>1</v>
      </c>
      <c r="T74" s="4020">
        <f>SUM(X74:X77)</f>
        <v>75112368</v>
      </c>
      <c r="U74" s="2428" t="s">
        <v>1270</v>
      </c>
      <c r="V74" s="2771" t="s">
        <v>1207</v>
      </c>
      <c r="W74" s="1888" t="s">
        <v>1271</v>
      </c>
      <c r="X74" s="2179">
        <f>18000000-3150000</f>
        <v>14850000</v>
      </c>
      <c r="Y74" s="2166">
        <v>6600000</v>
      </c>
      <c r="Z74" s="2168">
        <v>4950000</v>
      </c>
      <c r="AA74" s="1852" t="s">
        <v>1272</v>
      </c>
      <c r="AB74" s="876">
        <v>20</v>
      </c>
      <c r="AC74" s="1879" t="s">
        <v>187</v>
      </c>
      <c r="AD74" s="2320">
        <v>225</v>
      </c>
      <c r="AE74" s="3662"/>
      <c r="AF74" s="2320">
        <v>225</v>
      </c>
      <c r="AG74" s="3662"/>
      <c r="AH74" s="2320" t="s">
        <v>319</v>
      </c>
      <c r="AI74" s="3662"/>
      <c r="AJ74" s="2320">
        <v>70</v>
      </c>
      <c r="AK74" s="3662"/>
      <c r="AL74" s="2320">
        <v>100</v>
      </c>
      <c r="AM74" s="3662"/>
      <c r="AN74" s="2317">
        <v>50</v>
      </c>
      <c r="AO74" s="3662"/>
      <c r="AP74" s="2317">
        <v>10</v>
      </c>
      <c r="AQ74" s="3662"/>
      <c r="AR74" s="2317">
        <v>10</v>
      </c>
      <c r="AS74" s="3662"/>
      <c r="AT74" s="2317" t="s">
        <v>319</v>
      </c>
      <c r="AU74" s="3662"/>
      <c r="AV74" s="2317" t="s">
        <v>319</v>
      </c>
      <c r="AW74" s="3662"/>
      <c r="AX74" s="2317" t="s">
        <v>319</v>
      </c>
      <c r="AY74" s="3662"/>
      <c r="AZ74" s="2317" t="s">
        <v>319</v>
      </c>
      <c r="BA74" s="3662"/>
      <c r="BB74" s="2317" t="s">
        <v>319</v>
      </c>
      <c r="BC74" s="3662"/>
      <c r="BD74" s="2317">
        <v>200</v>
      </c>
      <c r="BE74" s="3662"/>
      <c r="BF74" s="2317">
        <v>10</v>
      </c>
      <c r="BG74" s="3662"/>
      <c r="BH74" s="3662">
        <v>450</v>
      </c>
      <c r="BI74" s="3662">
        <f>SUM(AI74+AK74+AM74+AO74)</f>
        <v>0</v>
      </c>
      <c r="BJ74" s="2741">
        <v>1</v>
      </c>
      <c r="BK74" s="4002">
        <f>SUM(Y74:Y77)</f>
        <v>15750000</v>
      </c>
      <c r="BL74" s="4002">
        <f>SUM(Z74:Z77)</f>
        <v>9529818</v>
      </c>
      <c r="BM74" s="3474">
        <f>BL74/BK74</f>
        <v>0.60506780952380956</v>
      </c>
      <c r="BN74" s="3662">
        <v>20</v>
      </c>
      <c r="BO74" s="3662" t="s">
        <v>187</v>
      </c>
      <c r="BP74" s="3662" t="s">
        <v>1273</v>
      </c>
      <c r="BQ74" s="4147">
        <v>44197</v>
      </c>
      <c r="BR74" s="4147">
        <v>44244</v>
      </c>
      <c r="BS74" s="4147">
        <v>44561</v>
      </c>
      <c r="BT74" s="4147">
        <v>44363</v>
      </c>
      <c r="BU74" s="3662" t="s">
        <v>1273</v>
      </c>
    </row>
    <row r="75" spans="1:73" s="70" customFormat="1" ht="68.25" customHeight="1" x14ac:dyDescent="0.25">
      <c r="A75" s="2836"/>
      <c r="B75" s="2837"/>
      <c r="C75" s="1883"/>
      <c r="D75" s="1884"/>
      <c r="E75" s="4068"/>
      <c r="F75" s="4068"/>
      <c r="G75" s="3377"/>
      <c r="H75" s="4077"/>
      <c r="I75" s="3399"/>
      <c r="J75" s="3419"/>
      <c r="K75" s="3409"/>
      <c r="L75" s="2702"/>
      <c r="M75" s="3409"/>
      <c r="N75" s="2702"/>
      <c r="O75" s="3409"/>
      <c r="P75" s="3409"/>
      <c r="Q75" s="3409"/>
      <c r="R75" s="2702"/>
      <c r="S75" s="3712"/>
      <c r="T75" s="4021"/>
      <c r="U75" s="2429"/>
      <c r="V75" s="2772"/>
      <c r="W75" s="4148" t="s">
        <v>1274</v>
      </c>
      <c r="X75" s="2179">
        <f>10000000-6000000</f>
        <v>4000000</v>
      </c>
      <c r="Y75" s="2166">
        <v>0</v>
      </c>
      <c r="Z75" s="2168">
        <v>0</v>
      </c>
      <c r="AA75" s="1852" t="s">
        <v>1272</v>
      </c>
      <c r="AB75" s="876">
        <v>20</v>
      </c>
      <c r="AC75" s="1879" t="s">
        <v>187</v>
      </c>
      <c r="AD75" s="2318"/>
      <c r="AE75" s="3463"/>
      <c r="AF75" s="2318"/>
      <c r="AG75" s="3463"/>
      <c r="AH75" s="2318"/>
      <c r="AI75" s="3463"/>
      <c r="AJ75" s="2318"/>
      <c r="AK75" s="3463"/>
      <c r="AL75" s="2318"/>
      <c r="AM75" s="3463"/>
      <c r="AN75" s="2318"/>
      <c r="AO75" s="3463"/>
      <c r="AP75" s="2318"/>
      <c r="AQ75" s="3463"/>
      <c r="AR75" s="2318"/>
      <c r="AS75" s="3463"/>
      <c r="AT75" s="2318"/>
      <c r="AU75" s="3463"/>
      <c r="AV75" s="2318"/>
      <c r="AW75" s="3463"/>
      <c r="AX75" s="2318"/>
      <c r="AY75" s="3463"/>
      <c r="AZ75" s="2318"/>
      <c r="BA75" s="3463"/>
      <c r="BB75" s="2318"/>
      <c r="BC75" s="3463"/>
      <c r="BD75" s="2318"/>
      <c r="BE75" s="3463"/>
      <c r="BF75" s="2318"/>
      <c r="BG75" s="3463"/>
      <c r="BH75" s="3463"/>
      <c r="BI75" s="3463"/>
      <c r="BJ75" s="2742"/>
      <c r="BK75" s="4003"/>
      <c r="BL75" s="4003"/>
      <c r="BM75" s="2463"/>
      <c r="BN75" s="3463"/>
      <c r="BO75" s="3463"/>
      <c r="BP75" s="3463"/>
      <c r="BQ75" s="4007"/>
      <c r="BR75" s="4007"/>
      <c r="BS75" s="4007"/>
      <c r="BT75" s="4007"/>
      <c r="BU75" s="3463"/>
    </row>
    <row r="76" spans="1:73" s="70" customFormat="1" ht="65.25" customHeight="1" x14ac:dyDescent="0.25">
      <c r="A76" s="2836"/>
      <c r="B76" s="2837"/>
      <c r="C76" s="1883"/>
      <c r="D76" s="1884"/>
      <c r="E76" s="4068"/>
      <c r="F76" s="4068"/>
      <c r="G76" s="3377"/>
      <c r="H76" s="4077"/>
      <c r="I76" s="3399"/>
      <c r="J76" s="3419"/>
      <c r="K76" s="3409"/>
      <c r="L76" s="2702"/>
      <c r="M76" s="3409"/>
      <c r="N76" s="2702"/>
      <c r="O76" s="3409"/>
      <c r="P76" s="3409"/>
      <c r="Q76" s="3409"/>
      <c r="R76" s="2702"/>
      <c r="S76" s="3712"/>
      <c r="T76" s="4021"/>
      <c r="U76" s="2429"/>
      <c r="V76" s="2772"/>
      <c r="W76" s="4067"/>
      <c r="X76" s="2179">
        <v>47112368</v>
      </c>
      <c r="Y76" s="2166"/>
      <c r="Z76" s="2168"/>
      <c r="AA76" s="1852" t="s">
        <v>1275</v>
      </c>
      <c r="AB76" s="876">
        <v>88</v>
      </c>
      <c r="AC76" s="1879" t="s">
        <v>1126</v>
      </c>
      <c r="AD76" s="2318"/>
      <c r="AE76" s="3463"/>
      <c r="AF76" s="2318"/>
      <c r="AG76" s="3463"/>
      <c r="AH76" s="2318"/>
      <c r="AI76" s="3463"/>
      <c r="AJ76" s="2318"/>
      <c r="AK76" s="3463"/>
      <c r="AL76" s="2318"/>
      <c r="AM76" s="3463"/>
      <c r="AN76" s="2318"/>
      <c r="AO76" s="3463"/>
      <c r="AP76" s="2318"/>
      <c r="AQ76" s="3463"/>
      <c r="AR76" s="2318"/>
      <c r="AS76" s="3463"/>
      <c r="AT76" s="2318"/>
      <c r="AU76" s="3463"/>
      <c r="AV76" s="2318"/>
      <c r="AW76" s="3463"/>
      <c r="AX76" s="2318"/>
      <c r="AY76" s="3463"/>
      <c r="AZ76" s="2318"/>
      <c r="BA76" s="3463"/>
      <c r="BB76" s="2318"/>
      <c r="BC76" s="3463"/>
      <c r="BD76" s="2318"/>
      <c r="BE76" s="3463"/>
      <c r="BF76" s="2318"/>
      <c r="BG76" s="3463"/>
      <c r="BH76" s="3463"/>
      <c r="BI76" s="3463"/>
      <c r="BJ76" s="2742"/>
      <c r="BK76" s="4003"/>
      <c r="BL76" s="4003"/>
      <c r="BM76" s="2463"/>
      <c r="BN76" s="3463"/>
      <c r="BO76" s="3463"/>
      <c r="BP76" s="3463"/>
      <c r="BQ76" s="4007"/>
      <c r="BR76" s="4007"/>
      <c r="BS76" s="4007"/>
      <c r="BT76" s="4007"/>
      <c r="BU76" s="3463"/>
    </row>
    <row r="77" spans="1:73" s="70" customFormat="1" ht="104.25" customHeight="1" x14ac:dyDescent="0.25">
      <c r="A77" s="2836"/>
      <c r="B77" s="2837"/>
      <c r="C77" s="1883"/>
      <c r="D77" s="1884"/>
      <c r="E77" s="4068"/>
      <c r="F77" s="4068"/>
      <c r="G77" s="3377"/>
      <c r="H77" s="4077"/>
      <c r="I77" s="3399"/>
      <c r="J77" s="3419"/>
      <c r="K77" s="3409"/>
      <c r="L77" s="2702"/>
      <c r="M77" s="3409"/>
      <c r="N77" s="2702"/>
      <c r="O77" s="3409"/>
      <c r="P77" s="4149"/>
      <c r="Q77" s="3409"/>
      <c r="R77" s="2702"/>
      <c r="S77" s="3712"/>
      <c r="T77" s="4021"/>
      <c r="U77" s="2429"/>
      <c r="V77" s="2772"/>
      <c r="W77" s="1888" t="s">
        <v>1276</v>
      </c>
      <c r="X77" s="2179">
        <v>9150000</v>
      </c>
      <c r="Y77" s="2166">
        <f>+'[2]F-PLA-47 EJE METAS PROYECTOS'!T50</f>
        <v>9150000</v>
      </c>
      <c r="Z77" s="2168">
        <f>+'[2]F-PLA-47 EJE METAS PROYECTOS'!U50</f>
        <v>4579818</v>
      </c>
      <c r="AA77" s="1852" t="s">
        <v>1277</v>
      </c>
      <c r="AB77" s="876">
        <v>20</v>
      </c>
      <c r="AC77" s="1879" t="s">
        <v>187</v>
      </c>
      <c r="AD77" s="2318"/>
      <c r="AE77" s="3463"/>
      <c r="AF77" s="2318"/>
      <c r="AG77" s="3463"/>
      <c r="AH77" s="2318"/>
      <c r="AI77" s="3463"/>
      <c r="AJ77" s="2318"/>
      <c r="AK77" s="3463"/>
      <c r="AL77" s="2318"/>
      <c r="AM77" s="3463"/>
      <c r="AN77" s="2318"/>
      <c r="AO77" s="3463"/>
      <c r="AP77" s="2318"/>
      <c r="AQ77" s="3463"/>
      <c r="AR77" s="2318"/>
      <c r="AS77" s="3463"/>
      <c r="AT77" s="2318"/>
      <c r="AU77" s="3463"/>
      <c r="AV77" s="2318"/>
      <c r="AW77" s="3463"/>
      <c r="AX77" s="2318"/>
      <c r="AY77" s="3463"/>
      <c r="AZ77" s="2318"/>
      <c r="BA77" s="3463"/>
      <c r="BB77" s="2318"/>
      <c r="BC77" s="3463"/>
      <c r="BD77" s="2318"/>
      <c r="BE77" s="3463"/>
      <c r="BF77" s="2318"/>
      <c r="BG77" s="3463"/>
      <c r="BH77" s="3463"/>
      <c r="BI77" s="3463"/>
      <c r="BJ77" s="2742"/>
      <c r="BK77" s="4003"/>
      <c r="BL77" s="4003"/>
      <c r="BM77" s="2463"/>
      <c r="BN77" s="3463"/>
      <c r="BO77" s="3463"/>
      <c r="BP77" s="3463"/>
      <c r="BQ77" s="4007"/>
      <c r="BR77" s="4007"/>
      <c r="BS77" s="4007"/>
      <c r="BT77" s="4007"/>
      <c r="BU77" s="3463"/>
    </row>
    <row r="78" spans="1:73" s="70" customFormat="1" ht="49.5" customHeight="1" x14ac:dyDescent="0.25">
      <c r="A78" s="2836"/>
      <c r="B78" s="2837"/>
      <c r="C78" s="1883"/>
      <c r="D78" s="1884"/>
      <c r="E78" s="4068"/>
      <c r="F78" s="4068"/>
      <c r="G78" s="3377" t="s">
        <v>74</v>
      </c>
      <c r="H78" s="4101" t="s">
        <v>1278</v>
      </c>
      <c r="I78" s="3377">
        <v>4103060</v>
      </c>
      <c r="J78" s="3434" t="s">
        <v>1279</v>
      </c>
      <c r="K78" s="3377" t="s">
        <v>74</v>
      </c>
      <c r="L78" s="3434" t="s">
        <v>1280</v>
      </c>
      <c r="M78" s="3377">
        <v>410306000</v>
      </c>
      <c r="N78" s="3434" t="s">
        <v>1281</v>
      </c>
      <c r="O78" s="3377">
        <v>5</v>
      </c>
      <c r="P78" s="3377">
        <v>0</v>
      </c>
      <c r="Q78" s="3378" t="s">
        <v>1282</v>
      </c>
      <c r="R78" s="3434" t="s">
        <v>1283</v>
      </c>
      <c r="S78" s="4145">
        <f>SUM(X78:X80)/T78</f>
        <v>0.57446808510638303</v>
      </c>
      <c r="T78" s="4058">
        <f>SUM(X78:X83)</f>
        <v>47000000</v>
      </c>
      <c r="U78" s="4085" t="s">
        <v>1284</v>
      </c>
      <c r="V78" s="4046" t="s">
        <v>1285</v>
      </c>
      <c r="W78" s="883" t="s">
        <v>1286</v>
      </c>
      <c r="X78" s="2180">
        <f>10000000-1000000</f>
        <v>9000000</v>
      </c>
      <c r="Y78" s="2166">
        <v>0</v>
      </c>
      <c r="Z78" s="2168">
        <v>0</v>
      </c>
      <c r="AA78" s="1944" t="s">
        <v>1287</v>
      </c>
      <c r="AB78" s="4027">
        <v>20</v>
      </c>
      <c r="AC78" s="2728" t="s">
        <v>187</v>
      </c>
      <c r="AD78" s="2252">
        <v>1471</v>
      </c>
      <c r="AE78" s="2252">
        <v>40</v>
      </c>
      <c r="AF78" s="4042">
        <v>1412</v>
      </c>
      <c r="AG78" s="2252">
        <v>30</v>
      </c>
      <c r="AH78" s="4143" t="s">
        <v>319</v>
      </c>
      <c r="AI78" s="2252"/>
      <c r="AJ78" s="4042" t="s">
        <v>319</v>
      </c>
      <c r="AK78" s="2252"/>
      <c r="AL78" s="4143" t="s">
        <v>319</v>
      </c>
      <c r="AM78" s="2252"/>
      <c r="AN78" s="4042" t="s">
        <v>319</v>
      </c>
      <c r="AO78" s="2252"/>
      <c r="AP78" s="4143">
        <v>2883</v>
      </c>
      <c r="AQ78" s="2252">
        <v>70</v>
      </c>
      <c r="AR78" s="4042" t="s">
        <v>319</v>
      </c>
      <c r="AS78" s="2252"/>
      <c r="AT78" s="4143" t="s">
        <v>319</v>
      </c>
      <c r="AU78" s="2252"/>
      <c r="AV78" s="4042" t="s">
        <v>319</v>
      </c>
      <c r="AW78" s="2252"/>
      <c r="AX78" s="4143" t="s">
        <v>319</v>
      </c>
      <c r="AY78" s="2252"/>
      <c r="AZ78" s="4042" t="s">
        <v>319</v>
      </c>
      <c r="BA78" s="2252"/>
      <c r="BB78" s="4143" t="s">
        <v>319</v>
      </c>
      <c r="BC78" s="2252"/>
      <c r="BD78" s="4042" t="s">
        <v>319</v>
      </c>
      <c r="BE78" s="2252"/>
      <c r="BF78" s="4143" t="s">
        <v>319</v>
      </c>
      <c r="BG78" s="2252"/>
      <c r="BH78" s="3440">
        <v>2883</v>
      </c>
      <c r="BI78" s="2252">
        <f>AE78+AG78</f>
        <v>70</v>
      </c>
      <c r="BJ78" s="2247">
        <v>0</v>
      </c>
      <c r="BK78" s="4054">
        <f>SUM(Y78:Y83)</f>
        <v>3844445</v>
      </c>
      <c r="BL78" s="4054">
        <f>SUM(Z78:Z83)</f>
        <v>0</v>
      </c>
      <c r="BM78" s="4131">
        <f>BL78/BK78</f>
        <v>0</v>
      </c>
      <c r="BN78" s="2252"/>
      <c r="BO78" s="2252"/>
      <c r="BP78" s="2252"/>
      <c r="BQ78" s="4141">
        <v>44197</v>
      </c>
      <c r="BR78" s="4123"/>
      <c r="BS78" s="4122">
        <v>44561</v>
      </c>
      <c r="BT78" s="4123"/>
      <c r="BU78" s="4138" t="s">
        <v>1288</v>
      </c>
    </row>
    <row r="79" spans="1:73" s="70" customFormat="1" ht="46.5" customHeight="1" x14ac:dyDescent="0.25">
      <c r="A79" s="2836"/>
      <c r="B79" s="2837"/>
      <c r="C79" s="1883"/>
      <c r="D79" s="1884"/>
      <c r="E79" s="4068"/>
      <c r="F79" s="4068"/>
      <c r="G79" s="3377"/>
      <c r="H79" s="4101"/>
      <c r="I79" s="3377"/>
      <c r="J79" s="3434"/>
      <c r="K79" s="3377"/>
      <c r="L79" s="3434"/>
      <c r="M79" s="3377"/>
      <c r="N79" s="3434"/>
      <c r="O79" s="3377"/>
      <c r="P79" s="3377"/>
      <c r="Q79" s="3399"/>
      <c r="R79" s="3434"/>
      <c r="S79" s="4146"/>
      <c r="T79" s="4058"/>
      <c r="U79" s="4086"/>
      <c r="V79" s="4046"/>
      <c r="W79" s="883" t="s">
        <v>1289</v>
      </c>
      <c r="X79" s="2180">
        <f>17000000-1000000</f>
        <v>16000000</v>
      </c>
      <c r="Y79" s="2166">
        <v>0</v>
      </c>
      <c r="Z79" s="2168">
        <v>0</v>
      </c>
      <c r="AA79" s="1950" t="s">
        <v>1287</v>
      </c>
      <c r="AB79" s="4027"/>
      <c r="AC79" s="2728"/>
      <c r="AD79" s="2252"/>
      <c r="AE79" s="2252"/>
      <c r="AF79" s="4042"/>
      <c r="AG79" s="2252"/>
      <c r="AH79" s="4144"/>
      <c r="AI79" s="2252"/>
      <c r="AJ79" s="4042"/>
      <c r="AK79" s="2252"/>
      <c r="AL79" s="4144"/>
      <c r="AM79" s="2252"/>
      <c r="AN79" s="4042"/>
      <c r="AO79" s="2252"/>
      <c r="AP79" s="4144"/>
      <c r="AQ79" s="2252"/>
      <c r="AR79" s="4042"/>
      <c r="AS79" s="2252"/>
      <c r="AT79" s="4144"/>
      <c r="AU79" s="2252"/>
      <c r="AV79" s="4042"/>
      <c r="AW79" s="2252"/>
      <c r="AX79" s="4144"/>
      <c r="AY79" s="2252"/>
      <c r="AZ79" s="4042"/>
      <c r="BA79" s="2252"/>
      <c r="BB79" s="4144"/>
      <c r="BC79" s="2252"/>
      <c r="BD79" s="4042"/>
      <c r="BE79" s="2252"/>
      <c r="BF79" s="4144"/>
      <c r="BG79" s="2252"/>
      <c r="BH79" s="3440"/>
      <c r="BI79" s="2252"/>
      <c r="BJ79" s="2247"/>
      <c r="BK79" s="4054"/>
      <c r="BL79" s="4054"/>
      <c r="BM79" s="4131"/>
      <c r="BN79" s="2252"/>
      <c r="BO79" s="2252"/>
      <c r="BP79" s="2252"/>
      <c r="BQ79" s="4142"/>
      <c r="BR79" s="4123"/>
      <c r="BS79" s="4122"/>
      <c r="BT79" s="4123"/>
      <c r="BU79" s="4139"/>
    </row>
    <row r="80" spans="1:73" s="70" customFormat="1" ht="46.5" customHeight="1" x14ac:dyDescent="0.25">
      <c r="A80" s="2836"/>
      <c r="B80" s="2837"/>
      <c r="C80" s="1883"/>
      <c r="D80" s="1884"/>
      <c r="E80" s="4068"/>
      <c r="F80" s="4068"/>
      <c r="G80" s="3377"/>
      <c r="H80" s="4101"/>
      <c r="I80" s="3377"/>
      <c r="J80" s="3434"/>
      <c r="K80" s="3377"/>
      <c r="L80" s="3434"/>
      <c r="M80" s="3377"/>
      <c r="N80" s="3434"/>
      <c r="O80" s="3377"/>
      <c r="P80" s="3377"/>
      <c r="Q80" s="3399"/>
      <c r="R80" s="3434"/>
      <c r="S80" s="4049"/>
      <c r="T80" s="4058"/>
      <c r="U80" s="4086"/>
      <c r="V80" s="4046"/>
      <c r="W80" s="883" t="s">
        <v>1290</v>
      </c>
      <c r="X80" s="2180">
        <v>2000000</v>
      </c>
      <c r="Y80" s="2166">
        <v>2000000</v>
      </c>
      <c r="Z80" s="2168">
        <v>0</v>
      </c>
      <c r="AA80" s="1950" t="s">
        <v>3282</v>
      </c>
      <c r="AB80" s="4027"/>
      <c r="AC80" s="2728"/>
      <c r="AD80" s="2252"/>
      <c r="AE80" s="2252"/>
      <c r="AF80" s="4042"/>
      <c r="AG80" s="2252"/>
      <c r="AH80" s="4144"/>
      <c r="AI80" s="2252"/>
      <c r="AJ80" s="4042"/>
      <c r="AK80" s="2252"/>
      <c r="AL80" s="4144"/>
      <c r="AM80" s="2252"/>
      <c r="AN80" s="4042"/>
      <c r="AO80" s="2252"/>
      <c r="AP80" s="4144"/>
      <c r="AQ80" s="2252"/>
      <c r="AR80" s="4042"/>
      <c r="AS80" s="2252"/>
      <c r="AT80" s="4144"/>
      <c r="AU80" s="2252"/>
      <c r="AV80" s="4042"/>
      <c r="AW80" s="2252"/>
      <c r="AX80" s="4144"/>
      <c r="AY80" s="2252"/>
      <c r="AZ80" s="4042"/>
      <c r="BA80" s="2252"/>
      <c r="BB80" s="4144"/>
      <c r="BC80" s="2252"/>
      <c r="BD80" s="4042"/>
      <c r="BE80" s="2252"/>
      <c r="BF80" s="4144"/>
      <c r="BG80" s="2252"/>
      <c r="BH80" s="3440"/>
      <c r="BI80" s="2252"/>
      <c r="BJ80" s="2247"/>
      <c r="BK80" s="4054"/>
      <c r="BL80" s="4054"/>
      <c r="BM80" s="4131"/>
      <c r="BN80" s="2252"/>
      <c r="BO80" s="2252"/>
      <c r="BP80" s="2252"/>
      <c r="BQ80" s="4142"/>
      <c r="BR80" s="4123"/>
      <c r="BS80" s="4122"/>
      <c r="BT80" s="4123"/>
      <c r="BU80" s="4139"/>
    </row>
    <row r="81" spans="1:73" s="70" customFormat="1" ht="54.75" customHeight="1" x14ac:dyDescent="0.25">
      <c r="A81" s="2836"/>
      <c r="B81" s="2837"/>
      <c r="C81" s="1883"/>
      <c r="D81" s="1884"/>
      <c r="E81" s="4068"/>
      <c r="F81" s="4068"/>
      <c r="G81" s="3377" t="s">
        <v>74</v>
      </c>
      <c r="H81" s="3397" t="s">
        <v>1291</v>
      </c>
      <c r="I81" s="3377">
        <v>4103060</v>
      </c>
      <c r="J81" s="3434" t="s">
        <v>1279</v>
      </c>
      <c r="K81" s="3377" t="s">
        <v>74</v>
      </c>
      <c r="L81" s="3402" t="s">
        <v>1292</v>
      </c>
      <c r="M81" s="3377">
        <v>410306000</v>
      </c>
      <c r="N81" s="3434" t="s">
        <v>1281</v>
      </c>
      <c r="O81" s="3377">
        <v>2</v>
      </c>
      <c r="P81" s="3377">
        <v>0</v>
      </c>
      <c r="Q81" s="3399"/>
      <c r="R81" s="3434"/>
      <c r="S81" s="4145">
        <f>SUM(X81:X83)/T78</f>
        <v>0.42553191489361702</v>
      </c>
      <c r="T81" s="4058"/>
      <c r="U81" s="4086"/>
      <c r="V81" s="4046"/>
      <c r="W81" s="883" t="s">
        <v>1293</v>
      </c>
      <c r="X81" s="2180">
        <f>10000000-1000000</f>
        <v>9000000</v>
      </c>
      <c r="Y81" s="2166">
        <v>0</v>
      </c>
      <c r="Z81" s="2168">
        <v>0</v>
      </c>
      <c r="AA81" s="1950" t="s">
        <v>1294</v>
      </c>
      <c r="AB81" s="4027"/>
      <c r="AC81" s="2728"/>
      <c r="AD81" s="2252"/>
      <c r="AE81" s="2252"/>
      <c r="AF81" s="4042"/>
      <c r="AG81" s="2252"/>
      <c r="AH81" s="4144"/>
      <c r="AI81" s="2252"/>
      <c r="AJ81" s="4042"/>
      <c r="AK81" s="2252"/>
      <c r="AL81" s="4144"/>
      <c r="AM81" s="2252"/>
      <c r="AN81" s="4042"/>
      <c r="AO81" s="2252"/>
      <c r="AP81" s="4144"/>
      <c r="AQ81" s="2252"/>
      <c r="AR81" s="4042"/>
      <c r="AS81" s="2252"/>
      <c r="AT81" s="4144"/>
      <c r="AU81" s="2252"/>
      <c r="AV81" s="4042"/>
      <c r="AW81" s="2252"/>
      <c r="AX81" s="4144"/>
      <c r="AY81" s="2252"/>
      <c r="AZ81" s="4042"/>
      <c r="BA81" s="2252"/>
      <c r="BB81" s="4144"/>
      <c r="BC81" s="2252"/>
      <c r="BD81" s="4042"/>
      <c r="BE81" s="2252"/>
      <c r="BF81" s="4144"/>
      <c r="BG81" s="2252"/>
      <c r="BH81" s="3440"/>
      <c r="BI81" s="2252"/>
      <c r="BJ81" s="2247"/>
      <c r="BK81" s="4054"/>
      <c r="BL81" s="4054"/>
      <c r="BM81" s="4131"/>
      <c r="BN81" s="2252"/>
      <c r="BO81" s="2252"/>
      <c r="BP81" s="2252"/>
      <c r="BQ81" s="4142"/>
      <c r="BR81" s="4123"/>
      <c r="BS81" s="4122"/>
      <c r="BT81" s="4123"/>
      <c r="BU81" s="4139"/>
    </row>
    <row r="82" spans="1:73" s="70" customFormat="1" ht="54.75" customHeight="1" x14ac:dyDescent="0.25">
      <c r="A82" s="2836"/>
      <c r="B82" s="2837"/>
      <c r="C82" s="1883"/>
      <c r="D82" s="1884"/>
      <c r="E82" s="4068"/>
      <c r="F82" s="4068"/>
      <c r="G82" s="3377"/>
      <c r="H82" s="3398"/>
      <c r="I82" s="3377"/>
      <c r="J82" s="3434"/>
      <c r="K82" s="3377"/>
      <c r="L82" s="3403"/>
      <c r="M82" s="3377"/>
      <c r="N82" s="3434"/>
      <c r="O82" s="3377"/>
      <c r="P82" s="3377"/>
      <c r="Q82" s="3399"/>
      <c r="R82" s="3434"/>
      <c r="S82" s="4146"/>
      <c r="T82" s="4058"/>
      <c r="U82" s="4086"/>
      <c r="V82" s="4046"/>
      <c r="W82" s="883" t="s">
        <v>1295</v>
      </c>
      <c r="X82" s="2180">
        <f>10000000-1000000</f>
        <v>9000000</v>
      </c>
      <c r="Y82" s="2166">
        <v>0</v>
      </c>
      <c r="Z82" s="2168">
        <v>0</v>
      </c>
      <c r="AA82" s="1950" t="s">
        <v>1294</v>
      </c>
      <c r="AB82" s="4027"/>
      <c r="AC82" s="2728"/>
      <c r="AD82" s="2252"/>
      <c r="AE82" s="2252"/>
      <c r="AF82" s="4042"/>
      <c r="AG82" s="2252"/>
      <c r="AH82" s="4144"/>
      <c r="AI82" s="2252"/>
      <c r="AJ82" s="4042"/>
      <c r="AK82" s="2252"/>
      <c r="AL82" s="4144"/>
      <c r="AM82" s="2252"/>
      <c r="AN82" s="4042"/>
      <c r="AO82" s="2252"/>
      <c r="AP82" s="4144"/>
      <c r="AQ82" s="2252"/>
      <c r="AR82" s="4042"/>
      <c r="AS82" s="2252"/>
      <c r="AT82" s="4144"/>
      <c r="AU82" s="2252"/>
      <c r="AV82" s="4042"/>
      <c r="AW82" s="2252"/>
      <c r="AX82" s="4144"/>
      <c r="AY82" s="2252"/>
      <c r="AZ82" s="4042"/>
      <c r="BA82" s="2252"/>
      <c r="BB82" s="4144"/>
      <c r="BC82" s="2252"/>
      <c r="BD82" s="4042"/>
      <c r="BE82" s="2252"/>
      <c r="BF82" s="4144"/>
      <c r="BG82" s="2252"/>
      <c r="BH82" s="3440"/>
      <c r="BI82" s="2252"/>
      <c r="BJ82" s="2247"/>
      <c r="BK82" s="4054"/>
      <c r="BL82" s="4054"/>
      <c r="BM82" s="4131"/>
      <c r="BN82" s="2252"/>
      <c r="BO82" s="2252"/>
      <c r="BP82" s="2252"/>
      <c r="BQ82" s="4142"/>
      <c r="BR82" s="4123"/>
      <c r="BS82" s="4122"/>
      <c r="BT82" s="4123"/>
      <c r="BU82" s="4139"/>
    </row>
    <row r="83" spans="1:73" s="70" customFormat="1" ht="54.75" customHeight="1" x14ac:dyDescent="0.25">
      <c r="A83" s="2836"/>
      <c r="B83" s="2837"/>
      <c r="C83" s="1883"/>
      <c r="D83" s="1884"/>
      <c r="E83" s="4068"/>
      <c r="F83" s="4068"/>
      <c r="G83" s="3377"/>
      <c r="H83" s="4100"/>
      <c r="I83" s="3377"/>
      <c r="J83" s="3434"/>
      <c r="K83" s="3377"/>
      <c r="L83" s="3453"/>
      <c r="M83" s="3377"/>
      <c r="N83" s="3434"/>
      <c r="O83" s="3377"/>
      <c r="P83" s="3377"/>
      <c r="Q83" s="3433"/>
      <c r="R83" s="3434"/>
      <c r="S83" s="4049"/>
      <c r="T83" s="4058"/>
      <c r="U83" s="4087"/>
      <c r="V83" s="4046"/>
      <c r="W83" s="883" t="s">
        <v>1290</v>
      </c>
      <c r="X83" s="2179">
        <v>2000000</v>
      </c>
      <c r="Y83" s="2166">
        <v>1844445</v>
      </c>
      <c r="Z83" s="2168">
        <v>0</v>
      </c>
      <c r="AA83" s="1943" t="s">
        <v>3282</v>
      </c>
      <c r="AB83" s="4027"/>
      <c r="AC83" s="2728"/>
      <c r="AD83" s="2252"/>
      <c r="AE83" s="2252"/>
      <c r="AF83" s="4042"/>
      <c r="AG83" s="2252"/>
      <c r="AH83" s="4132"/>
      <c r="AI83" s="2252"/>
      <c r="AJ83" s="4042"/>
      <c r="AK83" s="2252"/>
      <c r="AL83" s="4132"/>
      <c r="AM83" s="2252"/>
      <c r="AN83" s="4042"/>
      <c r="AO83" s="2252"/>
      <c r="AP83" s="4132"/>
      <c r="AQ83" s="2252"/>
      <c r="AR83" s="4042"/>
      <c r="AS83" s="2252"/>
      <c r="AT83" s="4132"/>
      <c r="AU83" s="2252"/>
      <c r="AV83" s="4042"/>
      <c r="AW83" s="2252"/>
      <c r="AX83" s="4132"/>
      <c r="AY83" s="2252"/>
      <c r="AZ83" s="4042"/>
      <c r="BA83" s="2252"/>
      <c r="BB83" s="4132"/>
      <c r="BC83" s="2252"/>
      <c r="BD83" s="4042"/>
      <c r="BE83" s="2252"/>
      <c r="BF83" s="4132"/>
      <c r="BG83" s="2252"/>
      <c r="BH83" s="3440"/>
      <c r="BI83" s="2252"/>
      <c r="BJ83" s="2247"/>
      <c r="BK83" s="4054"/>
      <c r="BL83" s="4054"/>
      <c r="BM83" s="4131"/>
      <c r="BN83" s="2252"/>
      <c r="BO83" s="2252"/>
      <c r="BP83" s="2252"/>
      <c r="BQ83" s="4121"/>
      <c r="BR83" s="4123"/>
      <c r="BS83" s="4122"/>
      <c r="BT83" s="4123"/>
      <c r="BU83" s="4140"/>
    </row>
    <row r="84" spans="1:73" s="70" customFormat="1" ht="74.25" customHeight="1" x14ac:dyDescent="0.25">
      <c r="A84" s="2836"/>
      <c r="B84" s="2837"/>
      <c r="C84" s="1883"/>
      <c r="D84" s="1884"/>
      <c r="E84" s="4068"/>
      <c r="F84" s="4068"/>
      <c r="G84" s="3377" t="s">
        <v>74</v>
      </c>
      <c r="H84" s="4100" t="s">
        <v>1296</v>
      </c>
      <c r="I84" s="4091">
        <v>4103052</v>
      </c>
      <c r="J84" s="3453" t="s">
        <v>1249</v>
      </c>
      <c r="K84" s="4110" t="s">
        <v>74</v>
      </c>
      <c r="L84" s="3453" t="s">
        <v>1297</v>
      </c>
      <c r="M84" s="4110">
        <v>410305202</v>
      </c>
      <c r="N84" s="3453" t="s">
        <v>1250</v>
      </c>
      <c r="O84" s="4137">
        <v>1</v>
      </c>
      <c r="P84" s="4110">
        <v>0.1</v>
      </c>
      <c r="Q84" s="3433" t="s">
        <v>1298</v>
      </c>
      <c r="R84" s="3439" t="s">
        <v>1299</v>
      </c>
      <c r="S84" s="4049">
        <f>SUM(X84:X89)/T84</f>
        <v>1</v>
      </c>
      <c r="T84" s="4135">
        <f>SUM(X84:X89)</f>
        <v>51681346</v>
      </c>
      <c r="U84" s="4087" t="s">
        <v>1300</v>
      </c>
      <c r="V84" s="4070" t="s">
        <v>1301</v>
      </c>
      <c r="W84" s="4162" t="s">
        <v>1302</v>
      </c>
      <c r="X84" s="2165">
        <v>34500000</v>
      </c>
      <c r="Y84" s="2166">
        <v>11540000</v>
      </c>
      <c r="Z84" s="2168">
        <v>0</v>
      </c>
      <c r="AA84" s="1852" t="s">
        <v>1303</v>
      </c>
      <c r="AB84" s="876">
        <v>20</v>
      </c>
      <c r="AC84" s="1879" t="s">
        <v>187</v>
      </c>
      <c r="AD84" s="4132">
        <v>3152</v>
      </c>
      <c r="AE84" s="2252"/>
      <c r="AF84" s="4133">
        <v>2908</v>
      </c>
      <c r="AG84" s="2252"/>
      <c r="AH84" s="4132" t="s">
        <v>319</v>
      </c>
      <c r="AI84" s="2252"/>
      <c r="AJ84" s="4041" t="s">
        <v>319</v>
      </c>
      <c r="AK84" s="2252"/>
      <c r="AL84" s="4132" t="s">
        <v>319</v>
      </c>
      <c r="AM84" s="2252"/>
      <c r="AN84" s="4041" t="s">
        <v>319</v>
      </c>
      <c r="AO84" s="2252"/>
      <c r="AP84" s="4132" t="s">
        <v>319</v>
      </c>
      <c r="AQ84" s="2252"/>
      <c r="AR84" s="4041">
        <v>6060</v>
      </c>
      <c r="AS84" s="2252"/>
      <c r="AT84" s="4047"/>
      <c r="AU84" s="2252"/>
      <c r="AV84" s="3457"/>
      <c r="AW84" s="2252"/>
      <c r="AX84" s="4047"/>
      <c r="AY84" s="2252"/>
      <c r="AZ84" s="3457"/>
      <c r="BA84" s="2252"/>
      <c r="BB84" s="4047"/>
      <c r="BC84" s="2252"/>
      <c r="BD84" s="3457"/>
      <c r="BE84" s="2252"/>
      <c r="BF84" s="4047"/>
      <c r="BG84" s="2252"/>
      <c r="BH84" s="3457">
        <v>6060</v>
      </c>
      <c r="BI84" s="2252"/>
      <c r="BJ84" s="2247">
        <v>0</v>
      </c>
      <c r="BK84" s="4054">
        <f>SUM(Y84:Y89)</f>
        <v>15040000</v>
      </c>
      <c r="BL84" s="4054">
        <f>SUM(Z84:Z89)</f>
        <v>0</v>
      </c>
      <c r="BM84" s="4131">
        <f>BL84/BK84</f>
        <v>0</v>
      </c>
      <c r="BN84" s="2252"/>
      <c r="BO84" s="2252"/>
      <c r="BP84" s="2252"/>
      <c r="BQ84" s="4121">
        <v>44197</v>
      </c>
      <c r="BR84" s="4123"/>
      <c r="BS84" s="4121">
        <v>44561</v>
      </c>
      <c r="BT84" s="4123"/>
      <c r="BU84" s="4124" t="s">
        <v>1288</v>
      </c>
    </row>
    <row r="85" spans="1:73" s="70" customFormat="1" ht="74.25" customHeight="1" x14ac:dyDescent="0.25">
      <c r="A85" s="2836"/>
      <c r="B85" s="2837"/>
      <c r="C85" s="1883"/>
      <c r="D85" s="1884"/>
      <c r="E85" s="4068"/>
      <c r="F85" s="4068"/>
      <c r="G85" s="3377"/>
      <c r="H85" s="4100"/>
      <c r="I85" s="4091"/>
      <c r="J85" s="3453"/>
      <c r="K85" s="4110"/>
      <c r="L85" s="3453"/>
      <c r="M85" s="4110"/>
      <c r="N85" s="3453"/>
      <c r="O85" s="4137"/>
      <c r="P85" s="4110"/>
      <c r="Q85" s="3433"/>
      <c r="R85" s="3439"/>
      <c r="S85" s="4049"/>
      <c r="T85" s="4135"/>
      <c r="U85" s="4087"/>
      <c r="V85" s="4070"/>
      <c r="W85" s="4163"/>
      <c r="X85" s="2165">
        <v>10000000</v>
      </c>
      <c r="Y85" s="2182"/>
      <c r="Z85" s="2168"/>
      <c r="AA85" s="1852" t="s">
        <v>1304</v>
      </c>
      <c r="AB85" s="876">
        <v>88</v>
      </c>
      <c r="AC85" s="1879" t="s">
        <v>1126</v>
      </c>
      <c r="AD85" s="4132"/>
      <c r="AE85" s="2252"/>
      <c r="AF85" s="4133"/>
      <c r="AG85" s="2252"/>
      <c r="AH85" s="4132"/>
      <c r="AI85" s="2252"/>
      <c r="AJ85" s="4041"/>
      <c r="AK85" s="2252"/>
      <c r="AL85" s="4132"/>
      <c r="AM85" s="2252"/>
      <c r="AN85" s="4041"/>
      <c r="AO85" s="2252"/>
      <c r="AP85" s="4132"/>
      <c r="AQ85" s="2252"/>
      <c r="AR85" s="4041"/>
      <c r="AS85" s="2252"/>
      <c r="AT85" s="4047"/>
      <c r="AU85" s="2252"/>
      <c r="AV85" s="3457"/>
      <c r="AW85" s="2252"/>
      <c r="AX85" s="4047"/>
      <c r="AY85" s="2252"/>
      <c r="AZ85" s="3457"/>
      <c r="BA85" s="2252"/>
      <c r="BB85" s="4047"/>
      <c r="BC85" s="2252"/>
      <c r="BD85" s="3457"/>
      <c r="BE85" s="2252"/>
      <c r="BF85" s="4047"/>
      <c r="BG85" s="2252"/>
      <c r="BH85" s="3457"/>
      <c r="BI85" s="2252"/>
      <c r="BJ85" s="2247"/>
      <c r="BK85" s="4054"/>
      <c r="BL85" s="4054"/>
      <c r="BM85" s="4131"/>
      <c r="BN85" s="2252"/>
      <c r="BO85" s="2252"/>
      <c r="BP85" s="2252"/>
      <c r="BQ85" s="4121"/>
      <c r="BR85" s="4123"/>
      <c r="BS85" s="4121"/>
      <c r="BT85" s="4123"/>
      <c r="BU85" s="4125"/>
    </row>
    <row r="86" spans="1:73" s="70" customFormat="1" ht="46.5" customHeight="1" x14ac:dyDescent="0.25">
      <c r="A86" s="2836"/>
      <c r="B86" s="2837"/>
      <c r="C86" s="1883"/>
      <c r="D86" s="1884"/>
      <c r="E86" s="4068"/>
      <c r="F86" s="4068"/>
      <c r="G86" s="3377"/>
      <c r="H86" s="4101"/>
      <c r="I86" s="4114"/>
      <c r="J86" s="3434"/>
      <c r="K86" s="3406"/>
      <c r="L86" s="3434"/>
      <c r="M86" s="3406"/>
      <c r="N86" s="3434"/>
      <c r="O86" s="4137"/>
      <c r="P86" s="3406"/>
      <c r="Q86" s="3377"/>
      <c r="R86" s="4113"/>
      <c r="S86" s="4050"/>
      <c r="T86" s="4108"/>
      <c r="U86" s="4059"/>
      <c r="V86" s="4071"/>
      <c r="W86" s="1871" t="s">
        <v>1177</v>
      </c>
      <c r="X86" s="2177">
        <v>1000000</v>
      </c>
      <c r="Y86" s="2185"/>
      <c r="Z86" s="2186"/>
      <c r="AA86" s="1852" t="s">
        <v>1303</v>
      </c>
      <c r="AB86" s="876">
        <v>20</v>
      </c>
      <c r="AC86" s="1879" t="s">
        <v>187</v>
      </c>
      <c r="AD86" s="4056"/>
      <c r="AE86" s="2252"/>
      <c r="AF86" s="4134"/>
      <c r="AG86" s="2252"/>
      <c r="AH86" s="4056"/>
      <c r="AI86" s="2252"/>
      <c r="AJ86" s="4042"/>
      <c r="AK86" s="2252"/>
      <c r="AL86" s="4056"/>
      <c r="AM86" s="2252"/>
      <c r="AN86" s="4042"/>
      <c r="AO86" s="2252"/>
      <c r="AP86" s="4056"/>
      <c r="AQ86" s="2252"/>
      <c r="AR86" s="4042"/>
      <c r="AS86" s="2252"/>
      <c r="AT86" s="4048"/>
      <c r="AU86" s="2252"/>
      <c r="AV86" s="3440"/>
      <c r="AW86" s="2252"/>
      <c r="AX86" s="4048"/>
      <c r="AY86" s="2252"/>
      <c r="AZ86" s="3440"/>
      <c r="BA86" s="2252"/>
      <c r="BB86" s="4048"/>
      <c r="BC86" s="2252"/>
      <c r="BD86" s="3440"/>
      <c r="BE86" s="2252"/>
      <c r="BF86" s="4048"/>
      <c r="BG86" s="2252"/>
      <c r="BH86" s="3440"/>
      <c r="BI86" s="2252"/>
      <c r="BJ86" s="2247"/>
      <c r="BK86" s="4054"/>
      <c r="BL86" s="4054"/>
      <c r="BM86" s="4131"/>
      <c r="BN86" s="2252"/>
      <c r="BO86" s="2252"/>
      <c r="BP86" s="2252"/>
      <c r="BQ86" s="4122"/>
      <c r="BR86" s="4123"/>
      <c r="BS86" s="4122"/>
      <c r="BT86" s="4123"/>
      <c r="BU86" s="4125"/>
    </row>
    <row r="87" spans="1:73" s="70" customFormat="1" ht="51" customHeight="1" x14ac:dyDescent="0.25">
      <c r="A87" s="2836"/>
      <c r="B87" s="2837"/>
      <c r="C87" s="1883"/>
      <c r="D87" s="1884"/>
      <c r="E87" s="1898"/>
      <c r="F87" s="1898"/>
      <c r="G87" s="3377"/>
      <c r="H87" s="4101"/>
      <c r="I87" s="4114"/>
      <c r="J87" s="3434"/>
      <c r="K87" s="3406"/>
      <c r="L87" s="3434"/>
      <c r="M87" s="3406"/>
      <c r="N87" s="3434"/>
      <c r="O87" s="4137"/>
      <c r="P87" s="3406"/>
      <c r="Q87" s="3377"/>
      <c r="R87" s="4113"/>
      <c r="S87" s="4050"/>
      <c r="T87" s="4108"/>
      <c r="U87" s="4059"/>
      <c r="V87" s="4136"/>
      <c r="W87" s="884" t="s">
        <v>1103</v>
      </c>
      <c r="X87" s="2166">
        <v>3500000</v>
      </c>
      <c r="Y87" s="2176">
        <v>3500000</v>
      </c>
      <c r="Z87" s="2168">
        <v>0</v>
      </c>
      <c r="AA87" s="1852" t="s">
        <v>1305</v>
      </c>
      <c r="AB87" s="876">
        <v>20</v>
      </c>
      <c r="AC87" s="1879" t="s">
        <v>187</v>
      </c>
      <c r="AD87" s="4056"/>
      <c r="AE87" s="2252"/>
      <c r="AF87" s="4134"/>
      <c r="AG87" s="2252"/>
      <c r="AH87" s="4056"/>
      <c r="AI87" s="2252"/>
      <c r="AJ87" s="4042"/>
      <c r="AK87" s="2252"/>
      <c r="AL87" s="4056"/>
      <c r="AM87" s="2252"/>
      <c r="AN87" s="4042"/>
      <c r="AO87" s="2252"/>
      <c r="AP87" s="4056"/>
      <c r="AQ87" s="2252"/>
      <c r="AR87" s="4042"/>
      <c r="AS87" s="2252"/>
      <c r="AT87" s="4048"/>
      <c r="AU87" s="2252"/>
      <c r="AV87" s="3440"/>
      <c r="AW87" s="2252"/>
      <c r="AX87" s="4048"/>
      <c r="AY87" s="2252"/>
      <c r="AZ87" s="3440"/>
      <c r="BA87" s="2252"/>
      <c r="BB87" s="4048"/>
      <c r="BC87" s="2252"/>
      <c r="BD87" s="3440"/>
      <c r="BE87" s="2252"/>
      <c r="BF87" s="4048"/>
      <c r="BG87" s="2252"/>
      <c r="BH87" s="3440"/>
      <c r="BI87" s="2252"/>
      <c r="BJ87" s="2247"/>
      <c r="BK87" s="4054"/>
      <c r="BL87" s="4054"/>
      <c r="BM87" s="4131"/>
      <c r="BN87" s="2252"/>
      <c r="BO87" s="2252"/>
      <c r="BP87" s="2252"/>
      <c r="BQ87" s="4122"/>
      <c r="BR87" s="4123"/>
      <c r="BS87" s="4122"/>
      <c r="BT87" s="4123"/>
      <c r="BU87" s="4125"/>
    </row>
    <row r="88" spans="1:73" s="70" customFormat="1" ht="47.25" customHeight="1" x14ac:dyDescent="0.25">
      <c r="A88" s="2836"/>
      <c r="B88" s="2837"/>
      <c r="C88" s="1883"/>
      <c r="D88" s="1884"/>
      <c r="E88" s="1898"/>
      <c r="F88" s="1898"/>
      <c r="G88" s="3378"/>
      <c r="H88" s="3397"/>
      <c r="I88" s="3404"/>
      <c r="J88" s="3402"/>
      <c r="K88" s="3407"/>
      <c r="L88" s="3402"/>
      <c r="M88" s="3407"/>
      <c r="N88" s="3402"/>
      <c r="O88" s="4137"/>
      <c r="P88" s="3406"/>
      <c r="Q88" s="3377"/>
      <c r="R88" s="4113"/>
      <c r="S88" s="4050"/>
      <c r="T88" s="4108"/>
      <c r="U88" s="4059"/>
      <c r="V88" s="4136"/>
      <c r="W88" s="4127" t="s">
        <v>1306</v>
      </c>
      <c r="X88" s="2166">
        <v>1000000</v>
      </c>
      <c r="Y88" s="2166"/>
      <c r="Z88" s="2187"/>
      <c r="AA88" s="1852" t="s">
        <v>1307</v>
      </c>
      <c r="AB88" s="876">
        <v>20</v>
      </c>
      <c r="AC88" s="1879" t="s">
        <v>187</v>
      </c>
      <c r="AD88" s="4056"/>
      <c r="AE88" s="2252"/>
      <c r="AF88" s="4134"/>
      <c r="AG88" s="2252"/>
      <c r="AH88" s="4056"/>
      <c r="AI88" s="2252"/>
      <c r="AJ88" s="4042"/>
      <c r="AK88" s="2252"/>
      <c r="AL88" s="4056"/>
      <c r="AM88" s="2252"/>
      <c r="AN88" s="4042"/>
      <c r="AO88" s="2252"/>
      <c r="AP88" s="4056"/>
      <c r="AQ88" s="2252"/>
      <c r="AR88" s="4042"/>
      <c r="AS88" s="2252"/>
      <c r="AT88" s="4048"/>
      <c r="AU88" s="2252"/>
      <c r="AV88" s="3440"/>
      <c r="AW88" s="2252"/>
      <c r="AX88" s="4048"/>
      <c r="AY88" s="2252"/>
      <c r="AZ88" s="3440"/>
      <c r="BA88" s="2252"/>
      <c r="BB88" s="4048"/>
      <c r="BC88" s="2252"/>
      <c r="BD88" s="3440"/>
      <c r="BE88" s="2252"/>
      <c r="BF88" s="4048"/>
      <c r="BG88" s="2252"/>
      <c r="BH88" s="3440"/>
      <c r="BI88" s="2252"/>
      <c r="BJ88" s="2247"/>
      <c r="BK88" s="4054"/>
      <c r="BL88" s="4054"/>
      <c r="BM88" s="4131"/>
      <c r="BN88" s="2252"/>
      <c r="BO88" s="2252"/>
      <c r="BP88" s="2252"/>
      <c r="BQ88" s="4122"/>
      <c r="BR88" s="4123"/>
      <c r="BS88" s="4122"/>
      <c r="BT88" s="4123"/>
      <c r="BU88" s="4125"/>
    </row>
    <row r="89" spans="1:73" s="70" customFormat="1" ht="43.5" customHeight="1" x14ac:dyDescent="0.25">
      <c r="A89" s="2836"/>
      <c r="B89" s="2837"/>
      <c r="C89" s="1883"/>
      <c r="D89" s="1884"/>
      <c r="E89" s="1898"/>
      <c r="F89" s="1898"/>
      <c r="G89" s="3378"/>
      <c r="H89" s="3397"/>
      <c r="I89" s="3404"/>
      <c r="J89" s="3402"/>
      <c r="K89" s="3407"/>
      <c r="L89" s="3402"/>
      <c r="M89" s="3407"/>
      <c r="N89" s="3402"/>
      <c r="O89" s="4137"/>
      <c r="P89" s="3406"/>
      <c r="Q89" s="3377"/>
      <c r="R89" s="4113"/>
      <c r="S89" s="4050"/>
      <c r="T89" s="4108"/>
      <c r="U89" s="4059"/>
      <c r="V89" s="4136"/>
      <c r="W89" s="4128"/>
      <c r="X89" s="2166">
        <v>1681346</v>
      </c>
      <c r="Y89" s="2168">
        <v>0</v>
      </c>
      <c r="Z89" s="2188">
        <v>0</v>
      </c>
      <c r="AA89" s="1852" t="s">
        <v>3283</v>
      </c>
      <c r="AB89" s="876">
        <v>88</v>
      </c>
      <c r="AC89" s="1879" t="s">
        <v>1126</v>
      </c>
      <c r="AD89" s="4056"/>
      <c r="AE89" s="2252"/>
      <c r="AF89" s="4134"/>
      <c r="AG89" s="2252"/>
      <c r="AH89" s="4056"/>
      <c r="AI89" s="2252"/>
      <c r="AJ89" s="4042"/>
      <c r="AK89" s="2252"/>
      <c r="AL89" s="4056"/>
      <c r="AM89" s="2252"/>
      <c r="AN89" s="4042"/>
      <c r="AO89" s="2252"/>
      <c r="AP89" s="4056"/>
      <c r="AQ89" s="2252"/>
      <c r="AR89" s="4042"/>
      <c r="AS89" s="2252"/>
      <c r="AT89" s="4048"/>
      <c r="AU89" s="2252"/>
      <c r="AV89" s="3440"/>
      <c r="AW89" s="2252"/>
      <c r="AX89" s="4048"/>
      <c r="AY89" s="2252"/>
      <c r="AZ89" s="3440"/>
      <c r="BA89" s="2252"/>
      <c r="BB89" s="4048"/>
      <c r="BC89" s="2252"/>
      <c r="BD89" s="3440"/>
      <c r="BE89" s="2252"/>
      <c r="BF89" s="4048"/>
      <c r="BG89" s="2252"/>
      <c r="BH89" s="3440"/>
      <c r="BI89" s="2252"/>
      <c r="BJ89" s="2247"/>
      <c r="BK89" s="4054"/>
      <c r="BL89" s="4054"/>
      <c r="BM89" s="4131"/>
      <c r="BN89" s="2252"/>
      <c r="BO89" s="2252"/>
      <c r="BP89" s="2252"/>
      <c r="BQ89" s="4122"/>
      <c r="BR89" s="4123"/>
      <c r="BS89" s="4122"/>
      <c r="BT89" s="4123"/>
      <c r="BU89" s="4126"/>
    </row>
    <row r="90" spans="1:73" s="2" customFormat="1" ht="27" customHeight="1" x14ac:dyDescent="0.25">
      <c r="A90" s="2836"/>
      <c r="B90" s="2837"/>
      <c r="C90" s="1894"/>
      <c r="D90" s="1895"/>
      <c r="E90" s="391">
        <v>4104</v>
      </c>
      <c r="F90" s="1923" t="s">
        <v>1308</v>
      </c>
      <c r="G90" s="1924"/>
      <c r="H90" s="885"/>
      <c r="I90" s="1924"/>
      <c r="J90" s="885"/>
      <c r="K90" s="1924"/>
      <c r="L90" s="885"/>
      <c r="M90" s="886"/>
      <c r="N90" s="887"/>
      <c r="O90" s="865"/>
      <c r="P90" s="865"/>
      <c r="Q90" s="865"/>
      <c r="R90" s="637"/>
      <c r="S90" s="829"/>
      <c r="T90" s="888"/>
      <c r="U90" s="889"/>
      <c r="V90" s="889"/>
      <c r="W90" s="889"/>
      <c r="X90" s="2189"/>
      <c r="Y90" s="2189"/>
      <c r="Z90" s="2189"/>
      <c r="AA90" s="891" t="s">
        <v>1309</v>
      </c>
      <c r="AB90" s="832"/>
      <c r="AC90" s="188"/>
      <c r="AD90" s="892"/>
      <c r="AE90" s="892"/>
      <c r="AF90" s="892"/>
      <c r="AG90" s="892"/>
      <c r="AH90" s="892"/>
      <c r="AI90" s="892"/>
      <c r="AJ90" s="892"/>
      <c r="AK90" s="892"/>
      <c r="AL90" s="892"/>
      <c r="AM90" s="892"/>
      <c r="AN90" s="892"/>
      <c r="AO90" s="892"/>
      <c r="AP90" s="892"/>
      <c r="AQ90" s="892"/>
      <c r="AR90" s="892"/>
      <c r="AS90" s="892"/>
      <c r="AT90" s="892"/>
      <c r="AU90" s="892"/>
      <c r="AV90" s="892"/>
      <c r="AW90" s="892"/>
      <c r="AX90" s="892"/>
      <c r="AY90" s="892"/>
      <c r="AZ90" s="892"/>
      <c r="BA90" s="892"/>
      <c r="BB90" s="892"/>
      <c r="BC90" s="892"/>
      <c r="BD90" s="892"/>
      <c r="BE90" s="892"/>
      <c r="BF90" s="892"/>
      <c r="BG90" s="892"/>
      <c r="BH90" s="892"/>
      <c r="BI90" s="892"/>
      <c r="BJ90" s="892"/>
      <c r="BK90" s="890"/>
      <c r="BL90" s="890"/>
      <c r="BM90" s="892"/>
      <c r="BN90" s="892"/>
      <c r="BO90" s="892"/>
      <c r="BP90" s="569"/>
      <c r="BQ90" s="893"/>
      <c r="BR90" s="893"/>
      <c r="BS90" s="893"/>
      <c r="BT90" s="893"/>
      <c r="BU90" s="894"/>
    </row>
    <row r="91" spans="1:73" s="70" customFormat="1" ht="96" customHeight="1" x14ac:dyDescent="0.25">
      <c r="A91" s="2836"/>
      <c r="B91" s="2837"/>
      <c r="C91" s="1883"/>
      <c r="D91" s="1884"/>
      <c r="E91" s="4068"/>
      <c r="F91" s="4068"/>
      <c r="G91" s="1899">
        <v>4104035</v>
      </c>
      <c r="H91" s="1909" t="s">
        <v>1310</v>
      </c>
      <c r="I91" s="1905">
        <v>4104020</v>
      </c>
      <c r="J91" s="1909" t="s">
        <v>1310</v>
      </c>
      <c r="K91" s="1899">
        <v>410403500</v>
      </c>
      <c r="L91" s="1909" t="s">
        <v>1311</v>
      </c>
      <c r="M91" s="1899">
        <v>410402000</v>
      </c>
      <c r="N91" s="1904" t="s">
        <v>1312</v>
      </c>
      <c r="O91" s="1900">
        <v>50</v>
      </c>
      <c r="P91" s="1899">
        <v>0</v>
      </c>
      <c r="Q91" s="3377" t="s">
        <v>1313</v>
      </c>
      <c r="R91" s="4059" t="s">
        <v>1314</v>
      </c>
      <c r="S91" s="1926">
        <f>X91/T91</f>
        <v>0.66085423197492166</v>
      </c>
      <c r="T91" s="4129">
        <f>SUM(X91:X98)</f>
        <v>102080000</v>
      </c>
      <c r="U91" s="4075" t="s">
        <v>1315</v>
      </c>
      <c r="V91" s="2429" t="s">
        <v>1316</v>
      </c>
      <c r="W91" s="1956" t="s">
        <v>1317</v>
      </c>
      <c r="X91" s="2190">
        <v>67460000</v>
      </c>
      <c r="Y91" s="2191"/>
      <c r="Z91" s="2192"/>
      <c r="AA91" s="1854" t="s">
        <v>1318</v>
      </c>
      <c r="AB91" s="876">
        <v>20</v>
      </c>
      <c r="AC91" s="1879" t="s">
        <v>187</v>
      </c>
      <c r="AD91" s="2742">
        <v>500</v>
      </c>
      <c r="AE91" s="2258">
        <v>151</v>
      </c>
      <c r="AF91" s="2742">
        <v>500</v>
      </c>
      <c r="AG91" s="2258">
        <v>113</v>
      </c>
      <c r="AH91" s="2742"/>
      <c r="AI91" s="2258">
        <v>10</v>
      </c>
      <c r="AJ91" s="3463"/>
      <c r="AK91" s="2258">
        <v>6</v>
      </c>
      <c r="AL91" s="3463"/>
      <c r="AM91" s="2258">
        <v>198</v>
      </c>
      <c r="AN91" s="3463"/>
      <c r="AO91" s="2258">
        <v>10</v>
      </c>
      <c r="AP91" s="3463"/>
      <c r="AQ91" s="2258">
        <v>56</v>
      </c>
      <c r="AR91" s="3463"/>
      <c r="AS91" s="2258">
        <v>2</v>
      </c>
      <c r="AT91" s="3463"/>
      <c r="AU91" s="2258">
        <v>0</v>
      </c>
      <c r="AV91" s="2742"/>
      <c r="AW91" s="2258"/>
      <c r="AX91" s="2742"/>
      <c r="AY91" s="2258"/>
      <c r="AZ91" s="2742"/>
      <c r="BA91" s="2258"/>
      <c r="BB91" s="2742"/>
      <c r="BC91" s="2258">
        <v>4</v>
      </c>
      <c r="BD91" s="2742">
        <v>1000</v>
      </c>
      <c r="BE91" s="2258">
        <v>91</v>
      </c>
      <c r="BF91" s="3463"/>
      <c r="BG91" s="2258"/>
      <c r="BH91" s="2742">
        <v>1000</v>
      </c>
      <c r="BI91" s="2258">
        <f>SUM(AE91+AG91)</f>
        <v>264</v>
      </c>
      <c r="BJ91" s="2258">
        <v>1</v>
      </c>
      <c r="BK91" s="4120">
        <f>SUM(Y91:Y98)</f>
        <v>11540000</v>
      </c>
      <c r="BL91" s="4120">
        <f>SUM(Z91:Z98)</f>
        <v>11540000</v>
      </c>
      <c r="BM91" s="2255">
        <f>BK91/BL91</f>
        <v>1</v>
      </c>
      <c r="BN91" s="2258">
        <v>20</v>
      </c>
      <c r="BO91" s="2258" t="s">
        <v>187</v>
      </c>
      <c r="BP91" s="2742" t="s">
        <v>1319</v>
      </c>
      <c r="BQ91" s="3645">
        <v>44197</v>
      </c>
      <c r="BR91" s="3645">
        <v>44244</v>
      </c>
      <c r="BS91" s="3645">
        <v>44561</v>
      </c>
      <c r="BT91" s="3645">
        <v>44373</v>
      </c>
      <c r="BU91" s="2742" t="s">
        <v>1319</v>
      </c>
    </row>
    <row r="92" spans="1:73" s="2" customFormat="1" ht="52.5" customHeight="1" x14ac:dyDescent="0.25">
      <c r="A92" s="2836"/>
      <c r="B92" s="2837"/>
      <c r="C92" s="1894"/>
      <c r="D92" s="1895"/>
      <c r="E92" s="4068"/>
      <c r="F92" s="4068"/>
      <c r="G92" s="4069">
        <v>4104035</v>
      </c>
      <c r="H92" s="4088" t="s">
        <v>1310</v>
      </c>
      <c r="I92" s="4060">
        <v>4104020</v>
      </c>
      <c r="J92" s="4071" t="s">
        <v>1310</v>
      </c>
      <c r="K92" s="3377" t="s">
        <v>74</v>
      </c>
      <c r="L92" s="4059" t="s">
        <v>1320</v>
      </c>
      <c r="M92" s="4060">
        <v>410402000</v>
      </c>
      <c r="N92" s="4059" t="s">
        <v>1312</v>
      </c>
      <c r="O92" s="4069">
        <v>12</v>
      </c>
      <c r="P92" s="4069">
        <v>4</v>
      </c>
      <c r="Q92" s="3377"/>
      <c r="R92" s="4059"/>
      <c r="S92" s="4117">
        <f>SUM(X92:X98)/T91</f>
        <v>0.33914576802507834</v>
      </c>
      <c r="T92" s="4129"/>
      <c r="U92" s="4075"/>
      <c r="V92" s="2765"/>
      <c r="W92" s="2428" t="s">
        <v>1321</v>
      </c>
      <c r="X92" s="2165">
        <v>2000000</v>
      </c>
      <c r="Y92" s="2166"/>
      <c r="Z92" s="2168"/>
      <c r="AA92" s="1852" t="s">
        <v>1322</v>
      </c>
      <c r="AB92" s="870">
        <v>88</v>
      </c>
      <c r="AC92" s="1856" t="s">
        <v>1126</v>
      </c>
      <c r="AD92" s="2742"/>
      <c r="AE92" s="2258"/>
      <c r="AF92" s="2742"/>
      <c r="AG92" s="2258"/>
      <c r="AH92" s="2742"/>
      <c r="AI92" s="2258"/>
      <c r="AJ92" s="3463"/>
      <c r="AK92" s="2258"/>
      <c r="AL92" s="3463"/>
      <c r="AM92" s="2258"/>
      <c r="AN92" s="3463"/>
      <c r="AO92" s="2258"/>
      <c r="AP92" s="3463"/>
      <c r="AQ92" s="2258"/>
      <c r="AR92" s="3463"/>
      <c r="AS92" s="2258"/>
      <c r="AT92" s="3463"/>
      <c r="AU92" s="2258"/>
      <c r="AV92" s="2742"/>
      <c r="AW92" s="2258"/>
      <c r="AX92" s="2742"/>
      <c r="AY92" s="2258"/>
      <c r="AZ92" s="2742"/>
      <c r="BA92" s="2258"/>
      <c r="BB92" s="2742"/>
      <c r="BC92" s="2258"/>
      <c r="BD92" s="2742"/>
      <c r="BE92" s="2258"/>
      <c r="BF92" s="3463"/>
      <c r="BG92" s="2258"/>
      <c r="BH92" s="2742"/>
      <c r="BI92" s="2258"/>
      <c r="BJ92" s="2258"/>
      <c r="BK92" s="4120"/>
      <c r="BL92" s="4120"/>
      <c r="BM92" s="2255"/>
      <c r="BN92" s="2258"/>
      <c r="BO92" s="2258"/>
      <c r="BP92" s="2742"/>
      <c r="BQ92" s="3645"/>
      <c r="BR92" s="3645"/>
      <c r="BS92" s="3645"/>
      <c r="BT92" s="3645"/>
      <c r="BU92" s="2742"/>
    </row>
    <row r="93" spans="1:73" s="2" customFormat="1" ht="52.5" customHeight="1" x14ac:dyDescent="0.25">
      <c r="A93" s="2836"/>
      <c r="B93" s="2837"/>
      <c r="C93" s="1894"/>
      <c r="D93" s="1895"/>
      <c r="E93" s="4068"/>
      <c r="F93" s="4068"/>
      <c r="G93" s="4115"/>
      <c r="H93" s="4089"/>
      <c r="I93" s="4060"/>
      <c r="J93" s="4071"/>
      <c r="K93" s="3377"/>
      <c r="L93" s="4059"/>
      <c r="M93" s="4060"/>
      <c r="N93" s="4059"/>
      <c r="O93" s="4115"/>
      <c r="P93" s="4115"/>
      <c r="Q93" s="3377"/>
      <c r="R93" s="4059"/>
      <c r="S93" s="4118"/>
      <c r="T93" s="4129"/>
      <c r="U93" s="4075"/>
      <c r="V93" s="2765"/>
      <c r="W93" s="2430"/>
      <c r="X93" s="2165">
        <v>12000000</v>
      </c>
      <c r="Y93" s="2166">
        <v>5000000</v>
      </c>
      <c r="Z93" s="2168">
        <v>5000000</v>
      </c>
      <c r="AA93" s="1852" t="s">
        <v>1318</v>
      </c>
      <c r="AB93" s="870">
        <v>20</v>
      </c>
      <c r="AC93" s="1856" t="s">
        <v>187</v>
      </c>
      <c r="AD93" s="2742"/>
      <c r="AE93" s="2258"/>
      <c r="AF93" s="2742"/>
      <c r="AG93" s="2258"/>
      <c r="AH93" s="2742"/>
      <c r="AI93" s="2258"/>
      <c r="AJ93" s="3463"/>
      <c r="AK93" s="2258"/>
      <c r="AL93" s="3463"/>
      <c r="AM93" s="2258"/>
      <c r="AN93" s="3463"/>
      <c r="AO93" s="2258"/>
      <c r="AP93" s="3463"/>
      <c r="AQ93" s="2258"/>
      <c r="AR93" s="3463"/>
      <c r="AS93" s="2258"/>
      <c r="AT93" s="3463"/>
      <c r="AU93" s="2258"/>
      <c r="AV93" s="2742"/>
      <c r="AW93" s="2258"/>
      <c r="AX93" s="2742"/>
      <c r="AY93" s="2258"/>
      <c r="AZ93" s="2742"/>
      <c r="BA93" s="2258"/>
      <c r="BB93" s="2742"/>
      <c r="BC93" s="2258"/>
      <c r="BD93" s="2742"/>
      <c r="BE93" s="2258"/>
      <c r="BF93" s="3463"/>
      <c r="BG93" s="2258"/>
      <c r="BH93" s="2742"/>
      <c r="BI93" s="2258"/>
      <c r="BJ93" s="2258"/>
      <c r="BK93" s="4120"/>
      <c r="BL93" s="4120"/>
      <c r="BM93" s="2255"/>
      <c r="BN93" s="2258"/>
      <c r="BO93" s="2258"/>
      <c r="BP93" s="2742"/>
      <c r="BQ93" s="3645"/>
      <c r="BR93" s="3645"/>
      <c r="BS93" s="3645"/>
      <c r="BT93" s="3645"/>
      <c r="BU93" s="2742"/>
    </row>
    <row r="94" spans="1:73" s="2" customFormat="1" ht="69" customHeight="1" x14ac:dyDescent="0.25">
      <c r="A94" s="2836"/>
      <c r="B94" s="2837"/>
      <c r="C94" s="1894"/>
      <c r="D94" s="1895"/>
      <c r="E94" s="4068"/>
      <c r="F94" s="4068"/>
      <c r="G94" s="4115"/>
      <c r="H94" s="4089"/>
      <c r="I94" s="4060"/>
      <c r="J94" s="4071"/>
      <c r="K94" s="3377"/>
      <c r="L94" s="4059"/>
      <c r="M94" s="4060"/>
      <c r="N94" s="4059"/>
      <c r="O94" s="4115"/>
      <c r="P94" s="4115"/>
      <c r="Q94" s="3377"/>
      <c r="R94" s="4059"/>
      <c r="S94" s="4118"/>
      <c r="T94" s="4129"/>
      <c r="U94" s="4075"/>
      <c r="V94" s="2765"/>
      <c r="W94" s="2428" t="s">
        <v>1323</v>
      </c>
      <c r="X94" s="2165">
        <v>2000000</v>
      </c>
      <c r="Y94" s="2166"/>
      <c r="Z94" s="2168"/>
      <c r="AA94" s="1852" t="s">
        <v>1322</v>
      </c>
      <c r="AB94" s="870">
        <v>88</v>
      </c>
      <c r="AC94" s="1856" t="s">
        <v>1126</v>
      </c>
      <c r="AD94" s="2742"/>
      <c r="AE94" s="2258"/>
      <c r="AF94" s="2742"/>
      <c r="AG94" s="2258"/>
      <c r="AH94" s="2742"/>
      <c r="AI94" s="2258"/>
      <c r="AJ94" s="3463"/>
      <c r="AK94" s="2258"/>
      <c r="AL94" s="3463"/>
      <c r="AM94" s="2258"/>
      <c r="AN94" s="3463"/>
      <c r="AO94" s="2258"/>
      <c r="AP94" s="3463"/>
      <c r="AQ94" s="2258"/>
      <c r="AR94" s="3463"/>
      <c r="AS94" s="2258"/>
      <c r="AT94" s="3463"/>
      <c r="AU94" s="2258"/>
      <c r="AV94" s="2742"/>
      <c r="AW94" s="2258"/>
      <c r="AX94" s="2742"/>
      <c r="AY94" s="2258"/>
      <c r="AZ94" s="2742"/>
      <c r="BA94" s="2258"/>
      <c r="BB94" s="2742"/>
      <c r="BC94" s="2258"/>
      <c r="BD94" s="2742"/>
      <c r="BE94" s="2258"/>
      <c r="BF94" s="3463"/>
      <c r="BG94" s="2258"/>
      <c r="BH94" s="2742"/>
      <c r="BI94" s="2258"/>
      <c r="BJ94" s="2258"/>
      <c r="BK94" s="4120"/>
      <c r="BL94" s="4120"/>
      <c r="BM94" s="2255"/>
      <c r="BN94" s="2258"/>
      <c r="BO94" s="2258"/>
      <c r="BP94" s="2742"/>
      <c r="BQ94" s="3645"/>
      <c r="BR94" s="3645"/>
      <c r="BS94" s="3645"/>
      <c r="BT94" s="3645"/>
      <c r="BU94" s="2742"/>
    </row>
    <row r="95" spans="1:73" s="2" customFormat="1" ht="69" customHeight="1" x14ac:dyDescent="0.25">
      <c r="A95" s="2836"/>
      <c r="B95" s="2837"/>
      <c r="C95" s="1894"/>
      <c r="D95" s="1895"/>
      <c r="E95" s="4068"/>
      <c r="F95" s="4068"/>
      <c r="G95" s="4115"/>
      <c r="H95" s="4089"/>
      <c r="I95" s="4060"/>
      <c r="J95" s="4071"/>
      <c r="K95" s="3377"/>
      <c r="L95" s="4059"/>
      <c r="M95" s="4060"/>
      <c r="N95" s="4059"/>
      <c r="O95" s="4115"/>
      <c r="P95" s="4115"/>
      <c r="Q95" s="3377"/>
      <c r="R95" s="4059"/>
      <c r="S95" s="4118"/>
      <c r="T95" s="4129"/>
      <c r="U95" s="4075"/>
      <c r="V95" s="2765"/>
      <c r="W95" s="2430"/>
      <c r="X95" s="2165">
        <v>12000000</v>
      </c>
      <c r="Y95" s="2166">
        <v>5000000</v>
      </c>
      <c r="Z95" s="2168">
        <v>5000000</v>
      </c>
      <c r="AA95" s="1852" t="s">
        <v>1318</v>
      </c>
      <c r="AB95" s="870">
        <v>20</v>
      </c>
      <c r="AC95" s="1856" t="s">
        <v>187</v>
      </c>
      <c r="AD95" s="2742"/>
      <c r="AE95" s="2258"/>
      <c r="AF95" s="2742"/>
      <c r="AG95" s="2258"/>
      <c r="AH95" s="2742"/>
      <c r="AI95" s="2258"/>
      <c r="AJ95" s="3463"/>
      <c r="AK95" s="2258"/>
      <c r="AL95" s="3463"/>
      <c r="AM95" s="2258"/>
      <c r="AN95" s="3463"/>
      <c r="AO95" s="2258"/>
      <c r="AP95" s="3463"/>
      <c r="AQ95" s="2258"/>
      <c r="AR95" s="3463"/>
      <c r="AS95" s="2258"/>
      <c r="AT95" s="3463"/>
      <c r="AU95" s="2258"/>
      <c r="AV95" s="2742"/>
      <c r="AW95" s="2258"/>
      <c r="AX95" s="2742"/>
      <c r="AY95" s="2258"/>
      <c r="AZ95" s="2742"/>
      <c r="BA95" s="2258"/>
      <c r="BB95" s="2742"/>
      <c r="BC95" s="2258"/>
      <c r="BD95" s="2742"/>
      <c r="BE95" s="2258"/>
      <c r="BF95" s="3463"/>
      <c r="BG95" s="2258"/>
      <c r="BH95" s="2742"/>
      <c r="BI95" s="2258"/>
      <c r="BJ95" s="2258"/>
      <c r="BK95" s="4120"/>
      <c r="BL95" s="4120"/>
      <c r="BM95" s="2255"/>
      <c r="BN95" s="2258"/>
      <c r="BO95" s="2258"/>
      <c r="BP95" s="2742"/>
      <c r="BQ95" s="3645"/>
      <c r="BR95" s="3645"/>
      <c r="BS95" s="3645"/>
      <c r="BT95" s="3645"/>
      <c r="BU95" s="2742"/>
    </row>
    <row r="96" spans="1:73" s="2" customFormat="1" ht="69" customHeight="1" x14ac:dyDescent="0.25">
      <c r="A96" s="2836"/>
      <c r="B96" s="2837"/>
      <c r="C96" s="1894"/>
      <c r="D96" s="1895"/>
      <c r="E96" s="4068"/>
      <c r="F96" s="4068"/>
      <c r="G96" s="4115"/>
      <c r="H96" s="4089"/>
      <c r="I96" s="4060"/>
      <c r="J96" s="4071"/>
      <c r="K96" s="3377"/>
      <c r="L96" s="4059"/>
      <c r="M96" s="4060"/>
      <c r="N96" s="4059"/>
      <c r="O96" s="4115"/>
      <c r="P96" s="4115"/>
      <c r="Q96" s="3377"/>
      <c r="R96" s="4059"/>
      <c r="S96" s="4118"/>
      <c r="T96" s="4129"/>
      <c r="U96" s="4075"/>
      <c r="V96" s="2765"/>
      <c r="W96" s="1868" t="s">
        <v>1177</v>
      </c>
      <c r="X96" s="2165">
        <v>2000000</v>
      </c>
      <c r="Y96" s="2166"/>
      <c r="Z96" s="2168"/>
      <c r="AA96" s="1852" t="s">
        <v>1318</v>
      </c>
      <c r="AB96" s="870">
        <v>20</v>
      </c>
      <c r="AC96" s="1856" t="s">
        <v>187</v>
      </c>
      <c r="AD96" s="2742"/>
      <c r="AE96" s="2258"/>
      <c r="AF96" s="2742"/>
      <c r="AG96" s="2258"/>
      <c r="AH96" s="2742"/>
      <c r="AI96" s="2258"/>
      <c r="AJ96" s="3463"/>
      <c r="AK96" s="2258"/>
      <c r="AL96" s="3463"/>
      <c r="AM96" s="2258"/>
      <c r="AN96" s="3463"/>
      <c r="AO96" s="2258"/>
      <c r="AP96" s="3463"/>
      <c r="AQ96" s="2258"/>
      <c r="AR96" s="3463"/>
      <c r="AS96" s="2258"/>
      <c r="AT96" s="3463"/>
      <c r="AU96" s="2258"/>
      <c r="AV96" s="2742"/>
      <c r="AW96" s="2258"/>
      <c r="AX96" s="2742"/>
      <c r="AY96" s="2258"/>
      <c r="AZ96" s="2742"/>
      <c r="BA96" s="2258"/>
      <c r="BB96" s="2742"/>
      <c r="BC96" s="2258"/>
      <c r="BD96" s="2742"/>
      <c r="BE96" s="2258"/>
      <c r="BF96" s="3463"/>
      <c r="BG96" s="2258"/>
      <c r="BH96" s="2742"/>
      <c r="BI96" s="2258"/>
      <c r="BJ96" s="2258"/>
      <c r="BK96" s="4120"/>
      <c r="BL96" s="4120"/>
      <c r="BM96" s="2255"/>
      <c r="BN96" s="2258"/>
      <c r="BO96" s="2258"/>
      <c r="BP96" s="2742"/>
      <c r="BQ96" s="3645"/>
      <c r="BR96" s="3645"/>
      <c r="BS96" s="3645"/>
      <c r="BT96" s="3645"/>
      <c r="BU96" s="2742"/>
    </row>
    <row r="97" spans="1:73" s="2" customFormat="1" ht="69" customHeight="1" x14ac:dyDescent="0.25">
      <c r="A97" s="2836"/>
      <c r="B97" s="2837"/>
      <c r="C97" s="1894"/>
      <c r="D97" s="1895"/>
      <c r="E97" s="4068"/>
      <c r="F97" s="4068"/>
      <c r="G97" s="4115"/>
      <c r="H97" s="4089"/>
      <c r="I97" s="4060"/>
      <c r="J97" s="4071"/>
      <c r="K97" s="3377"/>
      <c r="L97" s="4059"/>
      <c r="M97" s="4060"/>
      <c r="N97" s="4059"/>
      <c r="O97" s="4115"/>
      <c r="P97" s="4115"/>
      <c r="Q97" s="3377"/>
      <c r="R97" s="4059"/>
      <c r="S97" s="4118"/>
      <c r="T97" s="4129"/>
      <c r="U97" s="4075"/>
      <c r="V97" s="2765"/>
      <c r="W97" s="2428" t="s">
        <v>1324</v>
      </c>
      <c r="X97" s="2165">
        <v>80000</v>
      </c>
      <c r="Y97" s="2166"/>
      <c r="Z97" s="2168"/>
      <c r="AA97" s="1852" t="s">
        <v>1322</v>
      </c>
      <c r="AB97" s="870">
        <v>88</v>
      </c>
      <c r="AC97" s="1856" t="s">
        <v>1126</v>
      </c>
      <c r="AD97" s="2742"/>
      <c r="AE97" s="2258"/>
      <c r="AF97" s="2742"/>
      <c r="AG97" s="2258"/>
      <c r="AH97" s="2742"/>
      <c r="AI97" s="2258"/>
      <c r="AJ97" s="3463"/>
      <c r="AK97" s="2258"/>
      <c r="AL97" s="3463"/>
      <c r="AM97" s="2258"/>
      <c r="AN97" s="3463"/>
      <c r="AO97" s="2258"/>
      <c r="AP97" s="3463"/>
      <c r="AQ97" s="2258"/>
      <c r="AR97" s="3463"/>
      <c r="AS97" s="2258"/>
      <c r="AT97" s="3463"/>
      <c r="AU97" s="2258"/>
      <c r="AV97" s="2742"/>
      <c r="AW97" s="2258"/>
      <c r="AX97" s="2742"/>
      <c r="AY97" s="2258"/>
      <c r="AZ97" s="2742"/>
      <c r="BA97" s="2258"/>
      <c r="BB97" s="2742"/>
      <c r="BC97" s="2258"/>
      <c r="BD97" s="2742"/>
      <c r="BE97" s="2258"/>
      <c r="BF97" s="3463"/>
      <c r="BG97" s="2258"/>
      <c r="BH97" s="2742"/>
      <c r="BI97" s="2258"/>
      <c r="BJ97" s="2258"/>
      <c r="BK97" s="4120"/>
      <c r="BL97" s="4120"/>
      <c r="BM97" s="2255"/>
      <c r="BN97" s="2258"/>
      <c r="BO97" s="2258"/>
      <c r="BP97" s="2742"/>
      <c r="BQ97" s="3645"/>
      <c r="BR97" s="3645"/>
      <c r="BS97" s="3645"/>
      <c r="BT97" s="3645"/>
      <c r="BU97" s="2742"/>
    </row>
    <row r="98" spans="1:73" s="2" customFormat="1" ht="42.75" customHeight="1" x14ac:dyDescent="0.25">
      <c r="A98" s="2836"/>
      <c r="B98" s="2837"/>
      <c r="C98" s="1894"/>
      <c r="D98" s="1895"/>
      <c r="E98" s="4068"/>
      <c r="F98" s="4068"/>
      <c r="G98" s="4115"/>
      <c r="H98" s="4089"/>
      <c r="I98" s="4060"/>
      <c r="J98" s="4071"/>
      <c r="K98" s="3377"/>
      <c r="L98" s="4059"/>
      <c r="M98" s="4060"/>
      <c r="N98" s="4059"/>
      <c r="O98" s="4116"/>
      <c r="P98" s="4116"/>
      <c r="Q98" s="3377"/>
      <c r="R98" s="4059"/>
      <c r="S98" s="4119"/>
      <c r="T98" s="4130"/>
      <c r="U98" s="4075"/>
      <c r="V98" s="2765"/>
      <c r="W98" s="2430"/>
      <c r="X98" s="2165">
        <v>4540000</v>
      </c>
      <c r="Y98" s="2166">
        <v>1540000</v>
      </c>
      <c r="Z98" s="2168">
        <v>1540000</v>
      </c>
      <c r="AA98" s="1852" t="s">
        <v>1318</v>
      </c>
      <c r="AB98" s="870">
        <v>20</v>
      </c>
      <c r="AC98" s="1856" t="s">
        <v>187</v>
      </c>
      <c r="AD98" s="2742"/>
      <c r="AE98" s="2258"/>
      <c r="AF98" s="2742"/>
      <c r="AG98" s="2258"/>
      <c r="AH98" s="2742"/>
      <c r="AI98" s="2258"/>
      <c r="AJ98" s="3463"/>
      <c r="AK98" s="2258"/>
      <c r="AL98" s="3463"/>
      <c r="AM98" s="2258"/>
      <c r="AN98" s="3463"/>
      <c r="AO98" s="2258"/>
      <c r="AP98" s="3463"/>
      <c r="AQ98" s="2258"/>
      <c r="AR98" s="3463"/>
      <c r="AS98" s="2258"/>
      <c r="AT98" s="3463"/>
      <c r="AU98" s="2258"/>
      <c r="AV98" s="2742"/>
      <c r="AW98" s="2258"/>
      <c r="AX98" s="2742"/>
      <c r="AY98" s="2258"/>
      <c r="AZ98" s="2742"/>
      <c r="BA98" s="2258"/>
      <c r="BB98" s="2742"/>
      <c r="BC98" s="2258"/>
      <c r="BD98" s="2742"/>
      <c r="BE98" s="2258"/>
      <c r="BF98" s="3463"/>
      <c r="BG98" s="2258"/>
      <c r="BH98" s="2742"/>
      <c r="BI98" s="2258"/>
      <c r="BJ98" s="2258"/>
      <c r="BK98" s="4120"/>
      <c r="BL98" s="4120"/>
      <c r="BM98" s="2255"/>
      <c r="BN98" s="2258"/>
      <c r="BO98" s="2258"/>
      <c r="BP98" s="2742"/>
      <c r="BQ98" s="3645"/>
      <c r="BR98" s="3645"/>
      <c r="BS98" s="3645"/>
      <c r="BT98" s="3645"/>
      <c r="BU98" s="2742"/>
    </row>
    <row r="99" spans="1:73" s="70" customFormat="1" ht="69" customHeight="1" x14ac:dyDescent="0.25">
      <c r="A99" s="2836"/>
      <c r="B99" s="2837"/>
      <c r="C99" s="1883"/>
      <c r="D99" s="1884"/>
      <c r="E99" s="4068"/>
      <c r="F99" s="4068"/>
      <c r="G99" s="3377">
        <v>4104026</v>
      </c>
      <c r="H99" s="4101" t="s">
        <v>1325</v>
      </c>
      <c r="I99" s="4091">
        <v>4104027</v>
      </c>
      <c r="J99" s="3453" t="s">
        <v>1326</v>
      </c>
      <c r="K99" s="4110" t="s">
        <v>74</v>
      </c>
      <c r="L99" s="3453" t="s">
        <v>1327</v>
      </c>
      <c r="M99" s="4110">
        <v>410402700</v>
      </c>
      <c r="N99" s="3453" t="s">
        <v>1328</v>
      </c>
      <c r="O99" s="4110">
        <v>12</v>
      </c>
      <c r="P99" s="3385">
        <v>4</v>
      </c>
      <c r="Q99" s="4111" t="s">
        <v>1329</v>
      </c>
      <c r="R99" s="3439" t="s">
        <v>1330</v>
      </c>
      <c r="S99" s="3454">
        <v>1</v>
      </c>
      <c r="T99" s="4108">
        <f>SUM(X99:X101)</f>
        <v>35000000</v>
      </c>
      <c r="U99" s="4059" t="s">
        <v>1331</v>
      </c>
      <c r="V99" s="4109" t="s">
        <v>1332</v>
      </c>
      <c r="W99" s="895" t="s">
        <v>1333</v>
      </c>
      <c r="X99" s="2165">
        <v>28762098</v>
      </c>
      <c r="Y99" s="2166">
        <v>18960000</v>
      </c>
      <c r="Z99" s="2168">
        <v>8655000</v>
      </c>
      <c r="AA99" s="1852" t="s">
        <v>1334</v>
      </c>
      <c r="AB99" s="4047">
        <v>20</v>
      </c>
      <c r="AC99" s="2728" t="s">
        <v>187</v>
      </c>
      <c r="AD99" s="4042">
        <v>120</v>
      </c>
      <c r="AE99" s="4042">
        <v>15</v>
      </c>
      <c r="AF99" s="4042">
        <v>180</v>
      </c>
      <c r="AG99" s="4042">
        <v>129</v>
      </c>
      <c r="AH99" s="3440"/>
      <c r="AI99" s="4042"/>
      <c r="AJ99" s="3440"/>
      <c r="AK99" s="4042"/>
      <c r="AL99" s="3440"/>
      <c r="AM99" s="4042"/>
      <c r="AN99" s="3440"/>
      <c r="AO99" s="4042"/>
      <c r="AP99" s="3440"/>
      <c r="AQ99" s="4042"/>
      <c r="AR99" s="3440"/>
      <c r="AS99" s="4042"/>
      <c r="AT99" s="3440"/>
      <c r="AU99" s="4042"/>
      <c r="AV99" s="3440"/>
      <c r="AW99" s="4042"/>
      <c r="AX99" s="3440"/>
      <c r="AY99" s="4042"/>
      <c r="AZ99" s="3440"/>
      <c r="BA99" s="4042"/>
      <c r="BB99" s="3440"/>
      <c r="BC99" s="4042"/>
      <c r="BD99" s="3440"/>
      <c r="BE99" s="4042"/>
      <c r="BF99" s="3440"/>
      <c r="BG99" s="4042"/>
      <c r="BH99" s="3440">
        <v>300</v>
      </c>
      <c r="BI99" s="4042">
        <f>AE99+AG99</f>
        <v>144</v>
      </c>
      <c r="BJ99" s="4105">
        <v>1</v>
      </c>
      <c r="BK99" s="4106">
        <f>SUM(Y99:Y101)</f>
        <v>20960000</v>
      </c>
      <c r="BL99" s="4106">
        <f>SUM(Z99:Z101)</f>
        <v>8655000</v>
      </c>
      <c r="BM99" s="4107">
        <f>BL99/BK99</f>
        <v>0.41292938931297712</v>
      </c>
      <c r="BN99" s="4042">
        <v>20</v>
      </c>
      <c r="BO99" s="4042" t="s">
        <v>187</v>
      </c>
      <c r="BP99" s="4042" t="s">
        <v>1257</v>
      </c>
      <c r="BQ99" s="4032">
        <v>44197</v>
      </c>
      <c r="BR99" s="4032">
        <v>44257</v>
      </c>
      <c r="BS99" s="4032">
        <v>44561</v>
      </c>
      <c r="BT99" s="4032">
        <v>44376</v>
      </c>
      <c r="BU99" s="3440" t="s">
        <v>1257</v>
      </c>
    </row>
    <row r="100" spans="1:73" s="70" customFormat="1" ht="69" customHeight="1" x14ac:dyDescent="0.25">
      <c r="A100" s="2836"/>
      <c r="B100" s="2837"/>
      <c r="C100" s="1883"/>
      <c r="D100" s="1884"/>
      <c r="E100" s="4068"/>
      <c r="F100" s="4068"/>
      <c r="G100" s="3377"/>
      <c r="H100" s="4101"/>
      <c r="I100" s="4091"/>
      <c r="J100" s="3453"/>
      <c r="K100" s="4110"/>
      <c r="L100" s="3453"/>
      <c r="M100" s="4110"/>
      <c r="N100" s="3453"/>
      <c r="O100" s="4110"/>
      <c r="P100" s="3385"/>
      <c r="Q100" s="4111"/>
      <c r="R100" s="3439"/>
      <c r="S100" s="3454"/>
      <c r="T100" s="4108"/>
      <c r="U100" s="4059"/>
      <c r="V100" s="4109"/>
      <c r="W100" s="1871" t="s">
        <v>1177</v>
      </c>
      <c r="X100" s="2165">
        <v>87902</v>
      </c>
      <c r="Y100" s="2166"/>
      <c r="Z100" s="2168"/>
      <c r="AA100" s="1852" t="s">
        <v>1334</v>
      </c>
      <c r="AB100" s="4047"/>
      <c r="AC100" s="2728"/>
      <c r="AD100" s="4042"/>
      <c r="AE100" s="4042"/>
      <c r="AF100" s="4042"/>
      <c r="AG100" s="4042"/>
      <c r="AH100" s="3440"/>
      <c r="AI100" s="4042"/>
      <c r="AJ100" s="3440"/>
      <c r="AK100" s="4042"/>
      <c r="AL100" s="3440"/>
      <c r="AM100" s="4042"/>
      <c r="AN100" s="3440"/>
      <c r="AO100" s="4042"/>
      <c r="AP100" s="3440"/>
      <c r="AQ100" s="4042"/>
      <c r="AR100" s="3440"/>
      <c r="AS100" s="4042"/>
      <c r="AT100" s="3440"/>
      <c r="AU100" s="4042"/>
      <c r="AV100" s="3440"/>
      <c r="AW100" s="4042"/>
      <c r="AX100" s="3440"/>
      <c r="AY100" s="4042"/>
      <c r="AZ100" s="3440"/>
      <c r="BA100" s="4042"/>
      <c r="BB100" s="3440"/>
      <c r="BC100" s="4042"/>
      <c r="BD100" s="3440"/>
      <c r="BE100" s="4042"/>
      <c r="BF100" s="3440"/>
      <c r="BG100" s="4042"/>
      <c r="BH100" s="3440"/>
      <c r="BI100" s="4042"/>
      <c r="BJ100" s="4105"/>
      <c r="BK100" s="4106"/>
      <c r="BL100" s="4106"/>
      <c r="BM100" s="4107"/>
      <c r="BN100" s="4042"/>
      <c r="BO100" s="4042"/>
      <c r="BP100" s="4042"/>
      <c r="BQ100" s="4032"/>
      <c r="BR100" s="4032"/>
      <c r="BS100" s="4032"/>
      <c r="BT100" s="4032"/>
      <c r="BU100" s="3440"/>
    </row>
    <row r="101" spans="1:73" s="70" customFormat="1" ht="52.5" customHeight="1" x14ac:dyDescent="0.25">
      <c r="A101" s="2836"/>
      <c r="B101" s="2837"/>
      <c r="C101" s="1883"/>
      <c r="D101" s="1884"/>
      <c r="E101" s="4068"/>
      <c r="F101" s="4068"/>
      <c r="G101" s="3377"/>
      <c r="H101" s="4101"/>
      <c r="I101" s="4114"/>
      <c r="J101" s="3434"/>
      <c r="K101" s="3406"/>
      <c r="L101" s="3434"/>
      <c r="M101" s="3406"/>
      <c r="N101" s="3434"/>
      <c r="O101" s="3406"/>
      <c r="P101" s="3385"/>
      <c r="Q101" s="4112"/>
      <c r="R101" s="4113"/>
      <c r="S101" s="3435"/>
      <c r="T101" s="4108"/>
      <c r="U101" s="4059"/>
      <c r="V101" s="4109"/>
      <c r="W101" s="1871" t="s">
        <v>1103</v>
      </c>
      <c r="X101" s="2165">
        <v>6150000</v>
      </c>
      <c r="Y101" s="2166">
        <v>2000000</v>
      </c>
      <c r="Z101" s="2168">
        <v>0</v>
      </c>
      <c r="AA101" s="1852" t="s">
        <v>1335</v>
      </c>
      <c r="AB101" s="4048"/>
      <c r="AC101" s="2728"/>
      <c r="AD101" s="4042"/>
      <c r="AE101" s="4042"/>
      <c r="AF101" s="4042"/>
      <c r="AG101" s="4042"/>
      <c r="AH101" s="3440"/>
      <c r="AI101" s="4042"/>
      <c r="AJ101" s="3440"/>
      <c r="AK101" s="4042"/>
      <c r="AL101" s="3440"/>
      <c r="AM101" s="4042"/>
      <c r="AN101" s="3440"/>
      <c r="AO101" s="4042"/>
      <c r="AP101" s="3440"/>
      <c r="AQ101" s="4042"/>
      <c r="AR101" s="3440"/>
      <c r="AS101" s="4042"/>
      <c r="AT101" s="3440"/>
      <c r="AU101" s="4042"/>
      <c r="AV101" s="3440"/>
      <c r="AW101" s="4042"/>
      <c r="AX101" s="3440"/>
      <c r="AY101" s="4042"/>
      <c r="AZ101" s="3440"/>
      <c r="BA101" s="4042"/>
      <c r="BB101" s="3440"/>
      <c r="BC101" s="4042"/>
      <c r="BD101" s="3440"/>
      <c r="BE101" s="4042"/>
      <c r="BF101" s="3440"/>
      <c r="BG101" s="4042"/>
      <c r="BH101" s="3440"/>
      <c r="BI101" s="4042"/>
      <c r="BJ101" s="4105"/>
      <c r="BK101" s="4106"/>
      <c r="BL101" s="4106"/>
      <c r="BM101" s="4107"/>
      <c r="BN101" s="4042"/>
      <c r="BO101" s="4042"/>
      <c r="BP101" s="4042"/>
      <c r="BQ101" s="4032"/>
      <c r="BR101" s="4032"/>
      <c r="BS101" s="4032"/>
      <c r="BT101" s="4032"/>
      <c r="BU101" s="3440"/>
    </row>
    <row r="102" spans="1:73" s="70" customFormat="1" ht="68.25" customHeight="1" x14ac:dyDescent="0.25">
      <c r="A102" s="2836"/>
      <c r="B102" s="2837"/>
      <c r="C102" s="1883"/>
      <c r="D102" s="1884"/>
      <c r="E102" s="4068"/>
      <c r="F102" s="4068"/>
      <c r="G102" s="3377">
        <v>4104015</v>
      </c>
      <c r="H102" s="4100" t="s">
        <v>1336</v>
      </c>
      <c r="I102" s="3433">
        <v>4104015</v>
      </c>
      <c r="J102" s="4100" t="s">
        <v>1337</v>
      </c>
      <c r="K102" s="3433">
        <v>410401500</v>
      </c>
      <c r="L102" s="4102" t="s">
        <v>1338</v>
      </c>
      <c r="M102" s="3433">
        <v>410401500</v>
      </c>
      <c r="N102" s="4102" t="s">
        <v>1339</v>
      </c>
      <c r="O102" s="3433">
        <v>7500</v>
      </c>
      <c r="P102" s="3433">
        <v>1066</v>
      </c>
      <c r="Q102" s="3433" t="s">
        <v>1340</v>
      </c>
      <c r="R102" s="3453" t="s">
        <v>1341</v>
      </c>
      <c r="S102" s="4098">
        <f>SUM(X102:X106)/T102</f>
        <v>4.8898739184447234E-3</v>
      </c>
      <c r="T102" s="4058">
        <f>SUM(X102:X144)</f>
        <v>4090085007.0099993</v>
      </c>
      <c r="U102" s="4059" t="s">
        <v>1342</v>
      </c>
      <c r="V102" s="4046" t="s">
        <v>1343</v>
      </c>
      <c r="W102" s="1936" t="s">
        <v>1344</v>
      </c>
      <c r="X102" s="2177">
        <v>4000000</v>
      </c>
      <c r="Y102" s="2166">
        <v>4000000</v>
      </c>
      <c r="Z102" s="2167">
        <v>4000000</v>
      </c>
      <c r="AA102" s="1950" t="s">
        <v>1345</v>
      </c>
      <c r="AB102" s="4095">
        <v>20</v>
      </c>
      <c r="AC102" s="3385" t="s">
        <v>187</v>
      </c>
      <c r="AD102" s="2318">
        <v>3500</v>
      </c>
      <c r="AE102" s="3463">
        <v>2401</v>
      </c>
      <c r="AF102" s="2318">
        <v>4000</v>
      </c>
      <c r="AG102" s="3463">
        <v>2068</v>
      </c>
      <c r="AH102" s="2318" t="s">
        <v>319</v>
      </c>
      <c r="AI102" s="3463"/>
      <c r="AJ102" s="2318" t="s">
        <v>319</v>
      </c>
      <c r="AK102" s="3463"/>
      <c r="AL102" s="2318" t="s">
        <v>319</v>
      </c>
      <c r="AM102" s="3463">
        <v>1</v>
      </c>
      <c r="AN102" s="2318">
        <v>7500</v>
      </c>
      <c r="AO102" s="3463">
        <v>4469</v>
      </c>
      <c r="AP102" s="3463"/>
      <c r="AQ102" s="3463"/>
      <c r="AR102" s="3463"/>
      <c r="AS102" s="3463"/>
      <c r="AT102" s="3463"/>
      <c r="AU102" s="3463"/>
      <c r="AV102" s="3463"/>
      <c r="AW102" s="3463"/>
      <c r="AX102" s="3463"/>
      <c r="AY102" s="3463"/>
      <c r="AZ102" s="3463"/>
      <c r="BA102" s="3463"/>
      <c r="BB102" s="4094"/>
      <c r="BC102" s="3463"/>
      <c r="BD102" s="4094"/>
      <c r="BE102" s="3463">
        <v>492</v>
      </c>
      <c r="BF102" s="4094"/>
      <c r="BG102" s="3463">
        <v>2</v>
      </c>
      <c r="BH102" s="3463">
        <v>7500</v>
      </c>
      <c r="BI102" s="3463">
        <f>SUM(AO102+AM102)</f>
        <v>4470</v>
      </c>
      <c r="BJ102" s="3463">
        <v>2</v>
      </c>
      <c r="BK102" s="4093">
        <f>SUM(Y102:Y144)</f>
        <v>941845999.23999989</v>
      </c>
      <c r="BL102" s="4093">
        <f>SUM(Z102:Z144)</f>
        <v>938960999.23999989</v>
      </c>
      <c r="BM102" s="2463">
        <f>BL102/BK102</f>
        <v>0.99693686653409586</v>
      </c>
      <c r="BN102" s="3463">
        <v>20</v>
      </c>
      <c r="BO102" s="3463" t="s">
        <v>187</v>
      </c>
      <c r="BP102" s="3463" t="s">
        <v>1319</v>
      </c>
      <c r="BQ102" s="4007">
        <v>44197</v>
      </c>
      <c r="BR102" s="4007">
        <v>44243</v>
      </c>
      <c r="BS102" s="4007">
        <v>44561</v>
      </c>
      <c r="BT102" s="4007">
        <v>44362</v>
      </c>
      <c r="BU102" s="3463" t="s">
        <v>1319</v>
      </c>
    </row>
    <row r="103" spans="1:73" s="70" customFormat="1" ht="38.25" customHeight="1" x14ac:dyDescent="0.25">
      <c r="A103" s="2836"/>
      <c r="B103" s="2837"/>
      <c r="C103" s="1883"/>
      <c r="D103" s="1884"/>
      <c r="E103" s="4068"/>
      <c r="F103" s="4068"/>
      <c r="G103" s="3377"/>
      <c r="H103" s="4101"/>
      <c r="I103" s="3377"/>
      <c r="J103" s="4101"/>
      <c r="K103" s="3377"/>
      <c r="L103" s="4103"/>
      <c r="M103" s="3377"/>
      <c r="N103" s="4103"/>
      <c r="O103" s="3377"/>
      <c r="P103" s="3377"/>
      <c r="Q103" s="3377"/>
      <c r="R103" s="3434"/>
      <c r="S103" s="4099"/>
      <c r="T103" s="4058"/>
      <c r="U103" s="4059"/>
      <c r="V103" s="4046"/>
      <c r="W103" s="1928" t="s">
        <v>1346</v>
      </c>
      <c r="X103" s="2177">
        <v>1000000</v>
      </c>
      <c r="Y103" s="2166">
        <v>1000000</v>
      </c>
      <c r="Z103" s="2167">
        <v>1000000</v>
      </c>
      <c r="AA103" s="1950" t="s">
        <v>1345</v>
      </c>
      <c r="AB103" s="4096"/>
      <c r="AC103" s="3385"/>
      <c r="AD103" s="2318"/>
      <c r="AE103" s="3463"/>
      <c r="AF103" s="2318"/>
      <c r="AG103" s="3463"/>
      <c r="AH103" s="2318"/>
      <c r="AI103" s="3463"/>
      <c r="AJ103" s="2318"/>
      <c r="AK103" s="3463"/>
      <c r="AL103" s="2318"/>
      <c r="AM103" s="3463"/>
      <c r="AN103" s="2318"/>
      <c r="AO103" s="3463"/>
      <c r="AP103" s="3463"/>
      <c r="AQ103" s="3463"/>
      <c r="AR103" s="3463"/>
      <c r="AS103" s="3463"/>
      <c r="AT103" s="3463"/>
      <c r="AU103" s="3463"/>
      <c r="AV103" s="3463"/>
      <c r="AW103" s="3463"/>
      <c r="AX103" s="3463"/>
      <c r="AY103" s="3463"/>
      <c r="AZ103" s="3463"/>
      <c r="BA103" s="3463"/>
      <c r="BB103" s="4094"/>
      <c r="BC103" s="3463"/>
      <c r="BD103" s="4094"/>
      <c r="BE103" s="3463"/>
      <c r="BF103" s="4094"/>
      <c r="BG103" s="3463"/>
      <c r="BH103" s="3463"/>
      <c r="BI103" s="3463"/>
      <c r="BJ103" s="3463"/>
      <c r="BK103" s="4093"/>
      <c r="BL103" s="4093"/>
      <c r="BM103" s="2463"/>
      <c r="BN103" s="3463"/>
      <c r="BO103" s="3463"/>
      <c r="BP103" s="3463"/>
      <c r="BQ103" s="4007"/>
      <c r="BR103" s="4007"/>
      <c r="BS103" s="4007"/>
      <c r="BT103" s="4007"/>
      <c r="BU103" s="3463"/>
    </row>
    <row r="104" spans="1:73" s="70" customFormat="1" ht="58.5" customHeight="1" x14ac:dyDescent="0.25">
      <c r="A104" s="2836"/>
      <c r="B104" s="2837"/>
      <c r="C104" s="1883"/>
      <c r="D104" s="1884"/>
      <c r="E104" s="4068"/>
      <c r="F104" s="4068"/>
      <c r="G104" s="3377"/>
      <c r="H104" s="4101"/>
      <c r="I104" s="3377"/>
      <c r="J104" s="4101"/>
      <c r="K104" s="3377"/>
      <c r="L104" s="4103"/>
      <c r="M104" s="3377"/>
      <c r="N104" s="4103"/>
      <c r="O104" s="3377"/>
      <c r="P104" s="3377"/>
      <c r="Q104" s="3377"/>
      <c r="R104" s="3434"/>
      <c r="S104" s="4099"/>
      <c r="T104" s="4058"/>
      <c r="U104" s="4059"/>
      <c r="V104" s="4046"/>
      <c r="W104" s="1928" t="s">
        <v>1347</v>
      </c>
      <c r="X104" s="2177">
        <v>10000000</v>
      </c>
      <c r="Y104" s="2166">
        <v>9960000</v>
      </c>
      <c r="Z104" s="2167">
        <v>8190000</v>
      </c>
      <c r="AA104" s="1950" t="s">
        <v>1345</v>
      </c>
      <c r="AB104" s="4096"/>
      <c r="AC104" s="3385"/>
      <c r="AD104" s="2318"/>
      <c r="AE104" s="3463"/>
      <c r="AF104" s="2318"/>
      <c r="AG104" s="3463"/>
      <c r="AH104" s="2318"/>
      <c r="AI104" s="3463"/>
      <c r="AJ104" s="2318"/>
      <c r="AK104" s="3463"/>
      <c r="AL104" s="2318"/>
      <c r="AM104" s="3463"/>
      <c r="AN104" s="2318"/>
      <c r="AO104" s="3463"/>
      <c r="AP104" s="3463"/>
      <c r="AQ104" s="3463"/>
      <c r="AR104" s="3463"/>
      <c r="AS104" s="3463"/>
      <c r="AT104" s="3463"/>
      <c r="AU104" s="3463"/>
      <c r="AV104" s="3463"/>
      <c r="AW104" s="3463"/>
      <c r="AX104" s="3463"/>
      <c r="AY104" s="3463"/>
      <c r="AZ104" s="3463"/>
      <c r="BA104" s="3463"/>
      <c r="BB104" s="4094"/>
      <c r="BC104" s="3463"/>
      <c r="BD104" s="4094"/>
      <c r="BE104" s="3463"/>
      <c r="BF104" s="4094"/>
      <c r="BG104" s="3463"/>
      <c r="BH104" s="3463"/>
      <c r="BI104" s="3463"/>
      <c r="BJ104" s="3463"/>
      <c r="BK104" s="4093"/>
      <c r="BL104" s="4093"/>
      <c r="BM104" s="2463"/>
      <c r="BN104" s="3463"/>
      <c r="BO104" s="3463"/>
      <c r="BP104" s="3463"/>
      <c r="BQ104" s="4007"/>
      <c r="BR104" s="4007"/>
      <c r="BS104" s="4007"/>
      <c r="BT104" s="4007"/>
      <c r="BU104" s="3463"/>
    </row>
    <row r="105" spans="1:73" s="70" customFormat="1" ht="69.75" customHeight="1" x14ac:dyDescent="0.25">
      <c r="A105" s="2836"/>
      <c r="B105" s="2837"/>
      <c r="C105" s="1883"/>
      <c r="D105" s="1884"/>
      <c r="E105" s="4068"/>
      <c r="F105" s="4068"/>
      <c r="G105" s="3377"/>
      <c r="H105" s="4101"/>
      <c r="I105" s="3377"/>
      <c r="J105" s="4101"/>
      <c r="K105" s="3377"/>
      <c r="L105" s="4103"/>
      <c r="M105" s="3377"/>
      <c r="N105" s="4103"/>
      <c r="O105" s="3377"/>
      <c r="P105" s="3377"/>
      <c r="Q105" s="3377"/>
      <c r="R105" s="3434"/>
      <c r="S105" s="4099"/>
      <c r="T105" s="4058"/>
      <c r="U105" s="4059"/>
      <c r="V105" s="4046"/>
      <c r="W105" s="1928" t="s">
        <v>1348</v>
      </c>
      <c r="X105" s="2177">
        <v>4000000</v>
      </c>
      <c r="Y105" s="2166">
        <v>4000000</v>
      </c>
      <c r="Z105" s="2166">
        <v>2885000</v>
      </c>
      <c r="AA105" s="1950" t="s">
        <v>1345</v>
      </c>
      <c r="AB105" s="4096"/>
      <c r="AC105" s="3385"/>
      <c r="AD105" s="2318"/>
      <c r="AE105" s="3463"/>
      <c r="AF105" s="2318"/>
      <c r="AG105" s="3463"/>
      <c r="AH105" s="2318"/>
      <c r="AI105" s="3463"/>
      <c r="AJ105" s="2318"/>
      <c r="AK105" s="3463"/>
      <c r="AL105" s="2318"/>
      <c r="AM105" s="3463"/>
      <c r="AN105" s="2318"/>
      <c r="AO105" s="3463"/>
      <c r="AP105" s="3463"/>
      <c r="AQ105" s="3463"/>
      <c r="AR105" s="3463"/>
      <c r="AS105" s="3463"/>
      <c r="AT105" s="3463"/>
      <c r="AU105" s="3463"/>
      <c r="AV105" s="3463"/>
      <c r="AW105" s="3463"/>
      <c r="AX105" s="3463"/>
      <c r="AY105" s="3463"/>
      <c r="AZ105" s="3463"/>
      <c r="BA105" s="3463"/>
      <c r="BB105" s="4094"/>
      <c r="BC105" s="3463"/>
      <c r="BD105" s="4094"/>
      <c r="BE105" s="3463"/>
      <c r="BF105" s="4094"/>
      <c r="BG105" s="3463"/>
      <c r="BH105" s="3463"/>
      <c r="BI105" s="3463"/>
      <c r="BJ105" s="3463"/>
      <c r="BK105" s="4093"/>
      <c r="BL105" s="4093"/>
      <c r="BM105" s="2463"/>
      <c r="BN105" s="3463"/>
      <c r="BO105" s="3463"/>
      <c r="BP105" s="3463"/>
      <c r="BQ105" s="4007"/>
      <c r="BR105" s="4007"/>
      <c r="BS105" s="4007"/>
      <c r="BT105" s="4007"/>
      <c r="BU105" s="3463"/>
    </row>
    <row r="106" spans="1:73" s="70" customFormat="1" ht="36" customHeight="1" x14ac:dyDescent="0.25">
      <c r="A106" s="2836"/>
      <c r="B106" s="2837"/>
      <c r="C106" s="1883"/>
      <c r="D106" s="1884"/>
      <c r="E106" s="4068"/>
      <c r="F106" s="4068"/>
      <c r="G106" s="3377"/>
      <c r="H106" s="4101"/>
      <c r="I106" s="3377"/>
      <c r="J106" s="3397"/>
      <c r="K106" s="3378"/>
      <c r="L106" s="4104"/>
      <c r="M106" s="3378"/>
      <c r="N106" s="4104"/>
      <c r="O106" s="3377"/>
      <c r="P106" s="3377"/>
      <c r="Q106" s="3377"/>
      <c r="R106" s="3434"/>
      <c r="S106" s="4099"/>
      <c r="T106" s="4058"/>
      <c r="U106" s="4059"/>
      <c r="V106" s="4046"/>
      <c r="W106" s="1928" t="s">
        <v>1349</v>
      </c>
      <c r="X106" s="2177">
        <v>1000000</v>
      </c>
      <c r="Y106" s="2182">
        <v>0</v>
      </c>
      <c r="Z106" s="2182">
        <v>0</v>
      </c>
      <c r="AA106" s="1950" t="s">
        <v>3284</v>
      </c>
      <c r="AB106" s="4097"/>
      <c r="AC106" s="3385"/>
      <c r="AD106" s="2318"/>
      <c r="AE106" s="3463"/>
      <c r="AF106" s="2318"/>
      <c r="AG106" s="3463"/>
      <c r="AH106" s="2318"/>
      <c r="AI106" s="3463"/>
      <c r="AJ106" s="2318"/>
      <c r="AK106" s="3463"/>
      <c r="AL106" s="2318"/>
      <c r="AM106" s="3463"/>
      <c r="AN106" s="2318"/>
      <c r="AO106" s="3463"/>
      <c r="AP106" s="3463"/>
      <c r="AQ106" s="3463"/>
      <c r="AR106" s="3463"/>
      <c r="AS106" s="3463"/>
      <c r="AT106" s="3463"/>
      <c r="AU106" s="3463"/>
      <c r="AV106" s="3463"/>
      <c r="AW106" s="3463"/>
      <c r="AX106" s="3463"/>
      <c r="AY106" s="3463"/>
      <c r="AZ106" s="3463"/>
      <c r="BA106" s="3463"/>
      <c r="BB106" s="4094"/>
      <c r="BC106" s="3463"/>
      <c r="BD106" s="4094"/>
      <c r="BE106" s="3463"/>
      <c r="BF106" s="4094"/>
      <c r="BG106" s="3463"/>
      <c r="BH106" s="3463"/>
      <c r="BI106" s="3463"/>
      <c r="BJ106" s="3463"/>
      <c r="BK106" s="4093"/>
      <c r="BL106" s="4093"/>
      <c r="BM106" s="2463"/>
      <c r="BN106" s="3463"/>
      <c r="BO106" s="3463"/>
      <c r="BP106" s="3463"/>
      <c r="BQ106" s="4007"/>
      <c r="BR106" s="4007"/>
      <c r="BS106" s="4007"/>
      <c r="BT106" s="4007"/>
      <c r="BU106" s="3463"/>
    </row>
    <row r="107" spans="1:73" s="70" customFormat="1" ht="36" customHeight="1" x14ac:dyDescent="0.25">
      <c r="A107" s="2836"/>
      <c r="B107" s="2837"/>
      <c r="C107" s="1883"/>
      <c r="D107" s="1884"/>
      <c r="E107" s="4068"/>
      <c r="F107" s="4068"/>
      <c r="G107" s="3377" t="s">
        <v>74</v>
      </c>
      <c r="H107" s="4076" t="s">
        <v>1350</v>
      </c>
      <c r="I107" s="3404">
        <v>4104008</v>
      </c>
      <c r="J107" s="2701" t="s">
        <v>1351</v>
      </c>
      <c r="K107" s="3655" t="s">
        <v>74</v>
      </c>
      <c r="L107" s="2701" t="s">
        <v>1352</v>
      </c>
      <c r="M107" s="3408">
        <v>410400800</v>
      </c>
      <c r="N107" s="4076" t="s">
        <v>1353</v>
      </c>
      <c r="O107" s="4079">
        <v>12</v>
      </c>
      <c r="P107" s="4079">
        <v>0</v>
      </c>
      <c r="Q107" s="3377"/>
      <c r="R107" s="3434"/>
      <c r="S107" s="4082">
        <f>SUM(X107:X144)/T102</f>
        <v>0.99511012608155525</v>
      </c>
      <c r="T107" s="4058"/>
      <c r="U107" s="4059"/>
      <c r="V107" s="4046"/>
      <c r="W107" s="4085" t="s">
        <v>1354</v>
      </c>
      <c r="X107" s="2193">
        <f>56207020.87</f>
        <v>56207020.869999997</v>
      </c>
      <c r="Y107" s="2183">
        <v>14772529.76</v>
      </c>
      <c r="Z107" s="2183">
        <f>+Y107</f>
        <v>14772529.76</v>
      </c>
      <c r="AA107" s="896" t="s">
        <v>1355</v>
      </c>
      <c r="AB107" s="1914">
        <v>6</v>
      </c>
      <c r="AC107" s="897" t="s">
        <v>1356</v>
      </c>
      <c r="AD107" s="2318"/>
      <c r="AE107" s="3463"/>
      <c r="AF107" s="2318"/>
      <c r="AG107" s="3463"/>
      <c r="AH107" s="2318"/>
      <c r="AI107" s="3463"/>
      <c r="AJ107" s="2318"/>
      <c r="AK107" s="3463"/>
      <c r="AL107" s="2318"/>
      <c r="AM107" s="3463"/>
      <c r="AN107" s="2318"/>
      <c r="AO107" s="3463"/>
      <c r="AP107" s="3463"/>
      <c r="AQ107" s="3463"/>
      <c r="AR107" s="3463"/>
      <c r="AS107" s="3463"/>
      <c r="AT107" s="3463"/>
      <c r="AU107" s="3463"/>
      <c r="AV107" s="3463"/>
      <c r="AW107" s="3463"/>
      <c r="AX107" s="3463"/>
      <c r="AY107" s="3463"/>
      <c r="AZ107" s="3463"/>
      <c r="BA107" s="3463"/>
      <c r="BB107" s="4094"/>
      <c r="BC107" s="3463"/>
      <c r="BD107" s="4094"/>
      <c r="BE107" s="3463"/>
      <c r="BF107" s="4094"/>
      <c r="BG107" s="3463"/>
      <c r="BH107" s="3463"/>
      <c r="BI107" s="3463"/>
      <c r="BJ107" s="3463"/>
      <c r="BK107" s="4093"/>
      <c r="BL107" s="4093"/>
      <c r="BM107" s="2463"/>
      <c r="BN107" s="3463"/>
      <c r="BO107" s="3463"/>
      <c r="BP107" s="3463"/>
      <c r="BQ107" s="4007"/>
      <c r="BR107" s="4007"/>
      <c r="BS107" s="4007"/>
      <c r="BT107" s="4007"/>
      <c r="BU107" s="3463"/>
    </row>
    <row r="108" spans="1:73" s="70" customFormat="1" ht="36" customHeight="1" x14ac:dyDescent="0.25">
      <c r="A108" s="2836"/>
      <c r="B108" s="2837"/>
      <c r="C108" s="1883"/>
      <c r="D108" s="1884"/>
      <c r="E108" s="4068"/>
      <c r="F108" s="4068"/>
      <c r="G108" s="3377"/>
      <c r="H108" s="4077"/>
      <c r="I108" s="3405"/>
      <c r="J108" s="2702"/>
      <c r="K108" s="4092"/>
      <c r="L108" s="2702"/>
      <c r="M108" s="3409"/>
      <c r="N108" s="4077"/>
      <c r="O108" s="4080"/>
      <c r="P108" s="4080"/>
      <c r="Q108" s="3377"/>
      <c r="R108" s="3434"/>
      <c r="S108" s="4083"/>
      <c r="T108" s="4058"/>
      <c r="U108" s="4059"/>
      <c r="V108" s="4046"/>
      <c r="W108" s="4086"/>
      <c r="X108" s="2193">
        <v>8567750.0500000007</v>
      </c>
      <c r="Y108" s="2183"/>
      <c r="Z108" s="2183"/>
      <c r="AA108" s="896" t="s">
        <v>1357</v>
      </c>
      <c r="AB108" s="898">
        <v>84</v>
      </c>
      <c r="AC108" s="897" t="s">
        <v>1358</v>
      </c>
      <c r="AD108" s="2318"/>
      <c r="AE108" s="3463"/>
      <c r="AF108" s="2318"/>
      <c r="AG108" s="3463"/>
      <c r="AH108" s="2318"/>
      <c r="AI108" s="3463"/>
      <c r="AJ108" s="2318"/>
      <c r="AK108" s="3463"/>
      <c r="AL108" s="2318"/>
      <c r="AM108" s="3463"/>
      <c r="AN108" s="2318"/>
      <c r="AO108" s="3463"/>
      <c r="AP108" s="3463"/>
      <c r="AQ108" s="3463"/>
      <c r="AR108" s="3463"/>
      <c r="AS108" s="3463"/>
      <c r="AT108" s="3463"/>
      <c r="AU108" s="3463"/>
      <c r="AV108" s="3463"/>
      <c r="AW108" s="3463"/>
      <c r="AX108" s="3463"/>
      <c r="AY108" s="3463"/>
      <c r="AZ108" s="3463"/>
      <c r="BA108" s="3463"/>
      <c r="BB108" s="4094"/>
      <c r="BC108" s="3463"/>
      <c r="BD108" s="4094"/>
      <c r="BE108" s="3463"/>
      <c r="BF108" s="4094"/>
      <c r="BG108" s="3463"/>
      <c r="BH108" s="3463"/>
      <c r="BI108" s="3463"/>
      <c r="BJ108" s="3463"/>
      <c r="BK108" s="4093"/>
      <c r="BL108" s="4093"/>
      <c r="BM108" s="2463"/>
      <c r="BN108" s="3463"/>
      <c r="BO108" s="3463"/>
      <c r="BP108" s="3463"/>
      <c r="BQ108" s="4007"/>
      <c r="BR108" s="4007"/>
      <c r="BS108" s="4007"/>
      <c r="BT108" s="4007"/>
      <c r="BU108" s="3463"/>
    </row>
    <row r="109" spans="1:73" s="70" customFormat="1" ht="36" customHeight="1" x14ac:dyDescent="0.25">
      <c r="A109" s="2836"/>
      <c r="B109" s="2837"/>
      <c r="C109" s="1883"/>
      <c r="D109" s="1884"/>
      <c r="E109" s="4068"/>
      <c r="F109" s="4068"/>
      <c r="G109" s="3377"/>
      <c r="H109" s="4077"/>
      <c r="I109" s="3405"/>
      <c r="J109" s="2702"/>
      <c r="K109" s="4092"/>
      <c r="L109" s="2702"/>
      <c r="M109" s="3409"/>
      <c r="N109" s="4077"/>
      <c r="O109" s="4080"/>
      <c r="P109" s="4080"/>
      <c r="Q109" s="3377"/>
      <c r="R109" s="3434"/>
      <c r="S109" s="4083"/>
      <c r="T109" s="4058"/>
      <c r="U109" s="4059"/>
      <c r="V109" s="4046"/>
      <c r="W109" s="4086"/>
      <c r="X109" s="2180">
        <v>352625342.08999997</v>
      </c>
      <c r="Y109" s="2183">
        <v>90541311.439999998</v>
      </c>
      <c r="Z109" s="2183">
        <f>+Y109</f>
        <v>90541311.439999998</v>
      </c>
      <c r="AA109" s="896" t="s">
        <v>1359</v>
      </c>
      <c r="AB109" s="1914">
        <v>6</v>
      </c>
      <c r="AC109" s="897" t="s">
        <v>1356</v>
      </c>
      <c r="AD109" s="2318"/>
      <c r="AE109" s="3463"/>
      <c r="AF109" s="2318"/>
      <c r="AG109" s="3463"/>
      <c r="AH109" s="2318"/>
      <c r="AI109" s="3463"/>
      <c r="AJ109" s="2318"/>
      <c r="AK109" s="3463"/>
      <c r="AL109" s="2318"/>
      <c r="AM109" s="3463"/>
      <c r="AN109" s="2318"/>
      <c r="AO109" s="3463"/>
      <c r="AP109" s="3463"/>
      <c r="AQ109" s="3463"/>
      <c r="AR109" s="3463"/>
      <c r="AS109" s="3463"/>
      <c r="AT109" s="3463"/>
      <c r="AU109" s="3463"/>
      <c r="AV109" s="3463"/>
      <c r="AW109" s="3463"/>
      <c r="AX109" s="3463"/>
      <c r="AY109" s="3463"/>
      <c r="AZ109" s="3463"/>
      <c r="BA109" s="3463"/>
      <c r="BB109" s="4094"/>
      <c r="BC109" s="3463"/>
      <c r="BD109" s="4094"/>
      <c r="BE109" s="3463"/>
      <c r="BF109" s="4094"/>
      <c r="BG109" s="3463"/>
      <c r="BH109" s="3463"/>
      <c r="BI109" s="3463"/>
      <c r="BJ109" s="3463"/>
      <c r="BK109" s="4093"/>
      <c r="BL109" s="4093"/>
      <c r="BM109" s="2463"/>
      <c r="BN109" s="3463"/>
      <c r="BO109" s="3463"/>
      <c r="BP109" s="3463"/>
      <c r="BQ109" s="4007"/>
      <c r="BR109" s="4007"/>
      <c r="BS109" s="4007"/>
      <c r="BT109" s="4007"/>
      <c r="BU109" s="3463"/>
    </row>
    <row r="110" spans="1:73" s="70" customFormat="1" ht="36" customHeight="1" x14ac:dyDescent="0.25">
      <c r="A110" s="2836"/>
      <c r="B110" s="2837"/>
      <c r="C110" s="1883"/>
      <c r="D110" s="1884"/>
      <c r="E110" s="4068"/>
      <c r="F110" s="4068"/>
      <c r="G110" s="3377"/>
      <c r="H110" s="4077"/>
      <c r="I110" s="3405"/>
      <c r="J110" s="2702"/>
      <c r="K110" s="4092"/>
      <c r="L110" s="2702"/>
      <c r="M110" s="3409"/>
      <c r="N110" s="4077"/>
      <c r="O110" s="4080"/>
      <c r="P110" s="4080"/>
      <c r="Q110" s="3377"/>
      <c r="R110" s="3434"/>
      <c r="S110" s="4083"/>
      <c r="T110" s="4058"/>
      <c r="U110" s="4059"/>
      <c r="V110" s="4046"/>
      <c r="W110" s="4086"/>
      <c r="X110" s="2180">
        <f>55552185.73+0.05</f>
        <v>55552185.779999994</v>
      </c>
      <c r="Y110" s="2183"/>
      <c r="Z110" s="2183"/>
      <c r="AA110" s="896" t="s">
        <v>1360</v>
      </c>
      <c r="AB110" s="898">
        <v>84</v>
      </c>
      <c r="AC110" s="897" t="s">
        <v>1358</v>
      </c>
      <c r="AD110" s="2318"/>
      <c r="AE110" s="3463"/>
      <c r="AF110" s="2318"/>
      <c r="AG110" s="3463"/>
      <c r="AH110" s="2318"/>
      <c r="AI110" s="3463"/>
      <c r="AJ110" s="2318"/>
      <c r="AK110" s="3463"/>
      <c r="AL110" s="2318"/>
      <c r="AM110" s="3463"/>
      <c r="AN110" s="2318"/>
      <c r="AO110" s="3463"/>
      <c r="AP110" s="3463"/>
      <c r="AQ110" s="3463"/>
      <c r="AR110" s="3463"/>
      <c r="AS110" s="3463"/>
      <c r="AT110" s="3463"/>
      <c r="AU110" s="3463"/>
      <c r="AV110" s="3463"/>
      <c r="AW110" s="3463"/>
      <c r="AX110" s="3463"/>
      <c r="AY110" s="3463"/>
      <c r="AZ110" s="3463"/>
      <c r="BA110" s="3463"/>
      <c r="BB110" s="4094"/>
      <c r="BC110" s="3463"/>
      <c r="BD110" s="4094"/>
      <c r="BE110" s="3463"/>
      <c r="BF110" s="4094"/>
      <c r="BG110" s="3463"/>
      <c r="BH110" s="3463"/>
      <c r="BI110" s="3463"/>
      <c r="BJ110" s="3463"/>
      <c r="BK110" s="4093"/>
      <c r="BL110" s="4093"/>
      <c r="BM110" s="2463"/>
      <c r="BN110" s="3463"/>
      <c r="BO110" s="3463"/>
      <c r="BP110" s="3463"/>
      <c r="BQ110" s="4007"/>
      <c r="BR110" s="4007"/>
      <c r="BS110" s="4007"/>
      <c r="BT110" s="4007"/>
      <c r="BU110" s="3463"/>
    </row>
    <row r="111" spans="1:73" s="70" customFormat="1" ht="36" customHeight="1" x14ac:dyDescent="0.25">
      <c r="A111" s="2836"/>
      <c r="B111" s="2837"/>
      <c r="C111" s="1883"/>
      <c r="D111" s="1884"/>
      <c r="E111" s="4068"/>
      <c r="F111" s="4068"/>
      <c r="G111" s="3377"/>
      <c r="H111" s="4077"/>
      <c r="I111" s="3405"/>
      <c r="J111" s="2702"/>
      <c r="K111" s="4092"/>
      <c r="L111" s="2702"/>
      <c r="M111" s="3409"/>
      <c r="N111" s="4077"/>
      <c r="O111" s="4080"/>
      <c r="P111" s="4080"/>
      <c r="Q111" s="3377"/>
      <c r="R111" s="3434"/>
      <c r="S111" s="4083"/>
      <c r="T111" s="4058"/>
      <c r="U111" s="4059"/>
      <c r="V111" s="4046"/>
      <c r="W111" s="4086"/>
      <c r="X111" s="2180">
        <v>28690491.449999999</v>
      </c>
      <c r="Y111" s="2183">
        <v>7624531.4900000002</v>
      </c>
      <c r="Z111" s="2183">
        <f>+Y111</f>
        <v>7624531.4900000002</v>
      </c>
      <c r="AA111" s="896" t="s">
        <v>1361</v>
      </c>
      <c r="AB111" s="1914">
        <v>6</v>
      </c>
      <c r="AC111" s="897" t="s">
        <v>1356</v>
      </c>
      <c r="AD111" s="2318"/>
      <c r="AE111" s="3463"/>
      <c r="AF111" s="2318"/>
      <c r="AG111" s="3463"/>
      <c r="AH111" s="2318"/>
      <c r="AI111" s="3463"/>
      <c r="AJ111" s="2318"/>
      <c r="AK111" s="3463"/>
      <c r="AL111" s="2318"/>
      <c r="AM111" s="3463"/>
      <c r="AN111" s="2318"/>
      <c r="AO111" s="3463"/>
      <c r="AP111" s="3463"/>
      <c r="AQ111" s="3463"/>
      <c r="AR111" s="3463"/>
      <c r="AS111" s="3463"/>
      <c r="AT111" s="3463"/>
      <c r="AU111" s="3463"/>
      <c r="AV111" s="3463"/>
      <c r="AW111" s="3463"/>
      <c r="AX111" s="3463"/>
      <c r="AY111" s="3463"/>
      <c r="AZ111" s="3463"/>
      <c r="BA111" s="3463"/>
      <c r="BB111" s="4094"/>
      <c r="BC111" s="3463"/>
      <c r="BD111" s="4094"/>
      <c r="BE111" s="3463"/>
      <c r="BF111" s="4094"/>
      <c r="BG111" s="3463"/>
      <c r="BH111" s="3463"/>
      <c r="BI111" s="3463"/>
      <c r="BJ111" s="3463"/>
      <c r="BK111" s="4093"/>
      <c r="BL111" s="4093"/>
      <c r="BM111" s="2463"/>
      <c r="BN111" s="3463"/>
      <c r="BO111" s="3463"/>
      <c r="BP111" s="3463"/>
      <c r="BQ111" s="4007"/>
      <c r="BR111" s="4007"/>
      <c r="BS111" s="4007"/>
      <c r="BT111" s="4007"/>
      <c r="BU111" s="3463"/>
    </row>
    <row r="112" spans="1:73" s="70" customFormat="1" ht="36" customHeight="1" x14ac:dyDescent="0.25">
      <c r="A112" s="2836"/>
      <c r="B112" s="2837"/>
      <c r="C112" s="1883"/>
      <c r="D112" s="1884"/>
      <c r="E112" s="4068"/>
      <c r="F112" s="4068"/>
      <c r="G112" s="3377"/>
      <c r="H112" s="4077"/>
      <c r="I112" s="3405"/>
      <c r="J112" s="2702"/>
      <c r="K112" s="4092"/>
      <c r="L112" s="2702"/>
      <c r="M112" s="3409"/>
      <c r="N112" s="4077"/>
      <c r="O112" s="4080"/>
      <c r="P112" s="4080"/>
      <c r="Q112" s="3377"/>
      <c r="R112" s="3434"/>
      <c r="S112" s="4083"/>
      <c r="T112" s="4058"/>
      <c r="U112" s="4059"/>
      <c r="V112" s="4046"/>
      <c r="W112" s="4086"/>
      <c r="X112" s="2180">
        <v>4422064.54</v>
      </c>
      <c r="Y112" s="2183"/>
      <c r="Z112" s="2183"/>
      <c r="AA112" s="896" t="s">
        <v>1362</v>
      </c>
      <c r="AB112" s="898">
        <v>84</v>
      </c>
      <c r="AC112" s="897" t="s">
        <v>1358</v>
      </c>
      <c r="AD112" s="2318"/>
      <c r="AE112" s="3463"/>
      <c r="AF112" s="2318"/>
      <c r="AG112" s="3463"/>
      <c r="AH112" s="2318"/>
      <c r="AI112" s="3463"/>
      <c r="AJ112" s="2318"/>
      <c r="AK112" s="3463"/>
      <c r="AL112" s="2318"/>
      <c r="AM112" s="3463"/>
      <c r="AN112" s="2318"/>
      <c r="AO112" s="3463"/>
      <c r="AP112" s="3463"/>
      <c r="AQ112" s="3463"/>
      <c r="AR112" s="3463"/>
      <c r="AS112" s="3463"/>
      <c r="AT112" s="3463"/>
      <c r="AU112" s="3463"/>
      <c r="AV112" s="3463"/>
      <c r="AW112" s="3463"/>
      <c r="AX112" s="3463"/>
      <c r="AY112" s="3463"/>
      <c r="AZ112" s="3463"/>
      <c r="BA112" s="3463"/>
      <c r="BB112" s="4094"/>
      <c r="BC112" s="3463"/>
      <c r="BD112" s="4094"/>
      <c r="BE112" s="3463"/>
      <c r="BF112" s="4094"/>
      <c r="BG112" s="3463"/>
      <c r="BH112" s="3463"/>
      <c r="BI112" s="3463"/>
      <c r="BJ112" s="3463"/>
      <c r="BK112" s="4093"/>
      <c r="BL112" s="4093"/>
      <c r="BM112" s="2463"/>
      <c r="BN112" s="3463"/>
      <c r="BO112" s="3463"/>
      <c r="BP112" s="3463"/>
      <c r="BQ112" s="4007"/>
      <c r="BR112" s="4007"/>
      <c r="BS112" s="4007"/>
      <c r="BT112" s="4007"/>
      <c r="BU112" s="3463"/>
    </row>
    <row r="113" spans="1:73" s="70" customFormat="1" ht="36" customHeight="1" x14ac:dyDescent="0.25">
      <c r="A113" s="2836"/>
      <c r="B113" s="2837"/>
      <c r="C113" s="1883"/>
      <c r="D113" s="1884"/>
      <c r="E113" s="4068"/>
      <c r="F113" s="4068"/>
      <c r="G113" s="3377"/>
      <c r="H113" s="4077"/>
      <c r="I113" s="3405"/>
      <c r="J113" s="2702"/>
      <c r="K113" s="4092"/>
      <c r="L113" s="2702"/>
      <c r="M113" s="3409"/>
      <c r="N113" s="4077"/>
      <c r="O113" s="4080"/>
      <c r="P113" s="4080"/>
      <c r="Q113" s="3377"/>
      <c r="R113" s="3434"/>
      <c r="S113" s="4083"/>
      <c r="T113" s="4058"/>
      <c r="U113" s="4059"/>
      <c r="V113" s="4046"/>
      <c r="W113" s="4086"/>
      <c r="X113" s="2180">
        <f>75779173.57</f>
        <v>75779173.569999993</v>
      </c>
      <c r="Y113" s="2183">
        <v>18108262.289999999</v>
      </c>
      <c r="Z113" s="2183">
        <f>+Y113</f>
        <v>18108262.289999999</v>
      </c>
      <c r="AA113" s="896" t="s">
        <v>1363</v>
      </c>
      <c r="AB113" s="1914">
        <v>6</v>
      </c>
      <c r="AC113" s="897" t="s">
        <v>1356</v>
      </c>
      <c r="AD113" s="2318"/>
      <c r="AE113" s="3463"/>
      <c r="AF113" s="2318"/>
      <c r="AG113" s="3463"/>
      <c r="AH113" s="2318"/>
      <c r="AI113" s="3463"/>
      <c r="AJ113" s="2318"/>
      <c r="AK113" s="3463"/>
      <c r="AL113" s="2318"/>
      <c r="AM113" s="3463"/>
      <c r="AN113" s="2318"/>
      <c r="AO113" s="3463"/>
      <c r="AP113" s="3463"/>
      <c r="AQ113" s="3463"/>
      <c r="AR113" s="3463"/>
      <c r="AS113" s="3463"/>
      <c r="AT113" s="3463"/>
      <c r="AU113" s="3463"/>
      <c r="AV113" s="3463"/>
      <c r="AW113" s="3463"/>
      <c r="AX113" s="3463"/>
      <c r="AY113" s="3463"/>
      <c r="AZ113" s="3463"/>
      <c r="BA113" s="3463"/>
      <c r="BB113" s="4094"/>
      <c r="BC113" s="3463"/>
      <c r="BD113" s="4094"/>
      <c r="BE113" s="3463"/>
      <c r="BF113" s="4094"/>
      <c r="BG113" s="3463"/>
      <c r="BH113" s="3463"/>
      <c r="BI113" s="3463"/>
      <c r="BJ113" s="3463"/>
      <c r="BK113" s="4093"/>
      <c r="BL113" s="4093"/>
      <c r="BM113" s="2463"/>
      <c r="BN113" s="3463"/>
      <c r="BO113" s="3463"/>
      <c r="BP113" s="3463"/>
      <c r="BQ113" s="4007"/>
      <c r="BR113" s="4007"/>
      <c r="BS113" s="4007"/>
      <c r="BT113" s="4007"/>
      <c r="BU113" s="3463"/>
    </row>
    <row r="114" spans="1:73" s="70" customFormat="1" ht="36" customHeight="1" x14ac:dyDescent="0.25">
      <c r="A114" s="2836"/>
      <c r="B114" s="2837"/>
      <c r="C114" s="1883"/>
      <c r="D114" s="1884"/>
      <c r="E114" s="4068"/>
      <c r="F114" s="4068"/>
      <c r="G114" s="3377"/>
      <c r="H114" s="4077"/>
      <c r="I114" s="3405"/>
      <c r="J114" s="2702"/>
      <c r="K114" s="4092"/>
      <c r="L114" s="2702"/>
      <c r="M114" s="3409"/>
      <c r="N114" s="4077"/>
      <c r="O114" s="4080"/>
      <c r="P114" s="4080"/>
      <c r="Q114" s="3377"/>
      <c r="R114" s="3434"/>
      <c r="S114" s="4083"/>
      <c r="T114" s="4058"/>
      <c r="U114" s="4059"/>
      <c r="V114" s="4046"/>
      <c r="W114" s="4086"/>
      <c r="X114" s="2180">
        <v>11607919.42</v>
      </c>
      <c r="Y114" s="2183"/>
      <c r="Z114" s="2183"/>
      <c r="AA114" s="896" t="s">
        <v>1364</v>
      </c>
      <c r="AB114" s="898">
        <v>84</v>
      </c>
      <c r="AC114" s="897" t="s">
        <v>1358</v>
      </c>
      <c r="AD114" s="2318"/>
      <c r="AE114" s="3463"/>
      <c r="AF114" s="2318"/>
      <c r="AG114" s="3463"/>
      <c r="AH114" s="2318"/>
      <c r="AI114" s="3463"/>
      <c r="AJ114" s="2318"/>
      <c r="AK114" s="3463"/>
      <c r="AL114" s="2318"/>
      <c r="AM114" s="3463"/>
      <c r="AN114" s="2318"/>
      <c r="AO114" s="3463"/>
      <c r="AP114" s="3463"/>
      <c r="AQ114" s="3463"/>
      <c r="AR114" s="3463"/>
      <c r="AS114" s="3463"/>
      <c r="AT114" s="3463"/>
      <c r="AU114" s="3463"/>
      <c r="AV114" s="3463"/>
      <c r="AW114" s="3463"/>
      <c r="AX114" s="3463"/>
      <c r="AY114" s="3463"/>
      <c r="AZ114" s="3463"/>
      <c r="BA114" s="3463"/>
      <c r="BB114" s="4094"/>
      <c r="BC114" s="3463"/>
      <c r="BD114" s="4094"/>
      <c r="BE114" s="3463"/>
      <c r="BF114" s="4094"/>
      <c r="BG114" s="3463"/>
      <c r="BH114" s="3463"/>
      <c r="BI114" s="3463"/>
      <c r="BJ114" s="3463"/>
      <c r="BK114" s="4093"/>
      <c r="BL114" s="4093"/>
      <c r="BM114" s="2463"/>
      <c r="BN114" s="3463"/>
      <c r="BO114" s="3463"/>
      <c r="BP114" s="3463"/>
      <c r="BQ114" s="4007"/>
      <c r="BR114" s="4007"/>
      <c r="BS114" s="4007"/>
      <c r="BT114" s="4007"/>
      <c r="BU114" s="3463"/>
    </row>
    <row r="115" spans="1:73" s="70" customFormat="1" ht="36" customHeight="1" x14ac:dyDescent="0.25">
      <c r="A115" s="2836"/>
      <c r="B115" s="2837"/>
      <c r="C115" s="1883"/>
      <c r="D115" s="1884"/>
      <c r="E115" s="4068"/>
      <c r="F115" s="4068"/>
      <c r="G115" s="3377"/>
      <c r="H115" s="4077"/>
      <c r="I115" s="3405"/>
      <c r="J115" s="2702"/>
      <c r="K115" s="4092"/>
      <c r="L115" s="2702"/>
      <c r="M115" s="3409"/>
      <c r="N115" s="4077"/>
      <c r="O115" s="4080"/>
      <c r="P115" s="4080"/>
      <c r="Q115" s="3377"/>
      <c r="R115" s="3434"/>
      <c r="S115" s="4083"/>
      <c r="T115" s="4058"/>
      <c r="U115" s="4059"/>
      <c r="V115" s="4046"/>
      <c r="W115" s="4086"/>
      <c r="X115" s="2180">
        <v>23311024.300000001</v>
      </c>
      <c r="Y115" s="2183">
        <v>7624531.4900000002</v>
      </c>
      <c r="Z115" s="2183">
        <f>+Y115</f>
        <v>7624531.4900000002</v>
      </c>
      <c r="AA115" s="896" t="s">
        <v>1365</v>
      </c>
      <c r="AB115" s="1914">
        <v>6</v>
      </c>
      <c r="AC115" s="897" t="s">
        <v>1356</v>
      </c>
      <c r="AD115" s="2318"/>
      <c r="AE115" s="3463"/>
      <c r="AF115" s="2318"/>
      <c r="AG115" s="3463"/>
      <c r="AH115" s="2318"/>
      <c r="AI115" s="3463"/>
      <c r="AJ115" s="2318"/>
      <c r="AK115" s="3463"/>
      <c r="AL115" s="2318"/>
      <c r="AM115" s="3463"/>
      <c r="AN115" s="2318"/>
      <c r="AO115" s="3463"/>
      <c r="AP115" s="3463"/>
      <c r="AQ115" s="3463"/>
      <c r="AR115" s="3463"/>
      <c r="AS115" s="3463"/>
      <c r="AT115" s="3463"/>
      <c r="AU115" s="3463"/>
      <c r="AV115" s="3463"/>
      <c r="AW115" s="3463"/>
      <c r="AX115" s="3463"/>
      <c r="AY115" s="3463"/>
      <c r="AZ115" s="3463"/>
      <c r="BA115" s="3463"/>
      <c r="BB115" s="4094"/>
      <c r="BC115" s="3463"/>
      <c r="BD115" s="4094"/>
      <c r="BE115" s="3463"/>
      <c r="BF115" s="4094"/>
      <c r="BG115" s="3463"/>
      <c r="BH115" s="3463"/>
      <c r="BI115" s="3463"/>
      <c r="BJ115" s="3463"/>
      <c r="BK115" s="4093"/>
      <c r="BL115" s="4093"/>
      <c r="BM115" s="2463"/>
      <c r="BN115" s="3463"/>
      <c r="BO115" s="3463"/>
      <c r="BP115" s="3463"/>
      <c r="BQ115" s="4007"/>
      <c r="BR115" s="4007"/>
      <c r="BS115" s="4007"/>
      <c r="BT115" s="4007"/>
      <c r="BU115" s="3463"/>
    </row>
    <row r="116" spans="1:73" s="70" customFormat="1" ht="36" customHeight="1" x14ac:dyDescent="0.25">
      <c r="A116" s="2836"/>
      <c r="B116" s="2837"/>
      <c r="C116" s="1883"/>
      <c r="D116" s="1884"/>
      <c r="E116" s="4068"/>
      <c r="F116" s="4068"/>
      <c r="G116" s="3377"/>
      <c r="H116" s="4077"/>
      <c r="I116" s="3405"/>
      <c r="J116" s="2702"/>
      <c r="K116" s="4092"/>
      <c r="L116" s="2702"/>
      <c r="M116" s="3409"/>
      <c r="N116" s="4077"/>
      <c r="O116" s="4080"/>
      <c r="P116" s="4080"/>
      <c r="Q116" s="3377"/>
      <c r="R116" s="3434"/>
      <c r="S116" s="4083"/>
      <c r="T116" s="4058"/>
      <c r="U116" s="4059"/>
      <c r="V116" s="4046"/>
      <c r="W116" s="4086"/>
      <c r="X116" s="2180">
        <v>3592927.44</v>
      </c>
      <c r="Y116" s="2183"/>
      <c r="Z116" s="2183"/>
      <c r="AA116" s="896" t="s">
        <v>1366</v>
      </c>
      <c r="AB116" s="898">
        <v>84</v>
      </c>
      <c r="AC116" s="897" t="s">
        <v>1358</v>
      </c>
      <c r="AD116" s="2318"/>
      <c r="AE116" s="3463"/>
      <c r="AF116" s="2318"/>
      <c r="AG116" s="3463"/>
      <c r="AH116" s="2318"/>
      <c r="AI116" s="3463"/>
      <c r="AJ116" s="2318"/>
      <c r="AK116" s="3463"/>
      <c r="AL116" s="2318"/>
      <c r="AM116" s="3463"/>
      <c r="AN116" s="2318"/>
      <c r="AO116" s="3463"/>
      <c r="AP116" s="3463"/>
      <c r="AQ116" s="3463"/>
      <c r="AR116" s="3463"/>
      <c r="AS116" s="3463"/>
      <c r="AT116" s="3463"/>
      <c r="AU116" s="3463"/>
      <c r="AV116" s="3463"/>
      <c r="AW116" s="3463"/>
      <c r="AX116" s="3463"/>
      <c r="AY116" s="3463"/>
      <c r="AZ116" s="3463"/>
      <c r="BA116" s="3463"/>
      <c r="BB116" s="4094"/>
      <c r="BC116" s="3463"/>
      <c r="BD116" s="4094"/>
      <c r="BE116" s="3463"/>
      <c r="BF116" s="4094"/>
      <c r="BG116" s="3463"/>
      <c r="BH116" s="3463"/>
      <c r="BI116" s="3463"/>
      <c r="BJ116" s="3463"/>
      <c r="BK116" s="4093"/>
      <c r="BL116" s="4093"/>
      <c r="BM116" s="2463"/>
      <c r="BN116" s="3463"/>
      <c r="BO116" s="3463"/>
      <c r="BP116" s="3463"/>
      <c r="BQ116" s="4007"/>
      <c r="BR116" s="4007"/>
      <c r="BS116" s="4007"/>
      <c r="BT116" s="4007"/>
      <c r="BU116" s="3463"/>
    </row>
    <row r="117" spans="1:73" s="70" customFormat="1" ht="36" customHeight="1" x14ac:dyDescent="0.25">
      <c r="A117" s="2836"/>
      <c r="B117" s="2837"/>
      <c r="C117" s="1883"/>
      <c r="D117" s="1884"/>
      <c r="E117" s="4068"/>
      <c r="F117" s="4068"/>
      <c r="G117" s="3377"/>
      <c r="H117" s="4077"/>
      <c r="I117" s="3405"/>
      <c r="J117" s="2702"/>
      <c r="K117" s="4092"/>
      <c r="L117" s="2702"/>
      <c r="M117" s="3409"/>
      <c r="N117" s="4077"/>
      <c r="O117" s="4080"/>
      <c r="P117" s="4080"/>
      <c r="Q117" s="3377"/>
      <c r="R117" s="3434"/>
      <c r="S117" s="4083"/>
      <c r="T117" s="4058"/>
      <c r="U117" s="4059"/>
      <c r="V117" s="4046"/>
      <c r="W117" s="4086"/>
      <c r="X117" s="2180">
        <v>162290857.18000001</v>
      </c>
      <c r="Y117" s="2183">
        <v>43841056.090000004</v>
      </c>
      <c r="Z117" s="2183">
        <f>+Y117</f>
        <v>43841056.090000004</v>
      </c>
      <c r="AA117" s="896" t="s">
        <v>1367</v>
      </c>
      <c r="AB117" s="1914">
        <v>6</v>
      </c>
      <c r="AC117" s="897" t="s">
        <v>1356</v>
      </c>
      <c r="AD117" s="2318"/>
      <c r="AE117" s="3463"/>
      <c r="AF117" s="2318"/>
      <c r="AG117" s="3463"/>
      <c r="AH117" s="2318"/>
      <c r="AI117" s="3463"/>
      <c r="AJ117" s="2318"/>
      <c r="AK117" s="3463"/>
      <c r="AL117" s="2318"/>
      <c r="AM117" s="3463"/>
      <c r="AN117" s="2318"/>
      <c r="AO117" s="3463"/>
      <c r="AP117" s="3463"/>
      <c r="AQ117" s="3463"/>
      <c r="AR117" s="3463"/>
      <c r="AS117" s="3463"/>
      <c r="AT117" s="3463"/>
      <c r="AU117" s="3463"/>
      <c r="AV117" s="3463"/>
      <c r="AW117" s="3463"/>
      <c r="AX117" s="3463"/>
      <c r="AY117" s="3463"/>
      <c r="AZ117" s="3463"/>
      <c r="BA117" s="3463"/>
      <c r="BB117" s="4094"/>
      <c r="BC117" s="3463"/>
      <c r="BD117" s="4094"/>
      <c r="BE117" s="3463"/>
      <c r="BF117" s="4094"/>
      <c r="BG117" s="3463"/>
      <c r="BH117" s="3463"/>
      <c r="BI117" s="3463"/>
      <c r="BJ117" s="3463"/>
      <c r="BK117" s="4093"/>
      <c r="BL117" s="4093"/>
      <c r="BM117" s="2463"/>
      <c r="BN117" s="3463"/>
      <c r="BO117" s="3463"/>
      <c r="BP117" s="3463"/>
      <c r="BQ117" s="4007"/>
      <c r="BR117" s="4007"/>
      <c r="BS117" s="4007"/>
      <c r="BT117" s="4007"/>
      <c r="BU117" s="3463"/>
    </row>
    <row r="118" spans="1:73" s="70" customFormat="1" ht="36" customHeight="1" x14ac:dyDescent="0.25">
      <c r="A118" s="2836"/>
      <c r="B118" s="2837"/>
      <c r="C118" s="1883"/>
      <c r="D118" s="1884"/>
      <c r="E118" s="4068"/>
      <c r="F118" s="4068"/>
      <c r="G118" s="3377"/>
      <c r="H118" s="4077"/>
      <c r="I118" s="3405"/>
      <c r="J118" s="2702"/>
      <c r="K118" s="4092"/>
      <c r="L118" s="2702"/>
      <c r="M118" s="3409"/>
      <c r="N118" s="4077"/>
      <c r="O118" s="4080"/>
      <c r="P118" s="4080"/>
      <c r="Q118" s="3377"/>
      <c r="R118" s="3434"/>
      <c r="S118" s="4083"/>
      <c r="T118" s="4058"/>
      <c r="U118" s="4059"/>
      <c r="V118" s="4046"/>
      <c r="W118" s="4086"/>
      <c r="X118" s="2180">
        <v>24874113.039999999</v>
      </c>
      <c r="Y118" s="2183"/>
      <c r="Z118" s="2183"/>
      <c r="AA118" s="896" t="s">
        <v>1368</v>
      </c>
      <c r="AB118" s="898">
        <v>84</v>
      </c>
      <c r="AC118" s="897" t="s">
        <v>1358</v>
      </c>
      <c r="AD118" s="2318"/>
      <c r="AE118" s="3463"/>
      <c r="AF118" s="2318"/>
      <c r="AG118" s="3463"/>
      <c r="AH118" s="2318"/>
      <c r="AI118" s="3463"/>
      <c r="AJ118" s="2318"/>
      <c r="AK118" s="3463"/>
      <c r="AL118" s="2318"/>
      <c r="AM118" s="3463"/>
      <c r="AN118" s="2318"/>
      <c r="AO118" s="3463"/>
      <c r="AP118" s="3463"/>
      <c r="AQ118" s="3463"/>
      <c r="AR118" s="3463"/>
      <c r="AS118" s="3463"/>
      <c r="AT118" s="3463"/>
      <c r="AU118" s="3463"/>
      <c r="AV118" s="3463"/>
      <c r="AW118" s="3463"/>
      <c r="AX118" s="3463"/>
      <c r="AY118" s="3463"/>
      <c r="AZ118" s="3463"/>
      <c r="BA118" s="3463"/>
      <c r="BB118" s="4094"/>
      <c r="BC118" s="3463"/>
      <c r="BD118" s="4094"/>
      <c r="BE118" s="3463"/>
      <c r="BF118" s="4094"/>
      <c r="BG118" s="3463"/>
      <c r="BH118" s="3463"/>
      <c r="BI118" s="3463"/>
      <c r="BJ118" s="3463"/>
      <c r="BK118" s="4093"/>
      <c r="BL118" s="4093"/>
      <c r="BM118" s="2463"/>
      <c r="BN118" s="3463"/>
      <c r="BO118" s="3463"/>
      <c r="BP118" s="3463"/>
      <c r="BQ118" s="4007"/>
      <c r="BR118" s="4007"/>
      <c r="BS118" s="4007"/>
      <c r="BT118" s="4007"/>
      <c r="BU118" s="3463"/>
    </row>
    <row r="119" spans="1:73" s="70" customFormat="1" ht="36" customHeight="1" x14ac:dyDescent="0.25">
      <c r="A119" s="2836"/>
      <c r="B119" s="2837"/>
      <c r="C119" s="1883"/>
      <c r="D119" s="1884"/>
      <c r="E119" s="4068"/>
      <c r="F119" s="4068"/>
      <c r="G119" s="3377"/>
      <c r="H119" s="4077"/>
      <c r="I119" s="3405"/>
      <c r="J119" s="2702"/>
      <c r="K119" s="4092"/>
      <c r="L119" s="2702"/>
      <c r="M119" s="3409"/>
      <c r="N119" s="4077"/>
      <c r="O119" s="4080"/>
      <c r="P119" s="4080"/>
      <c r="Q119" s="3377"/>
      <c r="R119" s="3434"/>
      <c r="S119" s="4083"/>
      <c r="T119" s="4058"/>
      <c r="U119" s="4059"/>
      <c r="V119" s="4046"/>
      <c r="W119" s="4086"/>
      <c r="X119" s="2180">
        <v>117569276.95</v>
      </c>
      <c r="Y119" s="2183">
        <v>30974659.18</v>
      </c>
      <c r="Z119" s="2183">
        <f>+Y119</f>
        <v>30974659.18</v>
      </c>
      <c r="AA119" s="896" t="s">
        <v>1369</v>
      </c>
      <c r="AB119" s="1914">
        <v>6</v>
      </c>
      <c r="AC119" s="897" t="s">
        <v>1356</v>
      </c>
      <c r="AD119" s="2318"/>
      <c r="AE119" s="3463"/>
      <c r="AF119" s="2318"/>
      <c r="AG119" s="3463"/>
      <c r="AH119" s="2318"/>
      <c r="AI119" s="3463"/>
      <c r="AJ119" s="2318"/>
      <c r="AK119" s="3463"/>
      <c r="AL119" s="2318"/>
      <c r="AM119" s="3463"/>
      <c r="AN119" s="2318"/>
      <c r="AO119" s="3463"/>
      <c r="AP119" s="3463"/>
      <c r="AQ119" s="3463"/>
      <c r="AR119" s="3463"/>
      <c r="AS119" s="3463"/>
      <c r="AT119" s="3463"/>
      <c r="AU119" s="3463"/>
      <c r="AV119" s="3463"/>
      <c r="AW119" s="3463"/>
      <c r="AX119" s="3463"/>
      <c r="AY119" s="3463"/>
      <c r="AZ119" s="3463"/>
      <c r="BA119" s="3463"/>
      <c r="BB119" s="4094"/>
      <c r="BC119" s="3463"/>
      <c r="BD119" s="4094"/>
      <c r="BE119" s="3463"/>
      <c r="BF119" s="4094"/>
      <c r="BG119" s="3463"/>
      <c r="BH119" s="3463"/>
      <c r="BI119" s="3463"/>
      <c r="BJ119" s="3463"/>
      <c r="BK119" s="4093"/>
      <c r="BL119" s="4093"/>
      <c r="BM119" s="2463"/>
      <c r="BN119" s="3463"/>
      <c r="BO119" s="3463"/>
      <c r="BP119" s="3463"/>
      <c r="BQ119" s="4007"/>
      <c r="BR119" s="4007"/>
      <c r="BS119" s="4007"/>
      <c r="BT119" s="4007"/>
      <c r="BU119" s="3463"/>
    </row>
    <row r="120" spans="1:73" s="70" customFormat="1" ht="36" customHeight="1" x14ac:dyDescent="0.25">
      <c r="A120" s="2836"/>
      <c r="B120" s="2837"/>
      <c r="C120" s="1883"/>
      <c r="D120" s="1884"/>
      <c r="E120" s="4068"/>
      <c r="F120" s="4068"/>
      <c r="G120" s="3377"/>
      <c r="H120" s="4077"/>
      <c r="I120" s="3405"/>
      <c r="J120" s="2702"/>
      <c r="K120" s="4092"/>
      <c r="L120" s="2702"/>
      <c r="M120" s="3409"/>
      <c r="N120" s="4077"/>
      <c r="O120" s="4080"/>
      <c r="P120" s="4080"/>
      <c r="Q120" s="3377"/>
      <c r="R120" s="3434"/>
      <c r="S120" s="4083"/>
      <c r="T120" s="4058"/>
      <c r="U120" s="4059"/>
      <c r="V120" s="4046"/>
      <c r="W120" s="4086"/>
      <c r="X120" s="2180">
        <v>17964637.190000001</v>
      </c>
      <c r="Y120" s="2183">
        <v>0</v>
      </c>
      <c r="Z120" s="2183">
        <v>0</v>
      </c>
      <c r="AA120" s="896" t="s">
        <v>1370</v>
      </c>
      <c r="AB120" s="898">
        <v>84</v>
      </c>
      <c r="AC120" s="897" t="s">
        <v>1358</v>
      </c>
      <c r="AD120" s="2318"/>
      <c r="AE120" s="3463"/>
      <c r="AF120" s="2318"/>
      <c r="AG120" s="3463"/>
      <c r="AH120" s="2318"/>
      <c r="AI120" s="3463"/>
      <c r="AJ120" s="2318"/>
      <c r="AK120" s="3463"/>
      <c r="AL120" s="2318"/>
      <c r="AM120" s="3463"/>
      <c r="AN120" s="2318"/>
      <c r="AO120" s="3463"/>
      <c r="AP120" s="3463"/>
      <c r="AQ120" s="3463"/>
      <c r="AR120" s="3463"/>
      <c r="AS120" s="3463"/>
      <c r="AT120" s="3463"/>
      <c r="AU120" s="3463"/>
      <c r="AV120" s="3463"/>
      <c r="AW120" s="3463"/>
      <c r="AX120" s="3463"/>
      <c r="AY120" s="3463"/>
      <c r="AZ120" s="3463"/>
      <c r="BA120" s="3463"/>
      <c r="BB120" s="4094"/>
      <c r="BC120" s="3463"/>
      <c r="BD120" s="4094"/>
      <c r="BE120" s="3463"/>
      <c r="BF120" s="4094"/>
      <c r="BG120" s="3463"/>
      <c r="BH120" s="3463"/>
      <c r="BI120" s="3463"/>
      <c r="BJ120" s="3463"/>
      <c r="BK120" s="4093"/>
      <c r="BL120" s="4093"/>
      <c r="BM120" s="2463"/>
      <c r="BN120" s="3463"/>
      <c r="BO120" s="3463"/>
      <c r="BP120" s="3463"/>
      <c r="BQ120" s="4007"/>
      <c r="BR120" s="4007"/>
      <c r="BS120" s="4007"/>
      <c r="BT120" s="4007"/>
      <c r="BU120" s="3463"/>
    </row>
    <row r="121" spans="1:73" s="70" customFormat="1" ht="36" customHeight="1" x14ac:dyDescent="0.25">
      <c r="A121" s="2836"/>
      <c r="B121" s="2837"/>
      <c r="C121" s="1883"/>
      <c r="D121" s="1884"/>
      <c r="E121" s="4068"/>
      <c r="F121" s="4068"/>
      <c r="G121" s="3377"/>
      <c r="H121" s="4077"/>
      <c r="I121" s="3405"/>
      <c r="J121" s="2702"/>
      <c r="K121" s="4092"/>
      <c r="L121" s="2702"/>
      <c r="M121" s="3409"/>
      <c r="N121" s="4077"/>
      <c r="O121" s="4080"/>
      <c r="P121" s="4080"/>
      <c r="Q121" s="3377"/>
      <c r="R121" s="3434"/>
      <c r="S121" s="4083"/>
      <c r="T121" s="4058"/>
      <c r="U121" s="4059"/>
      <c r="V121" s="4046"/>
      <c r="W121" s="4086"/>
      <c r="X121" s="2180">
        <v>62760450.049999997</v>
      </c>
      <c r="Y121" s="2183">
        <v>16678662.65</v>
      </c>
      <c r="Z121" s="2183">
        <f>+Y121</f>
        <v>16678662.65</v>
      </c>
      <c r="AA121" s="896" t="s">
        <v>1371</v>
      </c>
      <c r="AB121" s="1914">
        <v>6</v>
      </c>
      <c r="AC121" s="897" t="s">
        <v>1356</v>
      </c>
      <c r="AD121" s="2318"/>
      <c r="AE121" s="3463"/>
      <c r="AF121" s="2318"/>
      <c r="AG121" s="3463"/>
      <c r="AH121" s="2318"/>
      <c r="AI121" s="3463"/>
      <c r="AJ121" s="2318"/>
      <c r="AK121" s="3463"/>
      <c r="AL121" s="2318"/>
      <c r="AM121" s="3463"/>
      <c r="AN121" s="2318"/>
      <c r="AO121" s="3463"/>
      <c r="AP121" s="3463"/>
      <c r="AQ121" s="3463"/>
      <c r="AR121" s="3463"/>
      <c r="AS121" s="3463"/>
      <c r="AT121" s="3463"/>
      <c r="AU121" s="3463"/>
      <c r="AV121" s="3463"/>
      <c r="AW121" s="3463"/>
      <c r="AX121" s="3463"/>
      <c r="AY121" s="3463"/>
      <c r="AZ121" s="3463"/>
      <c r="BA121" s="3463"/>
      <c r="BB121" s="4094"/>
      <c r="BC121" s="3463"/>
      <c r="BD121" s="4094"/>
      <c r="BE121" s="3463"/>
      <c r="BF121" s="4094"/>
      <c r="BG121" s="3463"/>
      <c r="BH121" s="3463"/>
      <c r="BI121" s="3463"/>
      <c r="BJ121" s="3463"/>
      <c r="BK121" s="4093"/>
      <c r="BL121" s="4093"/>
      <c r="BM121" s="2463"/>
      <c r="BN121" s="3463"/>
      <c r="BO121" s="3463"/>
      <c r="BP121" s="3463"/>
      <c r="BQ121" s="4007"/>
      <c r="BR121" s="4007"/>
      <c r="BS121" s="4007"/>
      <c r="BT121" s="4007"/>
      <c r="BU121" s="3463"/>
    </row>
    <row r="122" spans="1:73" s="70" customFormat="1" ht="36" customHeight="1" x14ac:dyDescent="0.25">
      <c r="A122" s="2836"/>
      <c r="B122" s="2837"/>
      <c r="C122" s="1883"/>
      <c r="D122" s="1884"/>
      <c r="E122" s="4068"/>
      <c r="F122" s="4068"/>
      <c r="G122" s="3377"/>
      <c r="H122" s="4077"/>
      <c r="I122" s="3405"/>
      <c r="J122" s="2702"/>
      <c r="K122" s="4092"/>
      <c r="L122" s="2702"/>
      <c r="M122" s="3409"/>
      <c r="N122" s="4077"/>
      <c r="O122" s="4080"/>
      <c r="P122" s="4080"/>
      <c r="Q122" s="3377"/>
      <c r="R122" s="3434"/>
      <c r="S122" s="4083"/>
      <c r="T122" s="4058"/>
      <c r="U122" s="4059"/>
      <c r="V122" s="4046"/>
      <c r="W122" s="4086"/>
      <c r="X122" s="2180">
        <v>9396887.1400000006</v>
      </c>
      <c r="Y122" s="2183">
        <v>0</v>
      </c>
      <c r="Z122" s="2183">
        <v>0</v>
      </c>
      <c r="AA122" s="896" t="s">
        <v>1372</v>
      </c>
      <c r="AB122" s="898">
        <v>84</v>
      </c>
      <c r="AC122" s="897" t="s">
        <v>1358</v>
      </c>
      <c r="AD122" s="2318"/>
      <c r="AE122" s="3463"/>
      <c r="AF122" s="2318"/>
      <c r="AG122" s="3463"/>
      <c r="AH122" s="2318"/>
      <c r="AI122" s="3463"/>
      <c r="AJ122" s="2318"/>
      <c r="AK122" s="3463"/>
      <c r="AL122" s="2318"/>
      <c r="AM122" s="3463"/>
      <c r="AN122" s="2318"/>
      <c r="AO122" s="3463"/>
      <c r="AP122" s="3463"/>
      <c r="AQ122" s="3463"/>
      <c r="AR122" s="3463"/>
      <c r="AS122" s="3463"/>
      <c r="AT122" s="3463"/>
      <c r="AU122" s="3463"/>
      <c r="AV122" s="3463"/>
      <c r="AW122" s="3463"/>
      <c r="AX122" s="3463"/>
      <c r="AY122" s="3463"/>
      <c r="AZ122" s="3463"/>
      <c r="BA122" s="3463"/>
      <c r="BB122" s="4094"/>
      <c r="BC122" s="3463"/>
      <c r="BD122" s="4094"/>
      <c r="BE122" s="3463"/>
      <c r="BF122" s="4094"/>
      <c r="BG122" s="3463"/>
      <c r="BH122" s="3463"/>
      <c r="BI122" s="3463"/>
      <c r="BJ122" s="3463"/>
      <c r="BK122" s="4093"/>
      <c r="BL122" s="4093"/>
      <c r="BM122" s="2463"/>
      <c r="BN122" s="3463"/>
      <c r="BO122" s="3463"/>
      <c r="BP122" s="3463"/>
      <c r="BQ122" s="4007"/>
      <c r="BR122" s="4007"/>
      <c r="BS122" s="4007"/>
      <c r="BT122" s="4007"/>
      <c r="BU122" s="3463"/>
    </row>
    <row r="123" spans="1:73" s="70" customFormat="1" ht="36" customHeight="1" x14ac:dyDescent="0.25">
      <c r="A123" s="2836"/>
      <c r="B123" s="2837"/>
      <c r="C123" s="1883"/>
      <c r="D123" s="1884"/>
      <c r="E123" s="4068"/>
      <c r="F123" s="4068"/>
      <c r="G123" s="3377"/>
      <c r="H123" s="4077"/>
      <c r="I123" s="3405"/>
      <c r="J123" s="2702"/>
      <c r="K123" s="4092"/>
      <c r="L123" s="2702"/>
      <c r="M123" s="3409"/>
      <c r="N123" s="4077"/>
      <c r="O123" s="4080"/>
      <c r="P123" s="4080"/>
      <c r="Q123" s="3377"/>
      <c r="R123" s="3434"/>
      <c r="S123" s="4083"/>
      <c r="T123" s="4058"/>
      <c r="U123" s="4059"/>
      <c r="V123" s="4046"/>
      <c r="W123" s="4086"/>
      <c r="X123" s="2180">
        <v>28690491.449999999</v>
      </c>
      <c r="Y123" s="2183">
        <v>8101064.71</v>
      </c>
      <c r="Z123" s="2183">
        <f>+Y123</f>
        <v>8101064.71</v>
      </c>
      <c r="AA123" s="896" t="s">
        <v>1373</v>
      </c>
      <c r="AB123" s="1914">
        <v>6</v>
      </c>
      <c r="AC123" s="897" t="s">
        <v>1356</v>
      </c>
      <c r="AD123" s="2318"/>
      <c r="AE123" s="3463"/>
      <c r="AF123" s="2318"/>
      <c r="AG123" s="3463"/>
      <c r="AH123" s="2318"/>
      <c r="AI123" s="3463"/>
      <c r="AJ123" s="2318"/>
      <c r="AK123" s="3463"/>
      <c r="AL123" s="2318"/>
      <c r="AM123" s="3463"/>
      <c r="AN123" s="2318"/>
      <c r="AO123" s="3463"/>
      <c r="AP123" s="3463"/>
      <c r="AQ123" s="3463"/>
      <c r="AR123" s="3463"/>
      <c r="AS123" s="3463"/>
      <c r="AT123" s="3463"/>
      <c r="AU123" s="3463"/>
      <c r="AV123" s="3463"/>
      <c r="AW123" s="3463"/>
      <c r="AX123" s="3463"/>
      <c r="AY123" s="3463"/>
      <c r="AZ123" s="3463"/>
      <c r="BA123" s="3463"/>
      <c r="BB123" s="4094"/>
      <c r="BC123" s="3463"/>
      <c r="BD123" s="4094"/>
      <c r="BE123" s="3463"/>
      <c r="BF123" s="4094"/>
      <c r="BG123" s="3463"/>
      <c r="BH123" s="3463"/>
      <c r="BI123" s="3463"/>
      <c r="BJ123" s="3463"/>
      <c r="BK123" s="4093"/>
      <c r="BL123" s="4093"/>
      <c r="BM123" s="2463"/>
      <c r="BN123" s="3463"/>
      <c r="BO123" s="3463"/>
      <c r="BP123" s="3463"/>
      <c r="BQ123" s="4007"/>
      <c r="BR123" s="4007"/>
      <c r="BS123" s="4007"/>
      <c r="BT123" s="4007"/>
      <c r="BU123" s="3463"/>
    </row>
    <row r="124" spans="1:73" s="70" customFormat="1" ht="36" customHeight="1" x14ac:dyDescent="0.25">
      <c r="A124" s="2836"/>
      <c r="B124" s="2837"/>
      <c r="C124" s="1883"/>
      <c r="D124" s="1884"/>
      <c r="E124" s="4068"/>
      <c r="F124" s="4068"/>
      <c r="G124" s="3377"/>
      <c r="H124" s="4077"/>
      <c r="I124" s="3405"/>
      <c r="J124" s="2702"/>
      <c r="K124" s="4092"/>
      <c r="L124" s="2702"/>
      <c r="M124" s="3409"/>
      <c r="N124" s="4077"/>
      <c r="O124" s="4080"/>
      <c r="P124" s="4080"/>
      <c r="Q124" s="3377"/>
      <c r="R124" s="3434"/>
      <c r="S124" s="4083"/>
      <c r="T124" s="4058"/>
      <c r="U124" s="4059"/>
      <c r="V124" s="4046"/>
      <c r="W124" s="4086"/>
      <c r="X124" s="2180">
        <v>4698443.57</v>
      </c>
      <c r="Y124" s="2183">
        <v>0</v>
      </c>
      <c r="Z124" s="2183">
        <v>0</v>
      </c>
      <c r="AA124" s="896" t="s">
        <v>1374</v>
      </c>
      <c r="AB124" s="898">
        <v>84</v>
      </c>
      <c r="AC124" s="897" t="s">
        <v>1358</v>
      </c>
      <c r="AD124" s="2318"/>
      <c r="AE124" s="3463"/>
      <c r="AF124" s="2318"/>
      <c r="AG124" s="3463"/>
      <c r="AH124" s="2318"/>
      <c r="AI124" s="3463"/>
      <c r="AJ124" s="2318"/>
      <c r="AK124" s="3463"/>
      <c r="AL124" s="2318"/>
      <c r="AM124" s="3463"/>
      <c r="AN124" s="2318"/>
      <c r="AO124" s="3463"/>
      <c r="AP124" s="3463"/>
      <c r="AQ124" s="3463"/>
      <c r="AR124" s="3463"/>
      <c r="AS124" s="3463"/>
      <c r="AT124" s="3463"/>
      <c r="AU124" s="3463"/>
      <c r="AV124" s="3463"/>
      <c r="AW124" s="3463"/>
      <c r="AX124" s="3463"/>
      <c r="AY124" s="3463"/>
      <c r="AZ124" s="3463"/>
      <c r="BA124" s="3463"/>
      <c r="BB124" s="4094"/>
      <c r="BC124" s="3463"/>
      <c r="BD124" s="4094"/>
      <c r="BE124" s="3463"/>
      <c r="BF124" s="4094"/>
      <c r="BG124" s="3463"/>
      <c r="BH124" s="3463"/>
      <c r="BI124" s="3463"/>
      <c r="BJ124" s="3463"/>
      <c r="BK124" s="4093"/>
      <c r="BL124" s="4093"/>
      <c r="BM124" s="2463"/>
      <c r="BN124" s="3463"/>
      <c r="BO124" s="3463"/>
      <c r="BP124" s="3463"/>
      <c r="BQ124" s="4007"/>
      <c r="BR124" s="4007"/>
      <c r="BS124" s="4007"/>
      <c r="BT124" s="4007"/>
      <c r="BU124" s="3463"/>
    </row>
    <row r="125" spans="1:73" s="70" customFormat="1" ht="36" customHeight="1" x14ac:dyDescent="0.25">
      <c r="A125" s="2836"/>
      <c r="B125" s="2837"/>
      <c r="C125" s="1883"/>
      <c r="D125" s="1884"/>
      <c r="E125" s="4068"/>
      <c r="F125" s="4068"/>
      <c r="G125" s="3377"/>
      <c r="H125" s="4077"/>
      <c r="I125" s="3405"/>
      <c r="J125" s="2702"/>
      <c r="K125" s="4092"/>
      <c r="L125" s="2702"/>
      <c r="M125" s="3409"/>
      <c r="N125" s="4077"/>
      <c r="O125" s="4080"/>
      <c r="P125" s="4080"/>
      <c r="Q125" s="3377"/>
      <c r="R125" s="3434"/>
      <c r="S125" s="4083"/>
      <c r="T125" s="4058"/>
      <c r="U125" s="4059"/>
      <c r="V125" s="4046"/>
      <c r="W125" s="4086"/>
      <c r="X125" s="2180">
        <v>48841979.460000001</v>
      </c>
      <c r="Y125" s="2183">
        <v>12866396.890000001</v>
      </c>
      <c r="Z125" s="2183">
        <f>+Y125</f>
        <v>12866396.890000001</v>
      </c>
      <c r="AA125" s="896" t="s">
        <v>1375</v>
      </c>
      <c r="AB125" s="1914">
        <v>6</v>
      </c>
      <c r="AC125" s="897" t="s">
        <v>1356</v>
      </c>
      <c r="AD125" s="2318"/>
      <c r="AE125" s="3463"/>
      <c r="AF125" s="2318"/>
      <c r="AG125" s="3463"/>
      <c r="AH125" s="2318"/>
      <c r="AI125" s="3463"/>
      <c r="AJ125" s="2318"/>
      <c r="AK125" s="3463"/>
      <c r="AL125" s="2318"/>
      <c r="AM125" s="3463"/>
      <c r="AN125" s="2318"/>
      <c r="AO125" s="3463"/>
      <c r="AP125" s="3463"/>
      <c r="AQ125" s="3463"/>
      <c r="AR125" s="3463"/>
      <c r="AS125" s="3463"/>
      <c r="AT125" s="3463"/>
      <c r="AU125" s="3463"/>
      <c r="AV125" s="3463"/>
      <c r="AW125" s="3463"/>
      <c r="AX125" s="3463"/>
      <c r="AY125" s="3463"/>
      <c r="AZ125" s="3463"/>
      <c r="BA125" s="3463"/>
      <c r="BB125" s="4094"/>
      <c r="BC125" s="3463"/>
      <c r="BD125" s="4094"/>
      <c r="BE125" s="3463"/>
      <c r="BF125" s="4094"/>
      <c r="BG125" s="3463"/>
      <c r="BH125" s="3463"/>
      <c r="BI125" s="3463"/>
      <c r="BJ125" s="3463"/>
      <c r="BK125" s="4093"/>
      <c r="BL125" s="4093"/>
      <c r="BM125" s="2463"/>
      <c r="BN125" s="3463"/>
      <c r="BO125" s="3463"/>
      <c r="BP125" s="3463"/>
      <c r="BQ125" s="4007"/>
      <c r="BR125" s="4007"/>
      <c r="BS125" s="4007"/>
      <c r="BT125" s="4007"/>
      <c r="BU125" s="3463"/>
    </row>
    <row r="126" spans="1:73" s="70" customFormat="1" ht="36" customHeight="1" x14ac:dyDescent="0.25">
      <c r="A126" s="2836"/>
      <c r="B126" s="2837"/>
      <c r="C126" s="1883"/>
      <c r="D126" s="1884"/>
      <c r="E126" s="4068"/>
      <c r="F126" s="4068"/>
      <c r="G126" s="3377"/>
      <c r="H126" s="4077"/>
      <c r="I126" s="3405"/>
      <c r="J126" s="2702"/>
      <c r="K126" s="4092"/>
      <c r="L126" s="2702"/>
      <c r="M126" s="3409"/>
      <c r="N126" s="4077"/>
      <c r="O126" s="4080"/>
      <c r="P126" s="4080"/>
      <c r="Q126" s="3377"/>
      <c r="R126" s="3434"/>
      <c r="S126" s="4083"/>
      <c r="T126" s="4058"/>
      <c r="U126" s="4059"/>
      <c r="V126" s="4046"/>
      <c r="W126" s="4086"/>
      <c r="X126" s="2180">
        <v>7462233.9100000001</v>
      </c>
      <c r="Y126" s="2183">
        <v>0</v>
      </c>
      <c r="Z126" s="2183">
        <v>0</v>
      </c>
      <c r="AA126" s="896" t="s">
        <v>1376</v>
      </c>
      <c r="AB126" s="898">
        <v>84</v>
      </c>
      <c r="AC126" s="897" t="s">
        <v>1358</v>
      </c>
      <c r="AD126" s="2318"/>
      <c r="AE126" s="3463"/>
      <c r="AF126" s="2318"/>
      <c r="AG126" s="3463"/>
      <c r="AH126" s="2318"/>
      <c r="AI126" s="3463"/>
      <c r="AJ126" s="2318"/>
      <c r="AK126" s="3463"/>
      <c r="AL126" s="2318"/>
      <c r="AM126" s="3463"/>
      <c r="AN126" s="2318"/>
      <c r="AO126" s="3463"/>
      <c r="AP126" s="3463"/>
      <c r="AQ126" s="3463"/>
      <c r="AR126" s="3463"/>
      <c r="AS126" s="3463"/>
      <c r="AT126" s="3463"/>
      <c r="AU126" s="3463"/>
      <c r="AV126" s="3463"/>
      <c r="AW126" s="3463"/>
      <c r="AX126" s="3463"/>
      <c r="AY126" s="3463"/>
      <c r="AZ126" s="3463"/>
      <c r="BA126" s="3463"/>
      <c r="BB126" s="4094"/>
      <c r="BC126" s="3463"/>
      <c r="BD126" s="4094"/>
      <c r="BE126" s="3463"/>
      <c r="BF126" s="4094"/>
      <c r="BG126" s="3463"/>
      <c r="BH126" s="3463"/>
      <c r="BI126" s="3463"/>
      <c r="BJ126" s="3463"/>
      <c r="BK126" s="4093"/>
      <c r="BL126" s="4093"/>
      <c r="BM126" s="2463"/>
      <c r="BN126" s="3463"/>
      <c r="BO126" s="3463"/>
      <c r="BP126" s="3463"/>
      <c r="BQ126" s="4007"/>
      <c r="BR126" s="4007"/>
      <c r="BS126" s="4007"/>
      <c r="BT126" s="4007"/>
      <c r="BU126" s="3463"/>
    </row>
    <row r="127" spans="1:73" s="70" customFormat="1" ht="36" customHeight="1" x14ac:dyDescent="0.25">
      <c r="A127" s="2836"/>
      <c r="B127" s="2837"/>
      <c r="C127" s="1883"/>
      <c r="D127" s="1884"/>
      <c r="E127" s="4068"/>
      <c r="F127" s="4068"/>
      <c r="G127" s="3377"/>
      <c r="H127" s="4077"/>
      <c r="I127" s="3405"/>
      <c r="J127" s="2702"/>
      <c r="K127" s="4092"/>
      <c r="L127" s="2702"/>
      <c r="M127" s="3409"/>
      <c r="N127" s="4077"/>
      <c r="O127" s="4080"/>
      <c r="P127" s="4080"/>
      <c r="Q127" s="3377"/>
      <c r="R127" s="3434"/>
      <c r="S127" s="4083"/>
      <c r="T127" s="4058"/>
      <c r="U127" s="4059"/>
      <c r="V127" s="4046"/>
      <c r="W127" s="4086"/>
      <c r="X127" s="2180">
        <v>28690491.449999999</v>
      </c>
      <c r="Y127" s="2183">
        <v>7624531.4900000002</v>
      </c>
      <c r="Z127" s="2183">
        <f>+Y127</f>
        <v>7624531.4900000002</v>
      </c>
      <c r="AA127" s="896" t="s">
        <v>1377</v>
      </c>
      <c r="AB127" s="1914">
        <v>6</v>
      </c>
      <c r="AC127" s="897" t="s">
        <v>1356</v>
      </c>
      <c r="AD127" s="2318"/>
      <c r="AE127" s="3463"/>
      <c r="AF127" s="2318"/>
      <c r="AG127" s="3463"/>
      <c r="AH127" s="2318"/>
      <c r="AI127" s="3463"/>
      <c r="AJ127" s="2318"/>
      <c r="AK127" s="3463"/>
      <c r="AL127" s="2318"/>
      <c r="AM127" s="3463"/>
      <c r="AN127" s="2318"/>
      <c r="AO127" s="3463"/>
      <c r="AP127" s="3463"/>
      <c r="AQ127" s="3463"/>
      <c r="AR127" s="3463"/>
      <c r="AS127" s="3463"/>
      <c r="AT127" s="3463"/>
      <c r="AU127" s="3463"/>
      <c r="AV127" s="3463"/>
      <c r="AW127" s="3463"/>
      <c r="AX127" s="3463"/>
      <c r="AY127" s="3463"/>
      <c r="AZ127" s="3463"/>
      <c r="BA127" s="3463"/>
      <c r="BB127" s="4094"/>
      <c r="BC127" s="3463"/>
      <c r="BD127" s="4094"/>
      <c r="BE127" s="3463"/>
      <c r="BF127" s="4094"/>
      <c r="BG127" s="3463"/>
      <c r="BH127" s="3463"/>
      <c r="BI127" s="3463"/>
      <c r="BJ127" s="3463"/>
      <c r="BK127" s="4093"/>
      <c r="BL127" s="4093"/>
      <c r="BM127" s="2463"/>
      <c r="BN127" s="3463"/>
      <c r="BO127" s="3463"/>
      <c r="BP127" s="3463"/>
      <c r="BQ127" s="4007"/>
      <c r="BR127" s="4007"/>
      <c r="BS127" s="4007"/>
      <c r="BT127" s="4007"/>
      <c r="BU127" s="3463"/>
    </row>
    <row r="128" spans="1:73" s="70" customFormat="1" ht="36" customHeight="1" x14ac:dyDescent="0.25">
      <c r="A128" s="2836"/>
      <c r="B128" s="2837"/>
      <c r="C128" s="1883"/>
      <c r="D128" s="1884"/>
      <c r="E128" s="4068"/>
      <c r="F128" s="4068"/>
      <c r="G128" s="3377"/>
      <c r="H128" s="4077"/>
      <c r="I128" s="3405"/>
      <c r="J128" s="2702"/>
      <c r="K128" s="4092"/>
      <c r="L128" s="2702"/>
      <c r="M128" s="3409"/>
      <c r="N128" s="4077"/>
      <c r="O128" s="4080"/>
      <c r="P128" s="4080"/>
      <c r="Q128" s="3377"/>
      <c r="R128" s="3434"/>
      <c r="S128" s="4083"/>
      <c r="T128" s="4058"/>
      <c r="U128" s="4059"/>
      <c r="V128" s="4046"/>
      <c r="W128" s="4086"/>
      <c r="X128" s="2180">
        <v>4422064.54</v>
      </c>
      <c r="Y128" s="2183">
        <v>0</v>
      </c>
      <c r="Z128" s="2183">
        <v>0</v>
      </c>
      <c r="AA128" s="896" t="s">
        <v>1378</v>
      </c>
      <c r="AB128" s="898">
        <v>84</v>
      </c>
      <c r="AC128" s="897" t="s">
        <v>1358</v>
      </c>
      <c r="AD128" s="2318"/>
      <c r="AE128" s="3463"/>
      <c r="AF128" s="2318"/>
      <c r="AG128" s="3463"/>
      <c r="AH128" s="2318"/>
      <c r="AI128" s="3463"/>
      <c r="AJ128" s="2318"/>
      <c r="AK128" s="3463"/>
      <c r="AL128" s="2318"/>
      <c r="AM128" s="3463"/>
      <c r="AN128" s="2318"/>
      <c r="AO128" s="3463"/>
      <c r="AP128" s="3463"/>
      <c r="AQ128" s="3463"/>
      <c r="AR128" s="3463"/>
      <c r="AS128" s="3463"/>
      <c r="AT128" s="3463"/>
      <c r="AU128" s="3463"/>
      <c r="AV128" s="3463"/>
      <c r="AW128" s="3463"/>
      <c r="AX128" s="3463"/>
      <c r="AY128" s="3463"/>
      <c r="AZ128" s="3463"/>
      <c r="BA128" s="3463"/>
      <c r="BB128" s="4094"/>
      <c r="BC128" s="3463"/>
      <c r="BD128" s="4094"/>
      <c r="BE128" s="3463"/>
      <c r="BF128" s="4094"/>
      <c r="BG128" s="3463"/>
      <c r="BH128" s="3463"/>
      <c r="BI128" s="3463"/>
      <c r="BJ128" s="3463"/>
      <c r="BK128" s="4093"/>
      <c r="BL128" s="4093"/>
      <c r="BM128" s="2463"/>
      <c r="BN128" s="3463"/>
      <c r="BO128" s="3463"/>
      <c r="BP128" s="3463"/>
      <c r="BQ128" s="4007"/>
      <c r="BR128" s="4007"/>
      <c r="BS128" s="4007"/>
      <c r="BT128" s="4007"/>
      <c r="BU128" s="3463"/>
    </row>
    <row r="129" spans="1:73" s="70" customFormat="1" ht="36" customHeight="1" x14ac:dyDescent="0.25">
      <c r="A129" s="2836"/>
      <c r="B129" s="2837"/>
      <c r="C129" s="1883"/>
      <c r="D129" s="1884"/>
      <c r="E129" s="4068"/>
      <c r="F129" s="4068"/>
      <c r="G129" s="3377"/>
      <c r="H129" s="4077"/>
      <c r="I129" s="3405"/>
      <c r="J129" s="2702"/>
      <c r="K129" s="4092"/>
      <c r="L129" s="2702"/>
      <c r="M129" s="3409"/>
      <c r="N129" s="4077"/>
      <c r="O129" s="4080"/>
      <c r="P129" s="4080"/>
      <c r="Q129" s="3377"/>
      <c r="R129" s="3434"/>
      <c r="S129" s="4083"/>
      <c r="T129" s="4058"/>
      <c r="U129" s="4059"/>
      <c r="V129" s="4046"/>
      <c r="W129" s="4086"/>
      <c r="X129" s="2180">
        <v>68891918.120000005</v>
      </c>
      <c r="Y129" s="2183">
        <v>18108262.289999999</v>
      </c>
      <c r="Z129" s="2183">
        <f>+Y129</f>
        <v>18108262.289999999</v>
      </c>
      <c r="AA129" s="896" t="s">
        <v>1379</v>
      </c>
      <c r="AB129" s="1914">
        <v>6</v>
      </c>
      <c r="AC129" s="897" t="s">
        <v>1356</v>
      </c>
      <c r="AD129" s="2318"/>
      <c r="AE129" s="3463"/>
      <c r="AF129" s="2318"/>
      <c r="AG129" s="3463"/>
      <c r="AH129" s="2318"/>
      <c r="AI129" s="3463"/>
      <c r="AJ129" s="2318"/>
      <c r="AK129" s="3463"/>
      <c r="AL129" s="2318"/>
      <c r="AM129" s="3463"/>
      <c r="AN129" s="2318"/>
      <c r="AO129" s="3463"/>
      <c r="AP129" s="3463"/>
      <c r="AQ129" s="3463"/>
      <c r="AR129" s="3463"/>
      <c r="AS129" s="3463"/>
      <c r="AT129" s="3463"/>
      <c r="AU129" s="3463"/>
      <c r="AV129" s="3463"/>
      <c r="AW129" s="3463"/>
      <c r="AX129" s="3463"/>
      <c r="AY129" s="3463"/>
      <c r="AZ129" s="3463"/>
      <c r="BA129" s="3463"/>
      <c r="BB129" s="4094"/>
      <c r="BC129" s="3463"/>
      <c r="BD129" s="4094"/>
      <c r="BE129" s="3463"/>
      <c r="BF129" s="4094"/>
      <c r="BG129" s="3463"/>
      <c r="BH129" s="3463"/>
      <c r="BI129" s="3463"/>
      <c r="BJ129" s="3463"/>
      <c r="BK129" s="4093"/>
      <c r="BL129" s="4093"/>
      <c r="BM129" s="2463"/>
      <c r="BN129" s="3463"/>
      <c r="BO129" s="3463"/>
      <c r="BP129" s="3463"/>
      <c r="BQ129" s="4007"/>
      <c r="BR129" s="4007"/>
      <c r="BS129" s="4007"/>
      <c r="BT129" s="4007"/>
      <c r="BU129" s="3463"/>
    </row>
    <row r="130" spans="1:73" s="70" customFormat="1" ht="45" customHeight="1" x14ac:dyDescent="0.25">
      <c r="A130" s="2836"/>
      <c r="B130" s="2837"/>
      <c r="C130" s="1883"/>
      <c r="D130" s="1884"/>
      <c r="E130" s="4068"/>
      <c r="F130" s="4068"/>
      <c r="G130" s="3377"/>
      <c r="H130" s="4077"/>
      <c r="I130" s="3405"/>
      <c r="J130" s="2702"/>
      <c r="K130" s="4092"/>
      <c r="L130" s="2702"/>
      <c r="M130" s="3409"/>
      <c r="N130" s="4077"/>
      <c r="O130" s="4080"/>
      <c r="P130" s="4080"/>
      <c r="Q130" s="3377"/>
      <c r="R130" s="3434"/>
      <c r="S130" s="4083"/>
      <c r="T130" s="4058"/>
      <c r="U130" s="4059"/>
      <c r="V130" s="4046"/>
      <c r="W130" s="4087"/>
      <c r="X130" s="2180">
        <f>10502403.31</f>
        <v>10502403.310000001</v>
      </c>
      <c r="Y130" s="2183">
        <v>0</v>
      </c>
      <c r="Z130" s="2183">
        <v>0</v>
      </c>
      <c r="AA130" s="896" t="s">
        <v>1380</v>
      </c>
      <c r="AB130" s="898">
        <v>84</v>
      </c>
      <c r="AC130" s="897" t="s">
        <v>1358</v>
      </c>
      <c r="AD130" s="2318"/>
      <c r="AE130" s="3463"/>
      <c r="AF130" s="2318"/>
      <c r="AG130" s="3463"/>
      <c r="AH130" s="2318"/>
      <c r="AI130" s="3463"/>
      <c r="AJ130" s="2318"/>
      <c r="AK130" s="3463"/>
      <c r="AL130" s="2318"/>
      <c r="AM130" s="3463"/>
      <c r="AN130" s="2318"/>
      <c r="AO130" s="3463"/>
      <c r="AP130" s="3463"/>
      <c r="AQ130" s="3463"/>
      <c r="AR130" s="3463"/>
      <c r="AS130" s="3463"/>
      <c r="AT130" s="3463"/>
      <c r="AU130" s="3463"/>
      <c r="AV130" s="3463"/>
      <c r="AW130" s="3463"/>
      <c r="AX130" s="3463"/>
      <c r="AY130" s="3463"/>
      <c r="AZ130" s="3463"/>
      <c r="BA130" s="3463"/>
      <c r="BB130" s="4094"/>
      <c r="BC130" s="3463"/>
      <c r="BD130" s="4094"/>
      <c r="BE130" s="3463"/>
      <c r="BF130" s="4094"/>
      <c r="BG130" s="3463"/>
      <c r="BH130" s="3463"/>
      <c r="BI130" s="3463"/>
      <c r="BJ130" s="3463"/>
      <c r="BK130" s="4093"/>
      <c r="BL130" s="4093"/>
      <c r="BM130" s="2463"/>
      <c r="BN130" s="3463"/>
      <c r="BO130" s="3463"/>
      <c r="BP130" s="3463"/>
      <c r="BQ130" s="4007"/>
      <c r="BR130" s="4007"/>
      <c r="BS130" s="4007"/>
      <c r="BT130" s="4007"/>
      <c r="BU130" s="3463"/>
    </row>
    <row r="131" spans="1:73" s="70" customFormat="1" ht="45" customHeight="1" x14ac:dyDescent="0.25">
      <c r="A131" s="2836"/>
      <c r="B131" s="2837"/>
      <c r="C131" s="1883"/>
      <c r="D131" s="1884"/>
      <c r="E131" s="4068"/>
      <c r="F131" s="4068"/>
      <c r="G131" s="3378"/>
      <c r="H131" s="4077"/>
      <c r="I131" s="3405"/>
      <c r="J131" s="2702"/>
      <c r="K131" s="4092"/>
      <c r="L131" s="2702"/>
      <c r="M131" s="3409"/>
      <c r="N131" s="4077"/>
      <c r="O131" s="4080"/>
      <c r="P131" s="4080"/>
      <c r="Q131" s="3377"/>
      <c r="R131" s="3434"/>
      <c r="S131" s="4083"/>
      <c r="T131" s="4058"/>
      <c r="U131" s="4059"/>
      <c r="V131" s="4046"/>
      <c r="W131" s="4088" t="s">
        <v>1381</v>
      </c>
      <c r="X131" s="2193">
        <v>566146094.99000001</v>
      </c>
      <c r="Y131" s="2183">
        <v>142644303.12</v>
      </c>
      <c r="Z131" s="2183">
        <f>+Y131</f>
        <v>142644303.12</v>
      </c>
      <c r="AA131" s="896" t="s">
        <v>1355</v>
      </c>
      <c r="AB131" s="1914">
        <v>6</v>
      </c>
      <c r="AC131" s="897" t="s">
        <v>1356</v>
      </c>
      <c r="AD131" s="2318"/>
      <c r="AE131" s="3463"/>
      <c r="AF131" s="2318"/>
      <c r="AG131" s="3463"/>
      <c r="AH131" s="2318"/>
      <c r="AI131" s="3463"/>
      <c r="AJ131" s="2318"/>
      <c r="AK131" s="3463"/>
      <c r="AL131" s="2318"/>
      <c r="AM131" s="3463"/>
      <c r="AN131" s="2318"/>
      <c r="AO131" s="3463"/>
      <c r="AP131" s="3463"/>
      <c r="AQ131" s="3463"/>
      <c r="AR131" s="3463"/>
      <c r="AS131" s="3463"/>
      <c r="AT131" s="3463"/>
      <c r="AU131" s="3463"/>
      <c r="AV131" s="3463"/>
      <c r="AW131" s="3463"/>
      <c r="AX131" s="3463"/>
      <c r="AY131" s="3463"/>
      <c r="AZ131" s="3463"/>
      <c r="BA131" s="3463"/>
      <c r="BB131" s="4094"/>
      <c r="BC131" s="3463"/>
      <c r="BD131" s="4094"/>
      <c r="BE131" s="3463"/>
      <c r="BF131" s="4094"/>
      <c r="BG131" s="3463"/>
      <c r="BH131" s="3463"/>
      <c r="BI131" s="3463"/>
      <c r="BJ131" s="3463"/>
      <c r="BK131" s="4093"/>
      <c r="BL131" s="4093"/>
      <c r="BM131" s="2463"/>
      <c r="BN131" s="3463"/>
      <c r="BO131" s="3463"/>
      <c r="BP131" s="3463"/>
      <c r="BQ131" s="4007"/>
      <c r="BR131" s="4007"/>
      <c r="BS131" s="4007"/>
      <c r="BT131" s="4007"/>
      <c r="BU131" s="3463"/>
    </row>
    <row r="132" spans="1:73" s="70" customFormat="1" ht="45" customHeight="1" x14ac:dyDescent="0.25">
      <c r="A132" s="2836"/>
      <c r="B132" s="2837"/>
      <c r="C132" s="1883"/>
      <c r="D132" s="1884"/>
      <c r="E132" s="4068"/>
      <c r="F132" s="4068"/>
      <c r="G132" s="3378"/>
      <c r="H132" s="4077"/>
      <c r="I132" s="3405"/>
      <c r="J132" s="2702"/>
      <c r="K132" s="4092"/>
      <c r="L132" s="2702"/>
      <c r="M132" s="3409"/>
      <c r="N132" s="4077"/>
      <c r="O132" s="4080"/>
      <c r="P132" s="4080"/>
      <c r="Q132" s="3377"/>
      <c r="R132" s="3434"/>
      <c r="S132" s="4083"/>
      <c r="T132" s="4058"/>
      <c r="U132" s="4059"/>
      <c r="V132" s="4046"/>
      <c r="W132" s="4089"/>
      <c r="X132" s="2180">
        <v>86298796.060000002</v>
      </c>
      <c r="Y132" s="2183"/>
      <c r="Z132" s="2183"/>
      <c r="AA132" s="896" t="s">
        <v>1357</v>
      </c>
      <c r="AB132" s="898">
        <v>84</v>
      </c>
      <c r="AC132" s="897" t="s">
        <v>1358</v>
      </c>
      <c r="AD132" s="2318"/>
      <c r="AE132" s="3463"/>
      <c r="AF132" s="2318"/>
      <c r="AG132" s="3463"/>
      <c r="AH132" s="2318"/>
      <c r="AI132" s="3463"/>
      <c r="AJ132" s="2318"/>
      <c r="AK132" s="3463"/>
      <c r="AL132" s="2318"/>
      <c r="AM132" s="3463"/>
      <c r="AN132" s="2318"/>
      <c r="AO132" s="3463"/>
      <c r="AP132" s="3463"/>
      <c r="AQ132" s="3463"/>
      <c r="AR132" s="3463"/>
      <c r="AS132" s="3463"/>
      <c r="AT132" s="3463"/>
      <c r="AU132" s="3463"/>
      <c r="AV132" s="3463"/>
      <c r="AW132" s="3463"/>
      <c r="AX132" s="3463"/>
      <c r="AY132" s="3463"/>
      <c r="AZ132" s="3463"/>
      <c r="BA132" s="3463"/>
      <c r="BB132" s="4094"/>
      <c r="BC132" s="3463"/>
      <c r="BD132" s="4094"/>
      <c r="BE132" s="3463"/>
      <c r="BF132" s="4094"/>
      <c r="BG132" s="3463"/>
      <c r="BH132" s="3463"/>
      <c r="BI132" s="3463"/>
      <c r="BJ132" s="3463"/>
      <c r="BK132" s="4093"/>
      <c r="BL132" s="4093"/>
      <c r="BM132" s="2463"/>
      <c r="BN132" s="3463"/>
      <c r="BO132" s="3463"/>
      <c r="BP132" s="3463"/>
      <c r="BQ132" s="4007"/>
      <c r="BR132" s="4007"/>
      <c r="BS132" s="4007"/>
      <c r="BT132" s="4007"/>
      <c r="BU132" s="3463"/>
    </row>
    <row r="133" spans="1:73" s="70" customFormat="1" ht="45" customHeight="1" x14ac:dyDescent="0.25">
      <c r="A133" s="2836"/>
      <c r="B133" s="2837"/>
      <c r="C133" s="1883"/>
      <c r="D133" s="1884"/>
      <c r="E133" s="4068"/>
      <c r="F133" s="4068"/>
      <c r="G133" s="3378"/>
      <c r="H133" s="4077"/>
      <c r="I133" s="3405"/>
      <c r="J133" s="2702"/>
      <c r="K133" s="4092"/>
      <c r="L133" s="2702"/>
      <c r="M133" s="3409"/>
      <c r="N133" s="4077"/>
      <c r="O133" s="4080"/>
      <c r="P133" s="4080"/>
      <c r="Q133" s="3377"/>
      <c r="R133" s="3434"/>
      <c r="S133" s="4083"/>
      <c r="T133" s="4058"/>
      <c r="U133" s="4059"/>
      <c r="V133" s="4046"/>
      <c r="W133" s="4089"/>
      <c r="X133" s="2180">
        <v>647613993.74000001</v>
      </c>
      <c r="Y133" s="2183">
        <v>192728302.88999999</v>
      </c>
      <c r="Z133" s="2183">
        <f>+Y133</f>
        <v>192728302.88999999</v>
      </c>
      <c r="AA133" s="896" t="s">
        <v>1359</v>
      </c>
      <c r="AB133" s="1914">
        <v>6</v>
      </c>
      <c r="AC133" s="897" t="s">
        <v>1356</v>
      </c>
      <c r="AD133" s="2318"/>
      <c r="AE133" s="3463"/>
      <c r="AF133" s="2318"/>
      <c r="AG133" s="3463"/>
      <c r="AH133" s="2318"/>
      <c r="AI133" s="3463"/>
      <c r="AJ133" s="2318"/>
      <c r="AK133" s="3463"/>
      <c r="AL133" s="2318"/>
      <c r="AM133" s="3463"/>
      <c r="AN133" s="2318"/>
      <c r="AO133" s="3463"/>
      <c r="AP133" s="3463"/>
      <c r="AQ133" s="3463"/>
      <c r="AR133" s="3463"/>
      <c r="AS133" s="3463"/>
      <c r="AT133" s="3463"/>
      <c r="AU133" s="3463"/>
      <c r="AV133" s="3463"/>
      <c r="AW133" s="3463"/>
      <c r="AX133" s="3463"/>
      <c r="AY133" s="3463"/>
      <c r="AZ133" s="3463"/>
      <c r="BA133" s="3463"/>
      <c r="BB133" s="4094"/>
      <c r="BC133" s="3463"/>
      <c r="BD133" s="4094"/>
      <c r="BE133" s="3463"/>
      <c r="BF133" s="4094"/>
      <c r="BG133" s="3463"/>
      <c r="BH133" s="3463"/>
      <c r="BI133" s="3463"/>
      <c r="BJ133" s="3463"/>
      <c r="BK133" s="4093"/>
      <c r="BL133" s="4093"/>
      <c r="BM133" s="2463"/>
      <c r="BN133" s="3463"/>
      <c r="BO133" s="3463"/>
      <c r="BP133" s="3463"/>
      <c r="BQ133" s="4007"/>
      <c r="BR133" s="4007"/>
      <c r="BS133" s="4007"/>
      <c r="BT133" s="4007"/>
      <c r="BU133" s="3463"/>
    </row>
    <row r="134" spans="1:73" s="70" customFormat="1" ht="45" customHeight="1" x14ac:dyDescent="0.25">
      <c r="A134" s="2836"/>
      <c r="B134" s="2837"/>
      <c r="C134" s="1883"/>
      <c r="D134" s="1884"/>
      <c r="E134" s="4068"/>
      <c r="F134" s="4068"/>
      <c r="G134" s="3378"/>
      <c r="H134" s="4077"/>
      <c r="I134" s="3405"/>
      <c r="J134" s="2702"/>
      <c r="K134" s="4092"/>
      <c r="L134" s="2702"/>
      <c r="M134" s="3409"/>
      <c r="N134" s="4077"/>
      <c r="O134" s="4080"/>
      <c r="P134" s="4080"/>
      <c r="Q134" s="3377"/>
      <c r="R134" s="3434"/>
      <c r="S134" s="4083"/>
      <c r="T134" s="4058"/>
      <c r="U134" s="4059"/>
      <c r="V134" s="4046"/>
      <c r="W134" s="4089"/>
      <c r="X134" s="2180">
        <v>102024354.47</v>
      </c>
      <c r="Y134" s="2183"/>
      <c r="Z134" s="2183"/>
      <c r="AA134" s="896" t="s">
        <v>1360</v>
      </c>
      <c r="AB134" s="898">
        <v>84</v>
      </c>
      <c r="AC134" s="897" t="s">
        <v>1358</v>
      </c>
      <c r="AD134" s="2318"/>
      <c r="AE134" s="3463"/>
      <c r="AF134" s="2318"/>
      <c r="AG134" s="3463"/>
      <c r="AH134" s="2318"/>
      <c r="AI134" s="3463"/>
      <c r="AJ134" s="2318"/>
      <c r="AK134" s="3463"/>
      <c r="AL134" s="2318"/>
      <c r="AM134" s="3463"/>
      <c r="AN134" s="2318"/>
      <c r="AO134" s="3463"/>
      <c r="AP134" s="3463"/>
      <c r="AQ134" s="3463"/>
      <c r="AR134" s="3463"/>
      <c r="AS134" s="3463"/>
      <c r="AT134" s="3463"/>
      <c r="AU134" s="3463"/>
      <c r="AV134" s="3463"/>
      <c r="AW134" s="3463"/>
      <c r="AX134" s="3463"/>
      <c r="AY134" s="3463"/>
      <c r="AZ134" s="3463"/>
      <c r="BA134" s="3463"/>
      <c r="BB134" s="4094"/>
      <c r="BC134" s="3463"/>
      <c r="BD134" s="4094"/>
      <c r="BE134" s="3463"/>
      <c r="BF134" s="4094"/>
      <c r="BG134" s="3463"/>
      <c r="BH134" s="3463"/>
      <c r="BI134" s="3463"/>
      <c r="BJ134" s="3463"/>
      <c r="BK134" s="4093"/>
      <c r="BL134" s="4093"/>
      <c r="BM134" s="2463"/>
      <c r="BN134" s="3463"/>
      <c r="BO134" s="3463"/>
      <c r="BP134" s="3463"/>
      <c r="BQ134" s="4007"/>
      <c r="BR134" s="4007"/>
      <c r="BS134" s="4007"/>
      <c r="BT134" s="4007"/>
      <c r="BU134" s="3463"/>
    </row>
    <row r="135" spans="1:73" s="70" customFormat="1" ht="45" customHeight="1" x14ac:dyDescent="0.25">
      <c r="A135" s="2836"/>
      <c r="B135" s="2837"/>
      <c r="C135" s="1883"/>
      <c r="D135" s="1884"/>
      <c r="E135" s="4068"/>
      <c r="F135" s="4068"/>
      <c r="G135" s="3378"/>
      <c r="H135" s="4077"/>
      <c r="I135" s="3405"/>
      <c r="J135" s="2702"/>
      <c r="K135" s="4092"/>
      <c r="L135" s="2702"/>
      <c r="M135" s="3409"/>
      <c r="N135" s="4077"/>
      <c r="O135" s="4080"/>
      <c r="P135" s="4080"/>
      <c r="Q135" s="3377"/>
      <c r="R135" s="3434"/>
      <c r="S135" s="4083"/>
      <c r="T135" s="4058"/>
      <c r="U135" s="4059"/>
      <c r="V135" s="4046"/>
      <c r="W135" s="4089"/>
      <c r="X135" s="2193">
        <v>77621028.480000004</v>
      </c>
      <c r="Y135" s="2183">
        <v>14581417.65</v>
      </c>
      <c r="Z135" s="2183">
        <f>+Y135</f>
        <v>14581417.65</v>
      </c>
      <c r="AA135" s="896" t="s">
        <v>1363</v>
      </c>
      <c r="AB135" s="1914">
        <v>6</v>
      </c>
      <c r="AC135" s="897" t="s">
        <v>1356</v>
      </c>
      <c r="AD135" s="2318"/>
      <c r="AE135" s="3463"/>
      <c r="AF135" s="2318"/>
      <c r="AG135" s="3463"/>
      <c r="AH135" s="2318"/>
      <c r="AI135" s="3463"/>
      <c r="AJ135" s="2318"/>
      <c r="AK135" s="3463"/>
      <c r="AL135" s="2318"/>
      <c r="AM135" s="3463"/>
      <c r="AN135" s="2318"/>
      <c r="AO135" s="3463"/>
      <c r="AP135" s="3463"/>
      <c r="AQ135" s="3463"/>
      <c r="AR135" s="3463"/>
      <c r="AS135" s="3463"/>
      <c r="AT135" s="3463"/>
      <c r="AU135" s="3463"/>
      <c r="AV135" s="3463"/>
      <c r="AW135" s="3463"/>
      <c r="AX135" s="3463"/>
      <c r="AY135" s="3463"/>
      <c r="AZ135" s="3463"/>
      <c r="BA135" s="3463"/>
      <c r="BB135" s="4094"/>
      <c r="BC135" s="3463"/>
      <c r="BD135" s="4094"/>
      <c r="BE135" s="3463"/>
      <c r="BF135" s="4094"/>
      <c r="BG135" s="3463"/>
      <c r="BH135" s="3463"/>
      <c r="BI135" s="3463"/>
      <c r="BJ135" s="3463"/>
      <c r="BK135" s="4093"/>
      <c r="BL135" s="4093"/>
      <c r="BM135" s="2463"/>
      <c r="BN135" s="3463"/>
      <c r="BO135" s="3463"/>
      <c r="BP135" s="3463"/>
      <c r="BQ135" s="4007"/>
      <c r="BR135" s="4007"/>
      <c r="BS135" s="4007"/>
      <c r="BT135" s="4007"/>
      <c r="BU135" s="3463"/>
    </row>
    <row r="136" spans="1:73" s="70" customFormat="1" ht="45" customHeight="1" x14ac:dyDescent="0.25">
      <c r="A136" s="2836"/>
      <c r="B136" s="2837"/>
      <c r="C136" s="1883"/>
      <c r="D136" s="1884"/>
      <c r="E136" s="4068"/>
      <c r="F136" s="4068"/>
      <c r="G136" s="3378"/>
      <c r="H136" s="4077"/>
      <c r="I136" s="3405"/>
      <c r="J136" s="2702"/>
      <c r="K136" s="4092"/>
      <c r="L136" s="2702"/>
      <c r="M136" s="3409"/>
      <c r="N136" s="4077"/>
      <c r="O136" s="4080"/>
      <c r="P136" s="4080"/>
      <c r="Q136" s="3377"/>
      <c r="R136" s="3434"/>
      <c r="S136" s="4083"/>
      <c r="T136" s="4058"/>
      <c r="U136" s="4059"/>
      <c r="V136" s="4046"/>
      <c r="W136" s="4089"/>
      <c r="X136" s="2193">
        <v>11890056.35</v>
      </c>
      <c r="Y136" s="2183"/>
      <c r="Z136" s="2183"/>
      <c r="AA136" s="896" t="s">
        <v>1364</v>
      </c>
      <c r="AB136" s="898">
        <v>84</v>
      </c>
      <c r="AC136" s="897" t="s">
        <v>1358</v>
      </c>
      <c r="AD136" s="2318"/>
      <c r="AE136" s="3463"/>
      <c r="AF136" s="2318"/>
      <c r="AG136" s="3463"/>
      <c r="AH136" s="2318"/>
      <c r="AI136" s="3463"/>
      <c r="AJ136" s="2318"/>
      <c r="AK136" s="3463"/>
      <c r="AL136" s="2318"/>
      <c r="AM136" s="3463"/>
      <c r="AN136" s="2318"/>
      <c r="AO136" s="3463"/>
      <c r="AP136" s="3463"/>
      <c r="AQ136" s="3463"/>
      <c r="AR136" s="3463"/>
      <c r="AS136" s="3463"/>
      <c r="AT136" s="3463"/>
      <c r="AU136" s="3463"/>
      <c r="AV136" s="3463"/>
      <c r="AW136" s="3463"/>
      <c r="AX136" s="3463"/>
      <c r="AY136" s="3463"/>
      <c r="AZ136" s="3463"/>
      <c r="BA136" s="3463"/>
      <c r="BB136" s="4094"/>
      <c r="BC136" s="3463"/>
      <c r="BD136" s="4094"/>
      <c r="BE136" s="3463"/>
      <c r="BF136" s="4094"/>
      <c r="BG136" s="3463"/>
      <c r="BH136" s="3463"/>
      <c r="BI136" s="3463"/>
      <c r="BJ136" s="3463"/>
      <c r="BK136" s="4093"/>
      <c r="BL136" s="4093"/>
      <c r="BM136" s="2463"/>
      <c r="BN136" s="3463"/>
      <c r="BO136" s="3463"/>
      <c r="BP136" s="3463"/>
      <c r="BQ136" s="4007"/>
      <c r="BR136" s="4007"/>
      <c r="BS136" s="4007"/>
      <c r="BT136" s="4007"/>
      <c r="BU136" s="3463"/>
    </row>
    <row r="137" spans="1:73" s="70" customFormat="1" ht="45" customHeight="1" x14ac:dyDescent="0.25">
      <c r="A137" s="2836"/>
      <c r="B137" s="2837"/>
      <c r="C137" s="1883"/>
      <c r="D137" s="1884"/>
      <c r="E137" s="4068"/>
      <c r="F137" s="4068"/>
      <c r="G137" s="3378"/>
      <c r="H137" s="4077"/>
      <c r="I137" s="3405"/>
      <c r="J137" s="2702"/>
      <c r="K137" s="4092"/>
      <c r="L137" s="2702"/>
      <c r="M137" s="3409"/>
      <c r="N137" s="4077"/>
      <c r="O137" s="4080"/>
      <c r="P137" s="4080"/>
      <c r="Q137" s="3377"/>
      <c r="R137" s="3434"/>
      <c r="S137" s="4083"/>
      <c r="T137" s="4058"/>
      <c r="U137" s="4059"/>
      <c r="V137" s="4046"/>
      <c r="W137" s="4089"/>
      <c r="X137" s="2193">
        <f>137635783.34</f>
        <v>137635783.34</v>
      </c>
      <c r="Y137" s="2183">
        <v>34868607.43</v>
      </c>
      <c r="Z137" s="2183">
        <f>+Y137</f>
        <v>34868607.43</v>
      </c>
      <c r="AA137" s="896" t="s">
        <v>1367</v>
      </c>
      <c r="AB137" s="1914">
        <v>6</v>
      </c>
      <c r="AC137" s="897" t="s">
        <v>1356</v>
      </c>
      <c r="AD137" s="2318"/>
      <c r="AE137" s="3463"/>
      <c r="AF137" s="2318"/>
      <c r="AG137" s="3463"/>
      <c r="AH137" s="2318"/>
      <c r="AI137" s="3463"/>
      <c r="AJ137" s="2318"/>
      <c r="AK137" s="3463"/>
      <c r="AL137" s="2318"/>
      <c r="AM137" s="3463"/>
      <c r="AN137" s="2318"/>
      <c r="AO137" s="3463"/>
      <c r="AP137" s="3463"/>
      <c r="AQ137" s="3463"/>
      <c r="AR137" s="3463"/>
      <c r="AS137" s="3463"/>
      <c r="AT137" s="3463"/>
      <c r="AU137" s="3463"/>
      <c r="AV137" s="3463"/>
      <c r="AW137" s="3463"/>
      <c r="AX137" s="3463"/>
      <c r="AY137" s="3463"/>
      <c r="AZ137" s="3463"/>
      <c r="BA137" s="3463"/>
      <c r="BB137" s="4094"/>
      <c r="BC137" s="3463"/>
      <c r="BD137" s="4094"/>
      <c r="BE137" s="3463"/>
      <c r="BF137" s="4094"/>
      <c r="BG137" s="3463"/>
      <c r="BH137" s="3463"/>
      <c r="BI137" s="3463"/>
      <c r="BJ137" s="3463"/>
      <c r="BK137" s="4093"/>
      <c r="BL137" s="4093"/>
      <c r="BM137" s="2463"/>
      <c r="BN137" s="3463"/>
      <c r="BO137" s="3463"/>
      <c r="BP137" s="3463"/>
      <c r="BQ137" s="4007"/>
      <c r="BR137" s="4007"/>
      <c r="BS137" s="4007"/>
      <c r="BT137" s="4007"/>
      <c r="BU137" s="3463"/>
    </row>
    <row r="138" spans="1:73" s="70" customFormat="1" ht="45" customHeight="1" x14ac:dyDescent="0.25">
      <c r="A138" s="2836"/>
      <c r="B138" s="2837"/>
      <c r="C138" s="1883"/>
      <c r="D138" s="1884"/>
      <c r="E138" s="4068"/>
      <c r="F138" s="4068"/>
      <c r="G138" s="3378"/>
      <c r="H138" s="4077"/>
      <c r="I138" s="3405"/>
      <c r="J138" s="2702"/>
      <c r="K138" s="4092"/>
      <c r="L138" s="2702"/>
      <c r="M138" s="3409"/>
      <c r="N138" s="4077"/>
      <c r="O138" s="4080"/>
      <c r="P138" s="4080"/>
      <c r="Q138" s="3377"/>
      <c r="R138" s="3434"/>
      <c r="S138" s="4083"/>
      <c r="T138" s="4058"/>
      <c r="U138" s="4059"/>
      <c r="V138" s="4046"/>
      <c r="W138" s="4089"/>
      <c r="X138" s="2180">
        <v>21095261.260000002</v>
      </c>
      <c r="Y138" s="2183"/>
      <c r="Z138" s="2183"/>
      <c r="AA138" s="896" t="s">
        <v>1368</v>
      </c>
      <c r="AB138" s="898">
        <v>84</v>
      </c>
      <c r="AC138" s="897" t="s">
        <v>1358</v>
      </c>
      <c r="AD138" s="2318"/>
      <c r="AE138" s="3463"/>
      <c r="AF138" s="2318"/>
      <c r="AG138" s="3463"/>
      <c r="AH138" s="2318"/>
      <c r="AI138" s="3463"/>
      <c r="AJ138" s="2318"/>
      <c r="AK138" s="3463"/>
      <c r="AL138" s="2318"/>
      <c r="AM138" s="3463"/>
      <c r="AN138" s="2318"/>
      <c r="AO138" s="3463"/>
      <c r="AP138" s="3463"/>
      <c r="AQ138" s="3463"/>
      <c r="AR138" s="3463"/>
      <c r="AS138" s="3463"/>
      <c r="AT138" s="3463"/>
      <c r="AU138" s="3463"/>
      <c r="AV138" s="3463"/>
      <c r="AW138" s="3463"/>
      <c r="AX138" s="3463"/>
      <c r="AY138" s="3463"/>
      <c r="AZ138" s="3463"/>
      <c r="BA138" s="3463"/>
      <c r="BB138" s="4094"/>
      <c r="BC138" s="3463"/>
      <c r="BD138" s="4094"/>
      <c r="BE138" s="3463"/>
      <c r="BF138" s="4094"/>
      <c r="BG138" s="3463"/>
      <c r="BH138" s="3463"/>
      <c r="BI138" s="3463"/>
      <c r="BJ138" s="3463"/>
      <c r="BK138" s="4093"/>
      <c r="BL138" s="4093"/>
      <c r="BM138" s="2463"/>
      <c r="BN138" s="3463"/>
      <c r="BO138" s="3463"/>
      <c r="BP138" s="3463"/>
      <c r="BQ138" s="4007"/>
      <c r="BR138" s="4007"/>
      <c r="BS138" s="4007"/>
      <c r="BT138" s="4007"/>
      <c r="BU138" s="3463"/>
    </row>
    <row r="139" spans="1:73" s="70" customFormat="1" ht="45" customHeight="1" x14ac:dyDescent="0.25">
      <c r="A139" s="2836"/>
      <c r="B139" s="2837"/>
      <c r="C139" s="1883"/>
      <c r="D139" s="1884"/>
      <c r="E139" s="4068"/>
      <c r="F139" s="4068"/>
      <c r="G139" s="3378"/>
      <c r="H139" s="4077"/>
      <c r="I139" s="3405"/>
      <c r="J139" s="2702"/>
      <c r="K139" s="4092"/>
      <c r="L139" s="2702"/>
      <c r="M139" s="3409"/>
      <c r="N139" s="4077"/>
      <c r="O139" s="4080"/>
      <c r="P139" s="4080"/>
      <c r="Q139" s="3377"/>
      <c r="R139" s="3434"/>
      <c r="S139" s="4083"/>
      <c r="T139" s="4058"/>
      <c r="U139" s="4059"/>
      <c r="V139" s="4046"/>
      <c r="W139" s="4089"/>
      <c r="X139" s="2180">
        <v>288665881</v>
      </c>
      <c r="Y139" s="2183">
        <v>72907088.260000005</v>
      </c>
      <c r="Z139" s="2183">
        <f>+Y139</f>
        <v>72907088.260000005</v>
      </c>
      <c r="AA139" s="896" t="s">
        <v>1369</v>
      </c>
      <c r="AB139" s="1914">
        <v>6</v>
      </c>
      <c r="AC139" s="897" t="s">
        <v>1356</v>
      </c>
      <c r="AD139" s="2318"/>
      <c r="AE139" s="3463"/>
      <c r="AF139" s="2318"/>
      <c r="AG139" s="3463"/>
      <c r="AH139" s="2318"/>
      <c r="AI139" s="3463"/>
      <c r="AJ139" s="2318"/>
      <c r="AK139" s="3463"/>
      <c r="AL139" s="2318"/>
      <c r="AM139" s="3463"/>
      <c r="AN139" s="2318"/>
      <c r="AO139" s="3463"/>
      <c r="AP139" s="3463"/>
      <c r="AQ139" s="3463"/>
      <c r="AR139" s="3463"/>
      <c r="AS139" s="3463"/>
      <c r="AT139" s="3463"/>
      <c r="AU139" s="3463"/>
      <c r="AV139" s="3463"/>
      <c r="AW139" s="3463"/>
      <c r="AX139" s="3463"/>
      <c r="AY139" s="3463"/>
      <c r="AZ139" s="3463"/>
      <c r="BA139" s="3463"/>
      <c r="BB139" s="4094"/>
      <c r="BC139" s="3463"/>
      <c r="BD139" s="4094"/>
      <c r="BE139" s="3463"/>
      <c r="BF139" s="4094"/>
      <c r="BG139" s="3463"/>
      <c r="BH139" s="3463"/>
      <c r="BI139" s="3463"/>
      <c r="BJ139" s="3463"/>
      <c r="BK139" s="4093"/>
      <c r="BL139" s="4093"/>
      <c r="BM139" s="2463"/>
      <c r="BN139" s="3463"/>
      <c r="BO139" s="3463"/>
      <c r="BP139" s="3463"/>
      <c r="BQ139" s="4007"/>
      <c r="BR139" s="4007"/>
      <c r="BS139" s="4007"/>
      <c r="BT139" s="4007"/>
      <c r="BU139" s="3463"/>
    </row>
    <row r="140" spans="1:73" s="70" customFormat="1" ht="45" customHeight="1" x14ac:dyDescent="0.25">
      <c r="A140" s="2836"/>
      <c r="B140" s="2837"/>
      <c r="C140" s="1883"/>
      <c r="D140" s="1884"/>
      <c r="E140" s="4068"/>
      <c r="F140" s="4068"/>
      <c r="G140" s="3378"/>
      <c r="H140" s="4077"/>
      <c r="I140" s="3405"/>
      <c r="J140" s="2702"/>
      <c r="K140" s="4092"/>
      <c r="L140" s="2702"/>
      <c r="M140" s="3409"/>
      <c r="N140" s="4077"/>
      <c r="O140" s="4080"/>
      <c r="P140" s="4080"/>
      <c r="Q140" s="3377"/>
      <c r="R140" s="3434"/>
      <c r="S140" s="4083"/>
      <c r="T140" s="4058"/>
      <c r="U140" s="4059"/>
      <c r="V140" s="4046"/>
      <c r="W140" s="4089"/>
      <c r="X140" s="2180">
        <v>44108273.539999999</v>
      </c>
      <c r="Y140" s="2183">
        <v>0</v>
      </c>
      <c r="Z140" s="2183">
        <v>0</v>
      </c>
      <c r="AA140" s="896" t="s">
        <v>1370</v>
      </c>
      <c r="AB140" s="898">
        <v>84</v>
      </c>
      <c r="AC140" s="897" t="s">
        <v>1358</v>
      </c>
      <c r="AD140" s="2318"/>
      <c r="AE140" s="3463"/>
      <c r="AF140" s="2318"/>
      <c r="AG140" s="3463"/>
      <c r="AH140" s="2318"/>
      <c r="AI140" s="3463"/>
      <c r="AJ140" s="2318"/>
      <c r="AK140" s="3463"/>
      <c r="AL140" s="2318"/>
      <c r="AM140" s="3463"/>
      <c r="AN140" s="2318"/>
      <c r="AO140" s="3463"/>
      <c r="AP140" s="3463"/>
      <c r="AQ140" s="3463"/>
      <c r="AR140" s="3463"/>
      <c r="AS140" s="3463"/>
      <c r="AT140" s="3463"/>
      <c r="AU140" s="3463"/>
      <c r="AV140" s="3463"/>
      <c r="AW140" s="3463"/>
      <c r="AX140" s="3463"/>
      <c r="AY140" s="3463"/>
      <c r="AZ140" s="3463"/>
      <c r="BA140" s="3463"/>
      <c r="BB140" s="4094"/>
      <c r="BC140" s="3463"/>
      <c r="BD140" s="4094"/>
      <c r="BE140" s="3463"/>
      <c r="BF140" s="4094"/>
      <c r="BG140" s="3463"/>
      <c r="BH140" s="3463"/>
      <c r="BI140" s="3463"/>
      <c r="BJ140" s="3463"/>
      <c r="BK140" s="4093"/>
      <c r="BL140" s="4093"/>
      <c r="BM140" s="2463"/>
      <c r="BN140" s="3463"/>
      <c r="BO140" s="3463"/>
      <c r="BP140" s="3463"/>
      <c r="BQ140" s="4007"/>
      <c r="BR140" s="4007"/>
      <c r="BS140" s="4007"/>
      <c r="BT140" s="4007"/>
      <c r="BU140" s="3463"/>
    </row>
    <row r="141" spans="1:73" s="70" customFormat="1" ht="45" customHeight="1" x14ac:dyDescent="0.25">
      <c r="A141" s="2836"/>
      <c r="B141" s="2837"/>
      <c r="C141" s="1883"/>
      <c r="D141" s="1884"/>
      <c r="E141" s="4068"/>
      <c r="F141" s="4068"/>
      <c r="G141" s="3378"/>
      <c r="H141" s="4077"/>
      <c r="I141" s="3405"/>
      <c r="J141" s="2702"/>
      <c r="K141" s="4092"/>
      <c r="L141" s="2702"/>
      <c r="M141" s="3409"/>
      <c r="N141" s="4077"/>
      <c r="O141" s="4080"/>
      <c r="P141" s="4080"/>
      <c r="Q141" s="3377"/>
      <c r="R141" s="3434"/>
      <c r="S141" s="4083"/>
      <c r="T141" s="4058"/>
      <c r="U141" s="4059"/>
      <c r="V141" s="4046"/>
      <c r="W141" s="4089"/>
      <c r="X141" s="2193">
        <f>125521066.79</f>
        <v>125521066.79000001</v>
      </c>
      <c r="Y141" s="2183">
        <v>29796809.989999998</v>
      </c>
      <c r="Z141" s="2183">
        <f>+Y141</f>
        <v>29796809.989999998</v>
      </c>
      <c r="AA141" s="896" t="s">
        <v>1375</v>
      </c>
      <c r="AB141" s="1914">
        <v>6</v>
      </c>
      <c r="AC141" s="897" t="s">
        <v>1356</v>
      </c>
      <c r="AD141" s="2318"/>
      <c r="AE141" s="3463"/>
      <c r="AF141" s="2318"/>
      <c r="AG141" s="3463"/>
      <c r="AH141" s="2318"/>
      <c r="AI141" s="3463"/>
      <c r="AJ141" s="2318"/>
      <c r="AK141" s="3463"/>
      <c r="AL141" s="2318"/>
      <c r="AM141" s="3463"/>
      <c r="AN141" s="2318"/>
      <c r="AO141" s="3463"/>
      <c r="AP141" s="3463"/>
      <c r="AQ141" s="3463"/>
      <c r="AR141" s="3463"/>
      <c r="AS141" s="3463"/>
      <c r="AT141" s="3463"/>
      <c r="AU141" s="3463"/>
      <c r="AV141" s="3463"/>
      <c r="AW141" s="3463"/>
      <c r="AX141" s="3463"/>
      <c r="AY141" s="3463"/>
      <c r="AZ141" s="3463"/>
      <c r="BA141" s="3463"/>
      <c r="BB141" s="4094"/>
      <c r="BC141" s="3463"/>
      <c r="BD141" s="4094"/>
      <c r="BE141" s="3463"/>
      <c r="BF141" s="4094"/>
      <c r="BG141" s="3463"/>
      <c r="BH141" s="3463"/>
      <c r="BI141" s="3463"/>
      <c r="BJ141" s="3463"/>
      <c r="BK141" s="4093"/>
      <c r="BL141" s="4093"/>
      <c r="BM141" s="2463"/>
      <c r="BN141" s="3463"/>
      <c r="BO141" s="3463"/>
      <c r="BP141" s="3463"/>
      <c r="BQ141" s="4007"/>
      <c r="BR141" s="4007"/>
      <c r="BS141" s="4007"/>
      <c r="BT141" s="4007"/>
      <c r="BU141" s="3463"/>
    </row>
    <row r="142" spans="1:73" s="70" customFormat="1" ht="45" customHeight="1" x14ac:dyDescent="0.25">
      <c r="A142" s="2836"/>
      <c r="B142" s="2837"/>
      <c r="C142" s="1883"/>
      <c r="D142" s="1884"/>
      <c r="E142" s="4068"/>
      <c r="F142" s="4068"/>
      <c r="G142" s="3378"/>
      <c r="H142" s="4077"/>
      <c r="I142" s="3405"/>
      <c r="J142" s="2702"/>
      <c r="K142" s="4092"/>
      <c r="L142" s="2702"/>
      <c r="M142" s="3409"/>
      <c r="N142" s="4077"/>
      <c r="O142" s="4080"/>
      <c r="P142" s="4080"/>
      <c r="Q142" s="3377"/>
      <c r="R142" s="3434"/>
      <c r="S142" s="4083"/>
      <c r="T142" s="4058"/>
      <c r="U142" s="4059"/>
      <c r="V142" s="4046"/>
      <c r="W142" s="4089"/>
      <c r="X142" s="2193">
        <v>19177510.239999998</v>
      </c>
      <c r="Y142" s="2183">
        <v>0</v>
      </c>
      <c r="Z142" s="2183">
        <v>0</v>
      </c>
      <c r="AA142" s="896" t="s">
        <v>1376</v>
      </c>
      <c r="AB142" s="898">
        <v>84</v>
      </c>
      <c r="AC142" s="897" t="s">
        <v>1358</v>
      </c>
      <c r="AD142" s="2318"/>
      <c r="AE142" s="3463"/>
      <c r="AF142" s="2318"/>
      <c r="AG142" s="3463"/>
      <c r="AH142" s="2318"/>
      <c r="AI142" s="3463"/>
      <c r="AJ142" s="2318"/>
      <c r="AK142" s="3463"/>
      <c r="AL142" s="2318"/>
      <c r="AM142" s="3463"/>
      <c r="AN142" s="2318"/>
      <c r="AO142" s="3463"/>
      <c r="AP142" s="3463"/>
      <c r="AQ142" s="3463"/>
      <c r="AR142" s="3463"/>
      <c r="AS142" s="3463"/>
      <c r="AT142" s="3463"/>
      <c r="AU142" s="3463"/>
      <c r="AV142" s="3463"/>
      <c r="AW142" s="3463"/>
      <c r="AX142" s="3463"/>
      <c r="AY142" s="3463"/>
      <c r="AZ142" s="3463"/>
      <c r="BA142" s="3463"/>
      <c r="BB142" s="4094"/>
      <c r="BC142" s="3463"/>
      <c r="BD142" s="4094"/>
      <c r="BE142" s="3463"/>
      <c r="BF142" s="4094"/>
      <c r="BG142" s="3463"/>
      <c r="BH142" s="3463"/>
      <c r="BI142" s="3463"/>
      <c r="BJ142" s="3463"/>
      <c r="BK142" s="4093"/>
      <c r="BL142" s="4093"/>
      <c r="BM142" s="2463"/>
      <c r="BN142" s="3463"/>
      <c r="BO142" s="3463"/>
      <c r="BP142" s="3463"/>
      <c r="BQ142" s="4007"/>
      <c r="BR142" s="4007"/>
      <c r="BS142" s="4007"/>
      <c r="BT142" s="4007"/>
      <c r="BU142" s="3463"/>
    </row>
    <row r="143" spans="1:73" s="70" customFormat="1" ht="45" customHeight="1" x14ac:dyDescent="0.25">
      <c r="A143" s="2836"/>
      <c r="B143" s="2837"/>
      <c r="C143" s="1883"/>
      <c r="D143" s="1884"/>
      <c r="E143" s="4068"/>
      <c r="F143" s="4068"/>
      <c r="G143" s="3378"/>
      <c r="H143" s="4077"/>
      <c r="I143" s="3405"/>
      <c r="J143" s="2702"/>
      <c r="K143" s="4092"/>
      <c r="L143" s="2702"/>
      <c r="M143" s="3409"/>
      <c r="N143" s="4077"/>
      <c r="O143" s="4080"/>
      <c r="P143" s="4080"/>
      <c r="Q143" s="3377"/>
      <c r="R143" s="3434"/>
      <c r="S143" s="4083"/>
      <c r="T143" s="4058"/>
      <c r="U143" s="4059"/>
      <c r="V143" s="4046"/>
      <c r="W143" s="4089"/>
      <c r="X143" s="2193">
        <f>628987208.72</f>
        <v>628987208.72000003</v>
      </c>
      <c r="Y143" s="2183">
        <v>158493670.13</v>
      </c>
      <c r="Z143" s="2183">
        <f>+Y143</f>
        <v>158493670.13</v>
      </c>
      <c r="AA143" s="896" t="s">
        <v>1379</v>
      </c>
      <c r="AB143" s="1914">
        <v>6</v>
      </c>
      <c r="AC143" s="897" t="s">
        <v>1356</v>
      </c>
      <c r="AD143" s="2318"/>
      <c r="AE143" s="3463"/>
      <c r="AF143" s="2318"/>
      <c r="AG143" s="3463"/>
      <c r="AH143" s="2318"/>
      <c r="AI143" s="3463"/>
      <c r="AJ143" s="2318"/>
      <c r="AK143" s="3463"/>
      <c r="AL143" s="2318"/>
      <c r="AM143" s="3463"/>
      <c r="AN143" s="2318"/>
      <c r="AO143" s="3463"/>
      <c r="AP143" s="3463"/>
      <c r="AQ143" s="3463"/>
      <c r="AR143" s="3463"/>
      <c r="AS143" s="3463"/>
      <c r="AT143" s="3463"/>
      <c r="AU143" s="3463"/>
      <c r="AV143" s="3463"/>
      <c r="AW143" s="3463"/>
      <c r="AX143" s="3463"/>
      <c r="AY143" s="3463"/>
      <c r="AZ143" s="3463"/>
      <c r="BA143" s="3463"/>
      <c r="BB143" s="4094"/>
      <c r="BC143" s="3463"/>
      <c r="BD143" s="4094"/>
      <c r="BE143" s="3463"/>
      <c r="BF143" s="4094"/>
      <c r="BG143" s="3463"/>
      <c r="BH143" s="3463"/>
      <c r="BI143" s="3463"/>
      <c r="BJ143" s="3463"/>
      <c r="BK143" s="4093"/>
      <c r="BL143" s="4093"/>
      <c r="BM143" s="2463"/>
      <c r="BN143" s="3463"/>
      <c r="BO143" s="3463"/>
      <c r="BP143" s="3463"/>
      <c r="BQ143" s="4007"/>
      <c r="BR143" s="4007"/>
      <c r="BS143" s="4007"/>
      <c r="BT143" s="4007"/>
      <c r="BU143" s="3463"/>
    </row>
    <row r="144" spans="1:73" s="70" customFormat="1" ht="57" customHeight="1" x14ac:dyDescent="0.25">
      <c r="A144" s="2838"/>
      <c r="B144" s="2837"/>
      <c r="C144" s="1883"/>
      <c r="D144" s="1884"/>
      <c r="E144" s="4068"/>
      <c r="F144" s="4068"/>
      <c r="G144" s="3378"/>
      <c r="H144" s="4078"/>
      <c r="I144" s="4091"/>
      <c r="J144" s="2703"/>
      <c r="K144" s="3657"/>
      <c r="L144" s="2703"/>
      <c r="M144" s="3601"/>
      <c r="N144" s="4078"/>
      <c r="O144" s="4081"/>
      <c r="P144" s="4081"/>
      <c r="Q144" s="3377"/>
      <c r="R144" s="3434"/>
      <c r="S144" s="4084"/>
      <c r="T144" s="4058"/>
      <c r="U144" s="4059"/>
      <c r="V144" s="4046"/>
      <c r="W144" s="4090"/>
      <c r="X144" s="2193">
        <v>95887551.159999996</v>
      </c>
      <c r="Y144" s="2183">
        <v>0</v>
      </c>
      <c r="Z144" s="2183">
        <v>0</v>
      </c>
      <c r="AA144" s="896" t="s">
        <v>1380</v>
      </c>
      <c r="AB144" s="898">
        <v>84</v>
      </c>
      <c r="AC144" s="897" t="s">
        <v>1358</v>
      </c>
      <c r="AD144" s="2318"/>
      <c r="AE144" s="3463"/>
      <c r="AF144" s="2318"/>
      <c r="AG144" s="3463"/>
      <c r="AH144" s="2318"/>
      <c r="AI144" s="3463"/>
      <c r="AJ144" s="2318"/>
      <c r="AK144" s="3463"/>
      <c r="AL144" s="2318"/>
      <c r="AM144" s="3463"/>
      <c r="AN144" s="2318"/>
      <c r="AO144" s="3463"/>
      <c r="AP144" s="3463"/>
      <c r="AQ144" s="3463"/>
      <c r="AR144" s="3463"/>
      <c r="AS144" s="3463"/>
      <c r="AT144" s="3463"/>
      <c r="AU144" s="3463"/>
      <c r="AV144" s="3463"/>
      <c r="AW144" s="3463"/>
      <c r="AX144" s="3463"/>
      <c r="AY144" s="3463"/>
      <c r="AZ144" s="3463"/>
      <c r="BA144" s="3463"/>
      <c r="BB144" s="4094"/>
      <c r="BC144" s="3463"/>
      <c r="BD144" s="4094"/>
      <c r="BE144" s="3463"/>
      <c r="BF144" s="4094"/>
      <c r="BG144" s="3463"/>
      <c r="BH144" s="3463"/>
      <c r="BI144" s="3463"/>
      <c r="BJ144" s="3463"/>
      <c r="BK144" s="4093"/>
      <c r="BL144" s="4093"/>
      <c r="BM144" s="2463"/>
      <c r="BN144" s="3463"/>
      <c r="BO144" s="3463"/>
      <c r="BP144" s="3463"/>
      <c r="BQ144" s="4007"/>
      <c r="BR144" s="4007"/>
      <c r="BS144" s="4007"/>
      <c r="BT144" s="4007"/>
      <c r="BU144" s="3463"/>
    </row>
    <row r="145" spans="1:93" ht="27" customHeight="1" x14ac:dyDescent="0.25">
      <c r="A145" s="899">
        <v>2</v>
      </c>
      <c r="B145" s="4061" t="s">
        <v>1382</v>
      </c>
      <c r="C145" s="3594"/>
      <c r="D145" s="3594"/>
      <c r="E145" s="3594"/>
      <c r="F145" s="3594"/>
      <c r="G145" s="3594"/>
      <c r="H145" s="377"/>
      <c r="I145" s="377"/>
      <c r="J145" s="19"/>
      <c r="K145" s="900"/>
      <c r="L145" s="900"/>
      <c r="M145" s="900"/>
      <c r="N145" s="901"/>
      <c r="O145" s="900"/>
      <c r="P145" s="900"/>
      <c r="Q145" s="900"/>
      <c r="R145" s="901"/>
      <c r="S145" s="902"/>
      <c r="T145" s="902"/>
      <c r="U145" s="902"/>
      <c r="V145" s="902"/>
      <c r="W145" s="902"/>
      <c r="X145" s="2194"/>
      <c r="Y145" s="2194"/>
      <c r="Z145" s="2194"/>
      <c r="AA145" s="902"/>
      <c r="AB145" s="902"/>
      <c r="AC145" s="902"/>
      <c r="AD145" s="902"/>
      <c r="AE145" s="902"/>
      <c r="AF145" s="902"/>
      <c r="AG145" s="903"/>
      <c r="AH145" s="903"/>
      <c r="AI145" s="903"/>
      <c r="AJ145" s="903"/>
      <c r="AK145" s="903"/>
      <c r="AL145" s="903"/>
      <c r="AM145" s="903"/>
      <c r="AN145" s="903"/>
      <c r="AO145" s="903"/>
      <c r="AP145" s="903"/>
      <c r="AQ145" s="903"/>
      <c r="AR145" s="903"/>
      <c r="AS145" s="903"/>
      <c r="AT145" s="903"/>
      <c r="AU145" s="903"/>
      <c r="AV145" s="903"/>
      <c r="AW145" s="903"/>
      <c r="AX145" s="903"/>
      <c r="AY145" s="903"/>
      <c r="AZ145" s="903"/>
      <c r="BA145" s="903"/>
      <c r="BB145" s="903"/>
      <c r="BC145" s="903"/>
      <c r="BD145" s="903"/>
      <c r="BE145" s="903"/>
      <c r="BF145" s="903"/>
      <c r="BG145" s="903"/>
      <c r="BH145" s="903"/>
      <c r="BI145" s="903"/>
      <c r="BJ145" s="903"/>
      <c r="BK145" s="904"/>
      <c r="BL145" s="904"/>
      <c r="BM145" s="903"/>
      <c r="BN145" s="903"/>
      <c r="BO145" s="903"/>
      <c r="BP145" s="903"/>
      <c r="BQ145" s="905"/>
      <c r="BR145" s="905"/>
      <c r="BS145" s="905"/>
      <c r="BT145" s="905"/>
      <c r="BU145" s="906"/>
      <c r="BV145" s="2"/>
      <c r="BW145" s="2"/>
      <c r="BX145" s="2"/>
      <c r="BY145" s="2"/>
      <c r="BZ145" s="2"/>
      <c r="CA145" s="2"/>
      <c r="CB145" s="2"/>
      <c r="CC145" s="2"/>
      <c r="CD145" s="2"/>
      <c r="CE145" s="2"/>
      <c r="CF145" s="2"/>
      <c r="CG145" s="2"/>
      <c r="CH145" s="2"/>
      <c r="CI145" s="2"/>
      <c r="CJ145" s="2"/>
      <c r="CK145" s="2"/>
      <c r="CL145" s="2"/>
      <c r="CM145" s="2"/>
      <c r="CN145" s="2"/>
      <c r="CO145" s="2"/>
    </row>
    <row r="146" spans="1:93" s="70" customFormat="1" ht="27" customHeight="1" x14ac:dyDescent="0.25">
      <c r="A146" s="1882"/>
      <c r="B146" s="1897"/>
      <c r="C146" s="907">
        <v>17</v>
      </c>
      <c r="D146" s="3374" t="s">
        <v>724</v>
      </c>
      <c r="E146" s="3375"/>
      <c r="F146" s="3375"/>
      <c r="G146" s="3375"/>
      <c r="H146" s="3375"/>
      <c r="I146" s="3375"/>
      <c r="J146" s="3375"/>
      <c r="K146" s="310"/>
      <c r="L146" s="310"/>
      <c r="M146" s="310"/>
      <c r="N146" s="311"/>
      <c r="O146" s="310"/>
      <c r="P146" s="310"/>
      <c r="Q146" s="310"/>
      <c r="R146" s="311"/>
      <c r="S146" s="456"/>
      <c r="T146" s="456"/>
      <c r="U146" s="456"/>
      <c r="V146" s="456"/>
      <c r="W146" s="456"/>
      <c r="X146" s="2195"/>
      <c r="Y146" s="2195"/>
      <c r="Z146" s="2195"/>
      <c r="AA146" s="456"/>
      <c r="AB146" s="456"/>
      <c r="AC146" s="456"/>
      <c r="AD146" s="456"/>
      <c r="AE146" s="456"/>
      <c r="AF146" s="456"/>
      <c r="AG146" s="310"/>
      <c r="AH146" s="310"/>
      <c r="AI146" s="310"/>
      <c r="AJ146" s="310"/>
      <c r="AK146" s="310"/>
      <c r="AL146" s="310"/>
      <c r="AM146" s="310"/>
      <c r="AN146" s="310"/>
      <c r="AO146" s="310"/>
      <c r="AP146" s="310"/>
      <c r="AQ146" s="310"/>
      <c r="AR146" s="310"/>
      <c r="AS146" s="310"/>
      <c r="AT146" s="310"/>
      <c r="AU146" s="310"/>
      <c r="AV146" s="310"/>
      <c r="AW146" s="310"/>
      <c r="AX146" s="310"/>
      <c r="AY146" s="310"/>
      <c r="AZ146" s="310"/>
      <c r="BA146" s="310"/>
      <c r="BB146" s="310"/>
      <c r="BC146" s="310"/>
      <c r="BD146" s="310"/>
      <c r="BE146" s="310"/>
      <c r="BF146" s="310"/>
      <c r="BG146" s="310"/>
      <c r="BH146" s="310"/>
      <c r="BI146" s="310"/>
      <c r="BJ146" s="310"/>
      <c r="BK146" s="908"/>
      <c r="BL146" s="908"/>
      <c r="BM146" s="310"/>
      <c r="BN146" s="310"/>
      <c r="BO146" s="310"/>
      <c r="BP146" s="310"/>
      <c r="BQ146" s="460"/>
      <c r="BR146" s="460"/>
      <c r="BS146" s="460"/>
      <c r="BT146" s="460"/>
      <c r="BU146" s="909"/>
    </row>
    <row r="147" spans="1:93" s="2" customFormat="1" ht="27" customHeight="1" x14ac:dyDescent="0.25">
      <c r="A147" s="410"/>
      <c r="B147" s="910"/>
      <c r="C147" s="911"/>
      <c r="D147" s="912"/>
      <c r="E147" s="414">
        <v>1702</v>
      </c>
      <c r="F147" s="1923" t="s">
        <v>1383</v>
      </c>
      <c r="G147" s="1924"/>
      <c r="H147" s="1924"/>
      <c r="I147" s="1924"/>
      <c r="J147" s="1924"/>
      <c r="K147" s="1924"/>
      <c r="L147" s="1924"/>
      <c r="M147" s="886"/>
      <c r="N147" s="887"/>
      <c r="O147" s="391"/>
      <c r="P147" s="391"/>
      <c r="Q147" s="391"/>
      <c r="R147" s="393"/>
      <c r="S147" s="849"/>
      <c r="T147" s="849"/>
      <c r="U147" s="849"/>
      <c r="V147" s="849"/>
      <c r="W147" s="849"/>
      <c r="X147" s="2172"/>
      <c r="Y147" s="2172"/>
      <c r="Z147" s="2172"/>
      <c r="AA147" s="849"/>
      <c r="AB147" s="849"/>
      <c r="AC147" s="849"/>
      <c r="AD147" s="849"/>
      <c r="AE147" s="849"/>
      <c r="AF147" s="849"/>
      <c r="AG147" s="848"/>
      <c r="AH147" s="848"/>
      <c r="AI147" s="848"/>
      <c r="AJ147" s="848"/>
      <c r="AK147" s="848"/>
      <c r="AL147" s="848"/>
      <c r="AM147" s="848"/>
      <c r="AN147" s="848"/>
      <c r="AO147" s="848"/>
      <c r="AP147" s="848"/>
      <c r="AQ147" s="848"/>
      <c r="AR147" s="848"/>
      <c r="AS147" s="848"/>
      <c r="AT147" s="848"/>
      <c r="AU147" s="848"/>
      <c r="AV147" s="848"/>
      <c r="AW147" s="848"/>
      <c r="AX147" s="848"/>
      <c r="AY147" s="848"/>
      <c r="AZ147" s="848"/>
      <c r="BA147" s="848"/>
      <c r="BB147" s="848"/>
      <c r="BC147" s="848"/>
      <c r="BD147" s="848"/>
      <c r="BE147" s="848"/>
      <c r="BF147" s="848"/>
      <c r="BG147" s="848"/>
      <c r="BH147" s="848"/>
      <c r="BI147" s="848"/>
      <c r="BJ147" s="848"/>
      <c r="BK147" s="851"/>
      <c r="BL147" s="851"/>
      <c r="BM147" s="848"/>
      <c r="BN147" s="848"/>
      <c r="BO147" s="848"/>
      <c r="BP147" s="848"/>
      <c r="BQ147" s="853"/>
      <c r="BR147" s="853"/>
      <c r="BS147" s="853"/>
      <c r="BT147" s="853"/>
      <c r="BU147" s="854"/>
    </row>
    <row r="148" spans="1:93" s="2" customFormat="1" ht="105.75" customHeight="1" x14ac:dyDescent="0.25">
      <c r="A148" s="410"/>
      <c r="B148" s="910"/>
      <c r="C148" s="410"/>
      <c r="D148" s="411"/>
      <c r="E148" s="4068"/>
      <c r="F148" s="4068"/>
      <c r="G148" s="4060">
        <v>1702011</v>
      </c>
      <c r="H148" s="4075" t="s">
        <v>1384</v>
      </c>
      <c r="I148" s="4060">
        <v>1702011</v>
      </c>
      <c r="J148" s="4075" t="s">
        <v>1384</v>
      </c>
      <c r="K148" s="2387" t="s">
        <v>1385</v>
      </c>
      <c r="L148" s="2429" t="s">
        <v>1386</v>
      </c>
      <c r="M148" s="2387" t="s">
        <v>1385</v>
      </c>
      <c r="N148" s="2429" t="s">
        <v>1386</v>
      </c>
      <c r="O148" s="2387">
        <v>4</v>
      </c>
      <c r="P148" s="2387">
        <v>0</v>
      </c>
      <c r="Q148" s="3409" t="s">
        <v>1387</v>
      </c>
      <c r="R148" s="2429" t="s">
        <v>1388</v>
      </c>
      <c r="S148" s="3632">
        <f>SUM(X148:X149)/T148</f>
        <v>1</v>
      </c>
      <c r="T148" s="4021">
        <f>SUM(X148:X149)</f>
        <v>18000000</v>
      </c>
      <c r="U148" s="2429" t="s">
        <v>1389</v>
      </c>
      <c r="V148" s="2772" t="s">
        <v>1390</v>
      </c>
      <c r="W148" s="1888" t="s">
        <v>1391</v>
      </c>
      <c r="X148" s="2165">
        <v>10000000</v>
      </c>
      <c r="Y148" s="2176">
        <v>5770000</v>
      </c>
      <c r="Z148" s="2176">
        <v>4327000</v>
      </c>
      <c r="AA148" s="1950" t="s">
        <v>1392</v>
      </c>
      <c r="AB148" s="4019">
        <v>20</v>
      </c>
      <c r="AC148" s="2258" t="s">
        <v>187</v>
      </c>
      <c r="AD148" s="4065">
        <v>1000</v>
      </c>
      <c r="AE148" s="4065">
        <v>314</v>
      </c>
      <c r="AF148" s="4065" t="s">
        <v>319</v>
      </c>
      <c r="AG148" s="4065">
        <v>64</v>
      </c>
      <c r="AH148" s="4065" t="s">
        <v>319</v>
      </c>
      <c r="AI148" s="4065"/>
      <c r="AJ148" s="4065" t="s">
        <v>319</v>
      </c>
      <c r="AK148" s="4065">
        <v>23</v>
      </c>
      <c r="AL148" s="4065">
        <v>1000</v>
      </c>
      <c r="AM148" s="4065">
        <v>235</v>
      </c>
      <c r="AN148" s="2742"/>
      <c r="AO148" s="4065">
        <v>37</v>
      </c>
      <c r="AP148" s="2742"/>
      <c r="AQ148" s="4065">
        <v>1</v>
      </c>
      <c r="AR148" s="2742"/>
      <c r="AS148" s="4065">
        <v>4</v>
      </c>
      <c r="AT148" s="2742"/>
      <c r="AU148" s="4065">
        <v>1</v>
      </c>
      <c r="AV148" s="2742"/>
      <c r="AW148" s="4065"/>
      <c r="AX148" s="2742"/>
      <c r="AY148" s="4065"/>
      <c r="AZ148" s="2742"/>
      <c r="BA148" s="4065"/>
      <c r="BB148" s="2742"/>
      <c r="BC148" s="4065">
        <v>7</v>
      </c>
      <c r="BD148" s="2742"/>
      <c r="BE148" s="4065">
        <v>13</v>
      </c>
      <c r="BF148" s="2742"/>
      <c r="BG148" s="4065">
        <v>11</v>
      </c>
      <c r="BH148" s="2742">
        <v>1000</v>
      </c>
      <c r="BI148" s="4065">
        <f>SUM(AI148+AK148+AM148+AO148)</f>
        <v>295</v>
      </c>
      <c r="BJ148" s="2242">
        <v>1</v>
      </c>
      <c r="BK148" s="4073">
        <f>SUM(Y148:Y149)</f>
        <v>11540000</v>
      </c>
      <c r="BL148" s="4073">
        <f>SUM(Z148:Z149)</f>
        <v>8655000</v>
      </c>
      <c r="BM148" s="4074">
        <f>BL148/BK148</f>
        <v>0.75</v>
      </c>
      <c r="BN148" s="4065">
        <v>20</v>
      </c>
      <c r="BO148" s="4065" t="s">
        <v>187</v>
      </c>
      <c r="BP148" s="2742" t="s">
        <v>1393</v>
      </c>
      <c r="BQ148" s="3645">
        <v>44197</v>
      </c>
      <c r="BR148" s="3645">
        <v>44257</v>
      </c>
      <c r="BS148" s="3645">
        <v>44561</v>
      </c>
      <c r="BT148" s="3645">
        <v>44376</v>
      </c>
      <c r="BU148" s="2742" t="s">
        <v>1393</v>
      </c>
    </row>
    <row r="149" spans="1:93" s="2" customFormat="1" ht="108.75" customHeight="1" x14ac:dyDescent="0.25">
      <c r="A149" s="410"/>
      <c r="B149" s="910"/>
      <c r="C149" s="913"/>
      <c r="D149" s="411"/>
      <c r="E149" s="4068"/>
      <c r="F149" s="4068"/>
      <c r="G149" s="4069"/>
      <c r="H149" s="4075"/>
      <c r="I149" s="4069"/>
      <c r="J149" s="4075"/>
      <c r="K149" s="2387"/>
      <c r="L149" s="2429"/>
      <c r="M149" s="2387"/>
      <c r="N149" s="2429"/>
      <c r="O149" s="2387"/>
      <c r="P149" s="2387"/>
      <c r="Q149" s="3409"/>
      <c r="R149" s="2429"/>
      <c r="S149" s="3632"/>
      <c r="T149" s="4021"/>
      <c r="U149" s="2429"/>
      <c r="V149" s="2772"/>
      <c r="W149" s="1887" t="s">
        <v>1394</v>
      </c>
      <c r="X149" s="2173">
        <v>8000000</v>
      </c>
      <c r="Y149" s="2182">
        <v>5770000</v>
      </c>
      <c r="Z149" s="2176">
        <v>4328000</v>
      </c>
      <c r="AA149" s="1950" t="s">
        <v>1392</v>
      </c>
      <c r="AB149" s="4019"/>
      <c r="AC149" s="2258"/>
      <c r="AD149" s="4065"/>
      <c r="AE149" s="4065"/>
      <c r="AF149" s="4065"/>
      <c r="AG149" s="4065"/>
      <c r="AH149" s="4065"/>
      <c r="AI149" s="4065"/>
      <c r="AJ149" s="4065"/>
      <c r="AK149" s="4065"/>
      <c r="AL149" s="4065"/>
      <c r="AM149" s="4065"/>
      <c r="AN149" s="2742"/>
      <c r="AO149" s="4065"/>
      <c r="AP149" s="2742"/>
      <c r="AQ149" s="4065"/>
      <c r="AR149" s="2742"/>
      <c r="AS149" s="4065"/>
      <c r="AT149" s="2742"/>
      <c r="AU149" s="4065"/>
      <c r="AV149" s="2742"/>
      <c r="AW149" s="4065"/>
      <c r="AX149" s="2742"/>
      <c r="AY149" s="4065"/>
      <c r="AZ149" s="2742"/>
      <c r="BA149" s="4065"/>
      <c r="BB149" s="2742"/>
      <c r="BC149" s="4065"/>
      <c r="BD149" s="2742"/>
      <c r="BE149" s="4065"/>
      <c r="BF149" s="2742"/>
      <c r="BG149" s="4065"/>
      <c r="BH149" s="2742"/>
      <c r="BI149" s="4065"/>
      <c r="BJ149" s="2242"/>
      <c r="BK149" s="4073"/>
      <c r="BL149" s="4073"/>
      <c r="BM149" s="4074"/>
      <c r="BN149" s="4065"/>
      <c r="BO149" s="4065"/>
      <c r="BP149" s="2742"/>
      <c r="BQ149" s="3645"/>
      <c r="BR149" s="3645"/>
      <c r="BS149" s="3645"/>
      <c r="BT149" s="3645"/>
      <c r="BU149" s="2742"/>
    </row>
    <row r="150" spans="1:93" s="2" customFormat="1" ht="27.75" customHeight="1" x14ac:dyDescent="0.25">
      <c r="A150" s="410"/>
      <c r="B150" s="910"/>
      <c r="C150" s="914">
        <v>36</v>
      </c>
      <c r="D150" s="915" t="s">
        <v>1395</v>
      </c>
      <c r="E150" s="916"/>
      <c r="F150" s="916"/>
      <c r="G150" s="916"/>
      <c r="H150" s="917"/>
      <c r="I150" s="916"/>
      <c r="J150" s="918"/>
      <c r="K150" s="567"/>
      <c r="L150" s="918"/>
      <c r="M150" s="567"/>
      <c r="N150" s="918"/>
      <c r="O150" s="567"/>
      <c r="P150" s="567"/>
      <c r="Q150" s="567"/>
      <c r="R150" s="918"/>
      <c r="S150" s="857"/>
      <c r="T150" s="858"/>
      <c r="U150" s="918"/>
      <c r="V150" s="919"/>
      <c r="W150" s="918"/>
      <c r="X150" s="2175"/>
      <c r="Y150" s="2175"/>
      <c r="Z150" s="2175"/>
      <c r="AA150" s="844"/>
      <c r="AB150" s="861"/>
      <c r="AC150" s="485"/>
      <c r="AD150" s="862"/>
      <c r="AE150" s="862"/>
      <c r="AF150" s="862"/>
      <c r="AG150" s="862"/>
      <c r="AH150" s="862"/>
      <c r="AI150" s="862"/>
      <c r="AJ150" s="862"/>
      <c r="AK150" s="862"/>
      <c r="AL150" s="862"/>
      <c r="AM150" s="862"/>
      <c r="AN150" s="861"/>
      <c r="AO150" s="861"/>
      <c r="AP150" s="861"/>
      <c r="AQ150" s="861"/>
      <c r="AR150" s="861"/>
      <c r="AS150" s="861"/>
      <c r="AT150" s="861"/>
      <c r="AU150" s="861"/>
      <c r="AV150" s="861"/>
      <c r="AW150" s="861"/>
      <c r="AX150" s="861"/>
      <c r="AY150" s="861"/>
      <c r="AZ150" s="861"/>
      <c r="BA150" s="861"/>
      <c r="BB150" s="861"/>
      <c r="BC150" s="861"/>
      <c r="BD150" s="861"/>
      <c r="BE150" s="861"/>
      <c r="BF150" s="861"/>
      <c r="BG150" s="861"/>
      <c r="BH150" s="861"/>
      <c r="BI150" s="861"/>
      <c r="BJ150" s="861"/>
      <c r="BK150" s="860"/>
      <c r="BL150" s="860"/>
      <c r="BM150" s="861"/>
      <c r="BN150" s="861"/>
      <c r="BO150" s="861"/>
      <c r="BP150" s="861"/>
      <c r="BQ150" s="920"/>
      <c r="BR150" s="920"/>
      <c r="BS150" s="920"/>
      <c r="BT150" s="920"/>
      <c r="BU150" s="921"/>
    </row>
    <row r="151" spans="1:93" s="2" customFormat="1" ht="27" customHeight="1" x14ac:dyDescent="0.25">
      <c r="A151" s="410"/>
      <c r="B151" s="910"/>
      <c r="C151" s="911"/>
      <c r="D151" s="912"/>
      <c r="E151" s="922">
        <v>3604</v>
      </c>
      <c r="F151" s="866" t="s">
        <v>1396</v>
      </c>
      <c r="G151" s="867"/>
      <c r="H151" s="885"/>
      <c r="I151" s="867"/>
      <c r="J151" s="885"/>
      <c r="K151" s="867"/>
      <c r="L151" s="885"/>
      <c r="M151" s="867"/>
      <c r="N151" s="885"/>
      <c r="O151" s="391"/>
      <c r="P151" s="391"/>
      <c r="Q151" s="391"/>
      <c r="R151" s="393"/>
      <c r="S151" s="849"/>
      <c r="T151" s="850"/>
      <c r="U151" s="882"/>
      <c r="V151" s="882"/>
      <c r="W151" s="882"/>
      <c r="X151" s="2172"/>
      <c r="Y151" s="2172"/>
      <c r="Z151" s="2172"/>
      <c r="AA151" s="923"/>
      <c r="AB151" s="58"/>
      <c r="AC151" s="188"/>
      <c r="AD151" s="848"/>
      <c r="AE151" s="848"/>
      <c r="AF151" s="848"/>
      <c r="AG151" s="848"/>
      <c r="AH151" s="848"/>
      <c r="AI151" s="848"/>
      <c r="AJ151" s="848"/>
      <c r="AK151" s="848"/>
      <c r="AL151" s="848"/>
      <c r="AM151" s="848"/>
      <c r="AN151" s="848"/>
      <c r="AO151" s="848"/>
      <c r="AP151" s="848"/>
      <c r="AQ151" s="848"/>
      <c r="AR151" s="848"/>
      <c r="AS151" s="848"/>
      <c r="AT151" s="848"/>
      <c r="AU151" s="848"/>
      <c r="AV151" s="848"/>
      <c r="AW151" s="848"/>
      <c r="AX151" s="848"/>
      <c r="AY151" s="848"/>
      <c r="AZ151" s="848"/>
      <c r="BA151" s="848"/>
      <c r="BB151" s="848"/>
      <c r="BC151" s="848"/>
      <c r="BD151" s="848"/>
      <c r="BE151" s="848"/>
      <c r="BF151" s="848"/>
      <c r="BG151" s="848"/>
      <c r="BH151" s="848"/>
      <c r="BI151" s="848"/>
      <c r="BJ151" s="848"/>
      <c r="BK151" s="851"/>
      <c r="BL151" s="851"/>
      <c r="BM151" s="848"/>
      <c r="BN151" s="848"/>
      <c r="BO151" s="848"/>
      <c r="BP151" s="848"/>
      <c r="BQ151" s="853"/>
      <c r="BR151" s="853"/>
      <c r="BS151" s="853"/>
      <c r="BT151" s="853"/>
      <c r="BU151" s="854"/>
    </row>
    <row r="152" spans="1:93" s="2" customFormat="1" ht="66.75" customHeight="1" x14ac:dyDescent="0.25">
      <c r="A152" s="410"/>
      <c r="B152" s="910"/>
      <c r="C152" s="410"/>
      <c r="D152" s="411"/>
      <c r="E152" s="4068"/>
      <c r="F152" s="4068"/>
      <c r="G152" s="4060">
        <v>3604006</v>
      </c>
      <c r="H152" s="4070" t="s">
        <v>1397</v>
      </c>
      <c r="I152" s="4060">
        <v>3604006</v>
      </c>
      <c r="J152" s="4070" t="s">
        <v>1397</v>
      </c>
      <c r="K152" s="3598" t="s">
        <v>1398</v>
      </c>
      <c r="L152" s="2429" t="s">
        <v>1399</v>
      </c>
      <c r="M152" s="3598" t="s">
        <v>1398</v>
      </c>
      <c r="N152" s="2429" t="s">
        <v>1399</v>
      </c>
      <c r="O152" s="2387">
        <v>200</v>
      </c>
      <c r="P152" s="2387">
        <v>24</v>
      </c>
      <c r="Q152" s="2387" t="s">
        <v>1400</v>
      </c>
      <c r="R152" s="2429" t="s">
        <v>1401</v>
      </c>
      <c r="S152" s="3632">
        <f>SUM(X152:X156)/T152</f>
        <v>1</v>
      </c>
      <c r="T152" s="4021">
        <f>SUM(X152:X156)</f>
        <v>38195000</v>
      </c>
      <c r="U152" s="2429" t="s">
        <v>1402</v>
      </c>
      <c r="V152" s="2429" t="s">
        <v>1163</v>
      </c>
      <c r="W152" s="4066" t="s">
        <v>1403</v>
      </c>
      <c r="X152" s="2165">
        <v>1000000</v>
      </c>
      <c r="Y152" s="2176">
        <v>900000</v>
      </c>
      <c r="Z152" s="2176">
        <v>500000</v>
      </c>
      <c r="AA152" s="896" t="s">
        <v>1404</v>
      </c>
      <c r="AB152" s="870">
        <v>20</v>
      </c>
      <c r="AC152" s="1856" t="s">
        <v>187</v>
      </c>
      <c r="AD152" s="4065">
        <v>104</v>
      </c>
      <c r="AE152" s="2742">
        <v>164</v>
      </c>
      <c r="AF152" s="4065">
        <v>96</v>
      </c>
      <c r="AG152" s="2742">
        <v>113</v>
      </c>
      <c r="AH152" s="4065">
        <v>25</v>
      </c>
      <c r="AI152" s="2742">
        <v>153</v>
      </c>
      <c r="AJ152" s="4065">
        <v>50</v>
      </c>
      <c r="AK152" s="2742">
        <v>10</v>
      </c>
      <c r="AL152" s="4065">
        <v>125</v>
      </c>
      <c r="AM152" s="2742">
        <v>100</v>
      </c>
      <c r="AN152" s="2742"/>
      <c r="AO152" s="2742">
        <v>14</v>
      </c>
      <c r="AP152" s="2742"/>
      <c r="AQ152" s="2742"/>
      <c r="AR152" s="2742"/>
      <c r="AS152" s="2742"/>
      <c r="AT152" s="2742"/>
      <c r="AU152" s="2742"/>
      <c r="AV152" s="2742"/>
      <c r="AW152" s="2742"/>
      <c r="AX152" s="2742"/>
      <c r="AY152" s="2742"/>
      <c r="AZ152" s="2742"/>
      <c r="BA152" s="2742"/>
      <c r="BB152" s="2742"/>
      <c r="BC152" s="2742"/>
      <c r="BD152" s="2742"/>
      <c r="BE152" s="2742"/>
      <c r="BF152" s="2742"/>
      <c r="BG152" s="2742"/>
      <c r="BH152" s="2742">
        <v>200</v>
      </c>
      <c r="BI152" s="2742">
        <f>SUM(AI152+AK152+AM152+AO152)</f>
        <v>277</v>
      </c>
      <c r="BJ152" s="2742">
        <v>1</v>
      </c>
      <c r="BK152" s="4003">
        <f>SUM(Y152:Y156)</f>
        <v>8900000</v>
      </c>
      <c r="BL152" s="4003">
        <f>SUM(Z152:Z156)</f>
        <v>6675000</v>
      </c>
      <c r="BM152" s="2707">
        <f>BL152/BK152</f>
        <v>0.75</v>
      </c>
      <c r="BN152" s="2742">
        <v>20</v>
      </c>
      <c r="BO152" s="2742" t="s">
        <v>187</v>
      </c>
      <c r="BP152" s="2742" t="s">
        <v>1124</v>
      </c>
      <c r="BQ152" s="3645">
        <v>44197</v>
      </c>
      <c r="BR152" s="3645">
        <v>44259</v>
      </c>
      <c r="BS152" s="3645">
        <v>44561</v>
      </c>
      <c r="BT152" s="3645">
        <v>44378</v>
      </c>
      <c r="BU152" s="2742" t="s">
        <v>1124</v>
      </c>
    </row>
    <row r="153" spans="1:93" s="2" customFormat="1" ht="66.75" customHeight="1" x14ac:dyDescent="0.25">
      <c r="A153" s="410"/>
      <c r="B153" s="910"/>
      <c r="C153" s="410"/>
      <c r="D153" s="411"/>
      <c r="E153" s="4068"/>
      <c r="F153" s="4068"/>
      <c r="G153" s="4060"/>
      <c r="H153" s="4070"/>
      <c r="I153" s="4060"/>
      <c r="J153" s="4070"/>
      <c r="K153" s="3598"/>
      <c r="L153" s="2429"/>
      <c r="M153" s="3598"/>
      <c r="N153" s="2429"/>
      <c r="O153" s="2387"/>
      <c r="P153" s="2387"/>
      <c r="Q153" s="2387"/>
      <c r="R153" s="2429"/>
      <c r="S153" s="3632"/>
      <c r="T153" s="4021"/>
      <c r="U153" s="2429"/>
      <c r="V153" s="2429"/>
      <c r="W153" s="4067"/>
      <c r="X153" s="2165">
        <v>20195000</v>
      </c>
      <c r="Y153" s="2176"/>
      <c r="Z153" s="2176"/>
      <c r="AA153" s="896" t="s">
        <v>1405</v>
      </c>
      <c r="AB153" s="870">
        <v>88</v>
      </c>
      <c r="AC153" s="1856" t="s">
        <v>1126</v>
      </c>
      <c r="AD153" s="4065"/>
      <c r="AE153" s="2742"/>
      <c r="AF153" s="4065"/>
      <c r="AG153" s="2742"/>
      <c r="AH153" s="4065"/>
      <c r="AI153" s="2742"/>
      <c r="AJ153" s="4065"/>
      <c r="AK153" s="2742"/>
      <c r="AL153" s="4065"/>
      <c r="AM153" s="2742"/>
      <c r="AN153" s="2742"/>
      <c r="AO153" s="2742"/>
      <c r="AP153" s="2742"/>
      <c r="AQ153" s="2742"/>
      <c r="AR153" s="2742"/>
      <c r="AS153" s="2742"/>
      <c r="AT153" s="2742"/>
      <c r="AU153" s="2742"/>
      <c r="AV153" s="2742"/>
      <c r="AW153" s="2742"/>
      <c r="AX153" s="2742"/>
      <c r="AY153" s="2742"/>
      <c r="AZ153" s="2742"/>
      <c r="BA153" s="2742"/>
      <c r="BB153" s="2742"/>
      <c r="BC153" s="2742"/>
      <c r="BD153" s="2742"/>
      <c r="BE153" s="2742"/>
      <c r="BF153" s="2742"/>
      <c r="BG153" s="2742"/>
      <c r="BH153" s="2742"/>
      <c r="BI153" s="2742"/>
      <c r="BJ153" s="2742"/>
      <c r="BK153" s="4003"/>
      <c r="BL153" s="4003"/>
      <c r="BM153" s="2707"/>
      <c r="BN153" s="2742"/>
      <c r="BO153" s="2742"/>
      <c r="BP153" s="2742"/>
      <c r="BQ153" s="3645"/>
      <c r="BR153" s="3645"/>
      <c r="BS153" s="3645"/>
      <c r="BT153" s="3645"/>
      <c r="BU153" s="2742"/>
    </row>
    <row r="154" spans="1:93" s="2" customFormat="1" ht="100.5" customHeight="1" x14ac:dyDescent="0.25">
      <c r="A154" s="410"/>
      <c r="B154" s="910"/>
      <c r="C154" s="410"/>
      <c r="D154" s="411"/>
      <c r="E154" s="4068"/>
      <c r="F154" s="4068"/>
      <c r="G154" s="4060"/>
      <c r="H154" s="4071"/>
      <c r="I154" s="4060"/>
      <c r="J154" s="4071"/>
      <c r="K154" s="3598"/>
      <c r="L154" s="2429"/>
      <c r="M154" s="3598"/>
      <c r="N154" s="2429"/>
      <c r="O154" s="2387"/>
      <c r="P154" s="2387"/>
      <c r="Q154" s="2387"/>
      <c r="R154" s="2429"/>
      <c r="S154" s="3632"/>
      <c r="T154" s="4021"/>
      <c r="U154" s="2429"/>
      <c r="V154" s="2429"/>
      <c r="W154" s="1888" t="s">
        <v>1406</v>
      </c>
      <c r="X154" s="2165">
        <v>6000000</v>
      </c>
      <c r="Y154" s="2166">
        <v>6000000</v>
      </c>
      <c r="Z154" s="2166">
        <v>5175000</v>
      </c>
      <c r="AA154" s="896" t="s">
        <v>1404</v>
      </c>
      <c r="AB154" s="870">
        <v>20</v>
      </c>
      <c r="AC154" s="1856" t="s">
        <v>187</v>
      </c>
      <c r="AD154" s="4065"/>
      <c r="AE154" s="2742"/>
      <c r="AF154" s="4065"/>
      <c r="AG154" s="2742"/>
      <c r="AH154" s="4065"/>
      <c r="AI154" s="2742"/>
      <c r="AJ154" s="4065"/>
      <c r="AK154" s="2742"/>
      <c r="AL154" s="4065"/>
      <c r="AM154" s="2742"/>
      <c r="AN154" s="2742"/>
      <c r="AO154" s="2742"/>
      <c r="AP154" s="2742"/>
      <c r="AQ154" s="2742"/>
      <c r="AR154" s="2742"/>
      <c r="AS154" s="2742"/>
      <c r="AT154" s="2742"/>
      <c r="AU154" s="2742"/>
      <c r="AV154" s="2742"/>
      <c r="AW154" s="2742"/>
      <c r="AX154" s="2742"/>
      <c r="AY154" s="2742"/>
      <c r="AZ154" s="2742"/>
      <c r="BA154" s="2742"/>
      <c r="BB154" s="2742"/>
      <c r="BC154" s="2742"/>
      <c r="BD154" s="2742"/>
      <c r="BE154" s="2742"/>
      <c r="BF154" s="2742"/>
      <c r="BG154" s="2742"/>
      <c r="BH154" s="2742"/>
      <c r="BI154" s="2742"/>
      <c r="BJ154" s="2742"/>
      <c r="BK154" s="4003"/>
      <c r="BL154" s="4003"/>
      <c r="BM154" s="2707"/>
      <c r="BN154" s="2742"/>
      <c r="BO154" s="2742"/>
      <c r="BP154" s="2742"/>
      <c r="BQ154" s="3645"/>
      <c r="BR154" s="3645"/>
      <c r="BS154" s="3645"/>
      <c r="BT154" s="3645"/>
      <c r="BU154" s="2742"/>
    </row>
    <row r="155" spans="1:93" s="2" customFormat="1" ht="77.25" customHeight="1" x14ac:dyDescent="0.25">
      <c r="A155" s="410"/>
      <c r="B155" s="910"/>
      <c r="C155" s="410"/>
      <c r="D155" s="411"/>
      <c r="E155" s="4068"/>
      <c r="F155" s="4068"/>
      <c r="G155" s="4060"/>
      <c r="H155" s="4071"/>
      <c r="I155" s="4060"/>
      <c r="J155" s="4071"/>
      <c r="K155" s="3598"/>
      <c r="L155" s="2429"/>
      <c r="M155" s="3598"/>
      <c r="N155" s="2429"/>
      <c r="O155" s="2387"/>
      <c r="P155" s="2387"/>
      <c r="Q155" s="2387"/>
      <c r="R155" s="2429"/>
      <c r="S155" s="3632"/>
      <c r="T155" s="4021"/>
      <c r="U155" s="2429"/>
      <c r="V155" s="2429"/>
      <c r="W155" s="1888" t="s">
        <v>1407</v>
      </c>
      <c r="X155" s="2165">
        <v>2000000</v>
      </c>
      <c r="Y155" s="2166">
        <v>2000000</v>
      </c>
      <c r="Z155" s="2166">
        <v>1000000</v>
      </c>
      <c r="AA155" s="896" t="s">
        <v>1404</v>
      </c>
      <c r="AB155" s="870">
        <v>20</v>
      </c>
      <c r="AC155" s="1856" t="s">
        <v>187</v>
      </c>
      <c r="AD155" s="4065"/>
      <c r="AE155" s="2742"/>
      <c r="AF155" s="4065"/>
      <c r="AG155" s="2742"/>
      <c r="AH155" s="4065"/>
      <c r="AI155" s="2742"/>
      <c r="AJ155" s="4065"/>
      <c r="AK155" s="2742"/>
      <c r="AL155" s="4065"/>
      <c r="AM155" s="2742"/>
      <c r="AN155" s="2742"/>
      <c r="AO155" s="2742"/>
      <c r="AP155" s="2742"/>
      <c r="AQ155" s="2742"/>
      <c r="AR155" s="2742"/>
      <c r="AS155" s="2742"/>
      <c r="AT155" s="2742"/>
      <c r="AU155" s="2742"/>
      <c r="AV155" s="2742"/>
      <c r="AW155" s="2742"/>
      <c r="AX155" s="2742"/>
      <c r="AY155" s="2742"/>
      <c r="AZ155" s="2742"/>
      <c r="BA155" s="2742"/>
      <c r="BB155" s="2742"/>
      <c r="BC155" s="2742"/>
      <c r="BD155" s="2742"/>
      <c r="BE155" s="2742"/>
      <c r="BF155" s="2742"/>
      <c r="BG155" s="2742"/>
      <c r="BH155" s="2742"/>
      <c r="BI155" s="2742"/>
      <c r="BJ155" s="2742"/>
      <c r="BK155" s="4003"/>
      <c r="BL155" s="4003"/>
      <c r="BM155" s="2707"/>
      <c r="BN155" s="2742"/>
      <c r="BO155" s="2742"/>
      <c r="BP155" s="2742"/>
      <c r="BQ155" s="3645"/>
      <c r="BR155" s="3645"/>
      <c r="BS155" s="3645"/>
      <c r="BT155" s="3645"/>
      <c r="BU155" s="2742"/>
    </row>
    <row r="156" spans="1:93" s="2" customFormat="1" ht="45.75" customHeight="1" x14ac:dyDescent="0.25">
      <c r="A156" s="913"/>
      <c r="B156" s="910"/>
      <c r="C156" s="410"/>
      <c r="D156" s="411"/>
      <c r="E156" s="4068"/>
      <c r="F156" s="4068"/>
      <c r="G156" s="4069"/>
      <c r="H156" s="4072"/>
      <c r="I156" s="4069"/>
      <c r="J156" s="4072"/>
      <c r="K156" s="3598"/>
      <c r="L156" s="2429"/>
      <c r="M156" s="3598"/>
      <c r="N156" s="2429"/>
      <c r="O156" s="2387"/>
      <c r="P156" s="2387"/>
      <c r="Q156" s="2387"/>
      <c r="R156" s="2429"/>
      <c r="S156" s="3632"/>
      <c r="T156" s="4021"/>
      <c r="U156" s="2429"/>
      <c r="V156" s="2429"/>
      <c r="W156" s="1887" t="s">
        <v>1408</v>
      </c>
      <c r="X156" s="2173">
        <v>9000000</v>
      </c>
      <c r="Y156" s="2182"/>
      <c r="Z156" s="2182">
        <v>0</v>
      </c>
      <c r="AA156" s="896" t="s">
        <v>1404</v>
      </c>
      <c r="AB156" s="870">
        <v>20</v>
      </c>
      <c r="AC156" s="1856" t="s">
        <v>187</v>
      </c>
      <c r="AD156" s="4065"/>
      <c r="AE156" s="2742"/>
      <c r="AF156" s="4065"/>
      <c r="AG156" s="2742"/>
      <c r="AH156" s="4065"/>
      <c r="AI156" s="2742"/>
      <c r="AJ156" s="4065"/>
      <c r="AK156" s="2742"/>
      <c r="AL156" s="4065"/>
      <c r="AM156" s="2742"/>
      <c r="AN156" s="2742"/>
      <c r="AO156" s="2742"/>
      <c r="AP156" s="2742"/>
      <c r="AQ156" s="2742"/>
      <c r="AR156" s="2742"/>
      <c r="AS156" s="2742"/>
      <c r="AT156" s="2742"/>
      <c r="AU156" s="2742"/>
      <c r="AV156" s="2742"/>
      <c r="AW156" s="2742"/>
      <c r="AX156" s="2742"/>
      <c r="AY156" s="2742"/>
      <c r="AZ156" s="2742"/>
      <c r="BA156" s="2742"/>
      <c r="BB156" s="2742"/>
      <c r="BC156" s="2742"/>
      <c r="BD156" s="2742"/>
      <c r="BE156" s="2742"/>
      <c r="BF156" s="2742"/>
      <c r="BG156" s="2742"/>
      <c r="BH156" s="2742"/>
      <c r="BI156" s="2742"/>
      <c r="BJ156" s="2742"/>
      <c r="BK156" s="4003"/>
      <c r="BL156" s="4003"/>
      <c r="BM156" s="2707"/>
      <c r="BN156" s="2742"/>
      <c r="BO156" s="2742"/>
      <c r="BP156" s="2742"/>
      <c r="BQ156" s="3645"/>
      <c r="BR156" s="3645"/>
      <c r="BS156" s="3645"/>
      <c r="BT156" s="3645"/>
      <c r="BU156" s="2742"/>
    </row>
    <row r="157" spans="1:93" ht="24.75" customHeight="1" x14ac:dyDescent="0.25">
      <c r="A157" s="601">
        <v>4</v>
      </c>
      <c r="B157" s="4061" t="s">
        <v>1409</v>
      </c>
      <c r="C157" s="3594"/>
      <c r="D157" s="3594"/>
      <c r="E157" s="3594"/>
      <c r="F157" s="3594"/>
      <c r="G157" s="3594"/>
      <c r="H157" s="376"/>
      <c r="I157" s="903"/>
      <c r="J157" s="924"/>
      <c r="K157" s="903"/>
      <c r="L157" s="924"/>
      <c r="M157" s="903"/>
      <c r="N157" s="924"/>
      <c r="O157" s="903"/>
      <c r="P157" s="903"/>
      <c r="Q157" s="903"/>
      <c r="R157" s="924"/>
      <c r="S157" s="925"/>
      <c r="T157" s="926"/>
      <c r="U157" s="924"/>
      <c r="V157" s="924"/>
      <c r="W157" s="924"/>
      <c r="X157" s="2196"/>
      <c r="Y157" s="2196"/>
      <c r="Z157" s="2196"/>
      <c r="AA157" s="900"/>
      <c r="AB157" s="927"/>
      <c r="AC157" s="299"/>
      <c r="AD157" s="903"/>
      <c r="AE157" s="903"/>
      <c r="AF157" s="903"/>
      <c r="AG157" s="903"/>
      <c r="AH157" s="903"/>
      <c r="AI157" s="903"/>
      <c r="AJ157" s="903"/>
      <c r="AK157" s="903"/>
      <c r="AL157" s="903"/>
      <c r="AM157" s="903"/>
      <c r="AN157" s="903"/>
      <c r="AO157" s="903"/>
      <c r="AP157" s="903"/>
      <c r="AQ157" s="903"/>
      <c r="AR157" s="903"/>
      <c r="AS157" s="903"/>
      <c r="AT157" s="903"/>
      <c r="AU157" s="903"/>
      <c r="AV157" s="903"/>
      <c r="AW157" s="903"/>
      <c r="AX157" s="903"/>
      <c r="AY157" s="903"/>
      <c r="AZ157" s="903"/>
      <c r="BA157" s="903"/>
      <c r="BB157" s="903"/>
      <c r="BC157" s="903"/>
      <c r="BD157" s="903"/>
      <c r="BE157" s="903"/>
      <c r="BF157" s="903"/>
      <c r="BG157" s="903"/>
      <c r="BH157" s="903"/>
      <c r="BI157" s="903"/>
      <c r="BJ157" s="903"/>
      <c r="BK157" s="904"/>
      <c r="BL157" s="904"/>
      <c r="BM157" s="903"/>
      <c r="BN157" s="903"/>
      <c r="BO157" s="903"/>
      <c r="BP157" s="903"/>
      <c r="BQ157" s="905"/>
      <c r="BR157" s="905"/>
      <c r="BS157" s="905"/>
      <c r="BT157" s="905"/>
      <c r="BU157" s="906"/>
      <c r="BV157" s="2"/>
      <c r="BW157" s="2"/>
      <c r="BX157" s="2"/>
      <c r="BY157" s="2"/>
      <c r="BZ157" s="2"/>
      <c r="CA157" s="2"/>
      <c r="CB157" s="2"/>
      <c r="CC157" s="2"/>
      <c r="CD157" s="2"/>
      <c r="CE157" s="2"/>
      <c r="CF157" s="2"/>
      <c r="CG157" s="2"/>
      <c r="CH157" s="2"/>
      <c r="CI157" s="2"/>
      <c r="CJ157" s="2"/>
      <c r="CK157" s="2"/>
      <c r="CL157" s="2"/>
      <c r="CM157" s="2"/>
      <c r="CN157" s="2"/>
      <c r="CO157" s="2"/>
    </row>
    <row r="158" spans="1:93" s="70" customFormat="1" ht="24.75" customHeight="1" x14ac:dyDescent="0.25">
      <c r="A158" s="1882"/>
      <c r="B158" s="928"/>
      <c r="C158" s="929">
        <v>45</v>
      </c>
      <c r="D158" s="4062" t="s">
        <v>1410</v>
      </c>
      <c r="E158" s="4063"/>
      <c r="F158" s="4064"/>
      <c r="G158" s="4064"/>
      <c r="H158" s="930"/>
      <c r="I158" s="310"/>
      <c r="J158" s="311"/>
      <c r="K158" s="310"/>
      <c r="L158" s="311"/>
      <c r="M158" s="310"/>
      <c r="N158" s="311"/>
      <c r="O158" s="310"/>
      <c r="P158" s="310"/>
      <c r="Q158" s="310"/>
      <c r="R158" s="311"/>
      <c r="S158" s="456"/>
      <c r="T158" s="931"/>
      <c r="U158" s="311"/>
      <c r="V158" s="311"/>
      <c r="W158" s="311"/>
      <c r="X158" s="2195"/>
      <c r="Y158" s="2195"/>
      <c r="Z158" s="2195"/>
      <c r="AA158" s="310"/>
      <c r="AB158" s="458"/>
      <c r="AC158" s="312"/>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c r="BE158" s="310"/>
      <c r="BF158" s="310"/>
      <c r="BG158" s="310"/>
      <c r="BH158" s="310"/>
      <c r="BI158" s="310"/>
      <c r="BJ158" s="310"/>
      <c r="BK158" s="908"/>
      <c r="BL158" s="908"/>
      <c r="BM158" s="310"/>
      <c r="BN158" s="310"/>
      <c r="BO158" s="310"/>
      <c r="BP158" s="310"/>
      <c r="BQ158" s="460"/>
      <c r="BR158" s="460"/>
      <c r="BS158" s="460"/>
      <c r="BT158" s="460"/>
      <c r="BU158" s="909"/>
    </row>
    <row r="159" spans="1:93" s="2" customFormat="1" ht="27" customHeight="1" x14ac:dyDescent="0.25">
      <c r="A159" s="410"/>
      <c r="B159" s="910"/>
      <c r="C159" s="410"/>
      <c r="D159" s="411"/>
      <c r="E159" s="932">
        <v>4502</v>
      </c>
      <c r="F159" s="1923" t="s">
        <v>395</v>
      </c>
      <c r="G159" s="1924"/>
      <c r="H159" s="933"/>
      <c r="I159" s="934"/>
      <c r="J159" s="933"/>
      <c r="K159" s="886"/>
      <c r="L159" s="887"/>
      <c r="M159" s="391"/>
      <c r="N159" s="935"/>
      <c r="O159" s="391"/>
      <c r="P159" s="391"/>
      <c r="Q159" s="391"/>
      <c r="R159" s="393"/>
      <c r="S159" s="391"/>
      <c r="T159" s="936"/>
      <c r="U159" s="882"/>
      <c r="V159" s="882"/>
      <c r="W159" s="882"/>
      <c r="X159" s="2172"/>
      <c r="Y159" s="2172"/>
      <c r="Z159" s="2172"/>
      <c r="AA159" s="923"/>
      <c r="AB159" s="852"/>
      <c r="AC159" s="188"/>
      <c r="AD159" s="848"/>
      <c r="AE159" s="848"/>
      <c r="AF159" s="848"/>
      <c r="AG159" s="848"/>
      <c r="AH159" s="848"/>
      <c r="AI159" s="848"/>
      <c r="AJ159" s="848"/>
      <c r="AK159" s="848"/>
      <c r="AL159" s="848"/>
      <c r="AM159" s="848"/>
      <c r="AN159" s="848"/>
      <c r="AO159" s="848"/>
      <c r="AP159" s="848"/>
      <c r="AQ159" s="848"/>
      <c r="AR159" s="848"/>
      <c r="AS159" s="848"/>
      <c r="AT159" s="848"/>
      <c r="AU159" s="848"/>
      <c r="AV159" s="848"/>
      <c r="AW159" s="848"/>
      <c r="AX159" s="848"/>
      <c r="AY159" s="848"/>
      <c r="AZ159" s="848"/>
      <c r="BA159" s="848"/>
      <c r="BB159" s="848"/>
      <c r="BC159" s="848"/>
      <c r="BD159" s="848"/>
      <c r="BE159" s="848"/>
      <c r="BF159" s="848"/>
      <c r="BG159" s="848"/>
      <c r="BH159" s="848"/>
      <c r="BI159" s="848"/>
      <c r="BJ159" s="848"/>
      <c r="BK159" s="851"/>
      <c r="BL159" s="851"/>
      <c r="BM159" s="848"/>
      <c r="BN159" s="848"/>
      <c r="BO159" s="848"/>
      <c r="BP159" s="848"/>
      <c r="BQ159" s="853"/>
      <c r="BR159" s="853"/>
      <c r="BS159" s="853"/>
      <c r="BT159" s="853"/>
      <c r="BU159" s="854"/>
    </row>
    <row r="160" spans="1:93" s="2" customFormat="1" ht="239.25" customHeight="1" x14ac:dyDescent="0.25">
      <c r="A160" s="410"/>
      <c r="B160" s="910"/>
      <c r="C160" s="410"/>
      <c r="D160" s="411"/>
      <c r="E160" s="1942"/>
      <c r="F160" s="1915"/>
      <c r="G160" s="1864">
        <v>4502001</v>
      </c>
      <c r="H160" s="1867" t="s">
        <v>145</v>
      </c>
      <c r="I160" s="1864">
        <v>4502001</v>
      </c>
      <c r="J160" s="1867" t="s">
        <v>145</v>
      </c>
      <c r="K160" s="1864" t="s">
        <v>1411</v>
      </c>
      <c r="L160" s="1867" t="s">
        <v>1412</v>
      </c>
      <c r="M160" s="1864">
        <v>450200108</v>
      </c>
      <c r="N160" s="1867" t="s">
        <v>1413</v>
      </c>
      <c r="O160" s="1864">
        <v>1</v>
      </c>
      <c r="P160" s="1864">
        <v>0</v>
      </c>
      <c r="Q160" s="1907" t="s">
        <v>1414</v>
      </c>
      <c r="R160" s="1867" t="s">
        <v>1415</v>
      </c>
      <c r="S160" s="1918">
        <f>X160/T160</f>
        <v>1</v>
      </c>
      <c r="T160" s="1932">
        <f>SUM(X160)</f>
        <v>18000000</v>
      </c>
      <c r="U160" s="1867" t="s">
        <v>1416</v>
      </c>
      <c r="V160" s="1890" t="s">
        <v>1163</v>
      </c>
      <c r="W160" s="1888" t="s">
        <v>1417</v>
      </c>
      <c r="X160" s="2165">
        <v>18000000</v>
      </c>
      <c r="Y160" s="2176">
        <v>0</v>
      </c>
      <c r="Z160" s="2176">
        <v>0</v>
      </c>
      <c r="AA160" s="1950" t="s">
        <v>1418</v>
      </c>
      <c r="AB160" s="1952">
        <v>20</v>
      </c>
      <c r="AC160" s="1855" t="s">
        <v>187</v>
      </c>
      <c r="AD160" s="1881">
        <v>400</v>
      </c>
      <c r="AE160" s="1881"/>
      <c r="AF160" s="1881"/>
      <c r="AG160" s="1881"/>
      <c r="AH160" s="1881"/>
      <c r="AI160" s="1881"/>
      <c r="AJ160" s="1881"/>
      <c r="AK160" s="1881"/>
      <c r="AL160" s="1881">
        <v>400</v>
      </c>
      <c r="AM160" s="1881"/>
      <c r="AN160" s="1881"/>
      <c r="AO160" s="1881"/>
      <c r="AP160" s="1881"/>
      <c r="AQ160" s="1881"/>
      <c r="AR160" s="1881"/>
      <c r="AS160" s="1881"/>
      <c r="AT160" s="1881"/>
      <c r="AU160" s="1881"/>
      <c r="AV160" s="1881"/>
      <c r="AW160" s="1881"/>
      <c r="AX160" s="1881"/>
      <c r="AY160" s="1881"/>
      <c r="AZ160" s="1881"/>
      <c r="BA160" s="1881"/>
      <c r="BB160" s="1881"/>
      <c r="BC160" s="1881"/>
      <c r="BD160" s="1881"/>
      <c r="BE160" s="1881"/>
      <c r="BF160" s="1881"/>
      <c r="BG160" s="1881"/>
      <c r="BH160" s="1881">
        <v>400</v>
      </c>
      <c r="BI160" s="1881"/>
      <c r="BJ160" s="1881">
        <v>0</v>
      </c>
      <c r="BK160" s="1946">
        <f>SUM(Y160)</f>
        <v>0</v>
      </c>
      <c r="BL160" s="1946">
        <f>SUM(Z160)</f>
        <v>0</v>
      </c>
      <c r="BM160" s="1878" t="e">
        <f>BL160/BK160</f>
        <v>#DIV/0!</v>
      </c>
      <c r="BN160" s="1881"/>
      <c r="BO160" s="1881"/>
      <c r="BP160" s="1881"/>
      <c r="BQ160" s="1874">
        <v>44197</v>
      </c>
      <c r="BR160" s="1874"/>
      <c r="BS160" s="1874">
        <v>44561</v>
      </c>
      <c r="BT160" s="1874"/>
      <c r="BU160" s="1912" t="s">
        <v>1419</v>
      </c>
    </row>
    <row r="161" spans="1:73" s="2" customFormat="1" ht="57.75" customHeight="1" x14ac:dyDescent="0.25">
      <c r="A161" s="410"/>
      <c r="B161" s="910"/>
      <c r="C161" s="410"/>
      <c r="D161" s="411"/>
      <c r="E161" s="1942"/>
      <c r="F161" s="1942"/>
      <c r="G161" s="4060" t="s">
        <v>74</v>
      </c>
      <c r="H161" s="4059" t="s">
        <v>1420</v>
      </c>
      <c r="I161" s="4060">
        <v>4502038</v>
      </c>
      <c r="J161" s="4059" t="s">
        <v>1421</v>
      </c>
      <c r="K161" s="4060" t="s">
        <v>74</v>
      </c>
      <c r="L161" s="4059" t="s">
        <v>1422</v>
      </c>
      <c r="M161" s="4060">
        <v>450203800</v>
      </c>
      <c r="N161" s="4059" t="s">
        <v>1423</v>
      </c>
      <c r="O161" s="4060">
        <v>1</v>
      </c>
      <c r="P161" s="4060">
        <v>0.25</v>
      </c>
      <c r="Q161" s="3377" t="s">
        <v>1424</v>
      </c>
      <c r="R161" s="4059" t="s">
        <v>1425</v>
      </c>
      <c r="S161" s="4057">
        <f>SUM(X161:X167)/T161</f>
        <v>1</v>
      </c>
      <c r="T161" s="4058">
        <f>SUM(X161:X167)</f>
        <v>77000000</v>
      </c>
      <c r="U161" s="4059" t="s">
        <v>1426</v>
      </c>
      <c r="V161" s="4059" t="s">
        <v>1427</v>
      </c>
      <c r="W161" s="937" t="s">
        <v>1428</v>
      </c>
      <c r="X161" s="2197">
        <v>24690000</v>
      </c>
      <c r="Y161" s="2167">
        <v>11540000</v>
      </c>
      <c r="Z161" s="2167">
        <v>5770000</v>
      </c>
      <c r="AA161" s="1950" t="s">
        <v>1429</v>
      </c>
      <c r="AB161" s="3706">
        <v>20</v>
      </c>
      <c r="AC161" s="2258" t="s">
        <v>187</v>
      </c>
      <c r="AD161" s="2252">
        <v>3200</v>
      </c>
      <c r="AE161" s="2252">
        <v>1091</v>
      </c>
      <c r="AF161" s="4042" t="s">
        <v>319</v>
      </c>
      <c r="AG161" s="2252"/>
      <c r="AH161" s="4056">
        <v>500</v>
      </c>
      <c r="AI161" s="2252">
        <v>9</v>
      </c>
      <c r="AJ161" s="4042">
        <v>1500</v>
      </c>
      <c r="AK161" s="2252">
        <v>48</v>
      </c>
      <c r="AL161" s="4056">
        <v>900</v>
      </c>
      <c r="AM161" s="2252">
        <v>929</v>
      </c>
      <c r="AN161" s="4042">
        <v>235</v>
      </c>
      <c r="AO161" s="2252">
        <v>105</v>
      </c>
      <c r="AP161" s="4056">
        <v>15</v>
      </c>
      <c r="AQ161" s="2252">
        <v>20</v>
      </c>
      <c r="AR161" s="4042">
        <v>15</v>
      </c>
      <c r="AS161" s="2252">
        <v>16</v>
      </c>
      <c r="AT161" s="4056" t="s">
        <v>319</v>
      </c>
      <c r="AU161" s="2252"/>
      <c r="AV161" s="4042" t="s">
        <v>319</v>
      </c>
      <c r="AW161" s="2252">
        <v>2</v>
      </c>
      <c r="AX161" s="4056" t="s">
        <v>319</v>
      </c>
      <c r="AY161" s="2252"/>
      <c r="AZ161" s="4042" t="s">
        <v>319</v>
      </c>
      <c r="BA161" s="2252"/>
      <c r="BB161" s="4056">
        <v>10</v>
      </c>
      <c r="BC161" s="2252">
        <v>47</v>
      </c>
      <c r="BD161" s="4042">
        <v>15</v>
      </c>
      <c r="BE161" s="2252">
        <v>23</v>
      </c>
      <c r="BF161" s="4056">
        <v>10</v>
      </c>
      <c r="BG161" s="2252">
        <v>63</v>
      </c>
      <c r="BH161" s="3440">
        <f>AD161</f>
        <v>3200</v>
      </c>
      <c r="BI161" s="2252">
        <f>AI161+AK161+AM161+AO161</f>
        <v>1091</v>
      </c>
      <c r="BJ161" s="2247">
        <v>5</v>
      </c>
      <c r="BK161" s="4054">
        <f>SUM(Y161:Y167)</f>
        <v>47650000</v>
      </c>
      <c r="BL161" s="4054">
        <f>SUM(Z161:Z167)</f>
        <v>33995000</v>
      </c>
      <c r="BM161" s="4055">
        <f>BL161/BK161</f>
        <v>0.71343126967471149</v>
      </c>
      <c r="BN161" s="2252">
        <v>20</v>
      </c>
      <c r="BO161" s="2252" t="s">
        <v>187</v>
      </c>
      <c r="BP161" s="2252" t="s">
        <v>1419</v>
      </c>
      <c r="BQ161" s="4000">
        <v>44197</v>
      </c>
      <c r="BR161" s="4000"/>
      <c r="BS161" s="4053">
        <v>44561</v>
      </c>
      <c r="BT161" s="4053"/>
      <c r="BU161" s="2474" t="s">
        <v>1419</v>
      </c>
    </row>
    <row r="162" spans="1:73" s="2" customFormat="1" ht="73.5" customHeight="1" x14ac:dyDescent="0.25">
      <c r="A162" s="410"/>
      <c r="B162" s="910"/>
      <c r="C162" s="410"/>
      <c r="D162" s="411"/>
      <c r="E162" s="1942"/>
      <c r="F162" s="1942"/>
      <c r="G162" s="4060"/>
      <c r="H162" s="4059"/>
      <c r="I162" s="4060"/>
      <c r="J162" s="4059"/>
      <c r="K162" s="4060"/>
      <c r="L162" s="4059"/>
      <c r="M162" s="4060"/>
      <c r="N162" s="4059"/>
      <c r="O162" s="4060"/>
      <c r="P162" s="4060"/>
      <c r="Q162" s="3377"/>
      <c r="R162" s="4059"/>
      <c r="S162" s="4057"/>
      <c r="T162" s="4058"/>
      <c r="U162" s="4059"/>
      <c r="V162" s="4059"/>
      <c r="W162" s="937" t="s">
        <v>1430</v>
      </c>
      <c r="X162" s="2197">
        <v>15400000</v>
      </c>
      <c r="Y162" s="2167">
        <v>6600000</v>
      </c>
      <c r="Z162" s="2167">
        <v>4950000</v>
      </c>
      <c r="AA162" s="1950" t="s">
        <v>1429</v>
      </c>
      <c r="AB162" s="3706"/>
      <c r="AC162" s="2258"/>
      <c r="AD162" s="2252"/>
      <c r="AE162" s="2252"/>
      <c r="AF162" s="4042"/>
      <c r="AG162" s="2252"/>
      <c r="AH162" s="4056"/>
      <c r="AI162" s="2252"/>
      <c r="AJ162" s="4042"/>
      <c r="AK162" s="2252"/>
      <c r="AL162" s="4056"/>
      <c r="AM162" s="2252"/>
      <c r="AN162" s="4042"/>
      <c r="AO162" s="2252"/>
      <c r="AP162" s="4056"/>
      <c r="AQ162" s="2252"/>
      <c r="AR162" s="4042"/>
      <c r="AS162" s="2252"/>
      <c r="AT162" s="4056"/>
      <c r="AU162" s="2252"/>
      <c r="AV162" s="4042"/>
      <c r="AW162" s="2252"/>
      <c r="AX162" s="4056"/>
      <c r="AY162" s="2252"/>
      <c r="AZ162" s="4042"/>
      <c r="BA162" s="2252"/>
      <c r="BB162" s="4056"/>
      <c r="BC162" s="2252"/>
      <c r="BD162" s="4042"/>
      <c r="BE162" s="2252"/>
      <c r="BF162" s="4056"/>
      <c r="BG162" s="2252"/>
      <c r="BH162" s="3440"/>
      <c r="BI162" s="2252"/>
      <c r="BJ162" s="2247"/>
      <c r="BK162" s="4054"/>
      <c r="BL162" s="4054"/>
      <c r="BM162" s="4055"/>
      <c r="BN162" s="2252"/>
      <c r="BO162" s="2252"/>
      <c r="BP162" s="2252"/>
      <c r="BQ162" s="4000"/>
      <c r="BR162" s="4000"/>
      <c r="BS162" s="4053"/>
      <c r="BT162" s="4053"/>
      <c r="BU162" s="2474"/>
    </row>
    <row r="163" spans="1:73" s="2" customFormat="1" ht="42" customHeight="1" x14ac:dyDescent="0.25">
      <c r="A163" s="410"/>
      <c r="B163" s="910"/>
      <c r="C163" s="410"/>
      <c r="D163" s="411"/>
      <c r="E163" s="1942"/>
      <c r="F163" s="1942"/>
      <c r="G163" s="4060"/>
      <c r="H163" s="4059"/>
      <c r="I163" s="4060"/>
      <c r="J163" s="4059"/>
      <c r="K163" s="4060"/>
      <c r="L163" s="4059"/>
      <c r="M163" s="4060"/>
      <c r="N163" s="4059"/>
      <c r="O163" s="4060"/>
      <c r="P163" s="4060"/>
      <c r="Q163" s="3377"/>
      <c r="R163" s="4059"/>
      <c r="S163" s="4057"/>
      <c r="T163" s="4058"/>
      <c r="U163" s="4059"/>
      <c r="V163" s="4059"/>
      <c r="W163" s="937" t="s">
        <v>1099</v>
      </c>
      <c r="X163" s="2197">
        <v>2400000</v>
      </c>
      <c r="Y163" s="2167">
        <v>0</v>
      </c>
      <c r="Z163" s="2167">
        <v>0</v>
      </c>
      <c r="AA163" s="1950" t="s">
        <v>1431</v>
      </c>
      <c r="AB163" s="3706"/>
      <c r="AC163" s="2258"/>
      <c r="AD163" s="2252"/>
      <c r="AE163" s="2252"/>
      <c r="AF163" s="4042"/>
      <c r="AG163" s="2252"/>
      <c r="AH163" s="4056"/>
      <c r="AI163" s="2252"/>
      <c r="AJ163" s="4042"/>
      <c r="AK163" s="2252"/>
      <c r="AL163" s="4056"/>
      <c r="AM163" s="2252"/>
      <c r="AN163" s="4042"/>
      <c r="AO163" s="2252"/>
      <c r="AP163" s="4056"/>
      <c r="AQ163" s="2252"/>
      <c r="AR163" s="4042"/>
      <c r="AS163" s="2252"/>
      <c r="AT163" s="4056"/>
      <c r="AU163" s="2252"/>
      <c r="AV163" s="4042"/>
      <c r="AW163" s="2252"/>
      <c r="AX163" s="4056"/>
      <c r="AY163" s="2252"/>
      <c r="AZ163" s="4042"/>
      <c r="BA163" s="2252"/>
      <c r="BB163" s="4056"/>
      <c r="BC163" s="2252"/>
      <c r="BD163" s="4042"/>
      <c r="BE163" s="2252"/>
      <c r="BF163" s="4056"/>
      <c r="BG163" s="2252"/>
      <c r="BH163" s="3440"/>
      <c r="BI163" s="2252"/>
      <c r="BJ163" s="2247"/>
      <c r="BK163" s="4054"/>
      <c r="BL163" s="4054"/>
      <c r="BM163" s="4055"/>
      <c r="BN163" s="2252"/>
      <c r="BO163" s="2252"/>
      <c r="BP163" s="2252"/>
      <c r="BQ163" s="4000"/>
      <c r="BR163" s="4000"/>
      <c r="BS163" s="4053"/>
      <c r="BT163" s="4053"/>
      <c r="BU163" s="2474"/>
    </row>
    <row r="164" spans="1:73" s="2" customFormat="1" ht="55.5" customHeight="1" x14ac:dyDescent="0.25">
      <c r="A164" s="410"/>
      <c r="B164" s="910"/>
      <c r="C164" s="410"/>
      <c r="D164" s="411"/>
      <c r="E164" s="1942"/>
      <c r="F164" s="1942"/>
      <c r="G164" s="4060"/>
      <c r="H164" s="4059"/>
      <c r="I164" s="4060"/>
      <c r="J164" s="4059"/>
      <c r="K164" s="4060"/>
      <c r="L164" s="4059"/>
      <c r="M164" s="4060"/>
      <c r="N164" s="4059"/>
      <c r="O164" s="4060"/>
      <c r="P164" s="4060"/>
      <c r="Q164" s="3377"/>
      <c r="R164" s="4059"/>
      <c r="S164" s="4057"/>
      <c r="T164" s="4058"/>
      <c r="U164" s="4059"/>
      <c r="V164" s="4059"/>
      <c r="W164" s="937" t="s">
        <v>1432</v>
      </c>
      <c r="X164" s="2197">
        <v>24510000</v>
      </c>
      <c r="Y164" s="2167">
        <v>24510000</v>
      </c>
      <c r="Z164" s="2167">
        <v>23275000</v>
      </c>
      <c r="AA164" s="1950" t="s">
        <v>1429</v>
      </c>
      <c r="AB164" s="3706"/>
      <c r="AC164" s="2258"/>
      <c r="AD164" s="2252"/>
      <c r="AE164" s="2252"/>
      <c r="AF164" s="4042"/>
      <c r="AG164" s="2252"/>
      <c r="AH164" s="4056"/>
      <c r="AI164" s="2252"/>
      <c r="AJ164" s="4042"/>
      <c r="AK164" s="2252"/>
      <c r="AL164" s="4056"/>
      <c r="AM164" s="2252"/>
      <c r="AN164" s="4042"/>
      <c r="AO164" s="2252"/>
      <c r="AP164" s="4056"/>
      <c r="AQ164" s="2252"/>
      <c r="AR164" s="4042"/>
      <c r="AS164" s="2252"/>
      <c r="AT164" s="4056"/>
      <c r="AU164" s="2252"/>
      <c r="AV164" s="4042"/>
      <c r="AW164" s="2252"/>
      <c r="AX164" s="4056"/>
      <c r="AY164" s="2252"/>
      <c r="AZ164" s="4042"/>
      <c r="BA164" s="2252"/>
      <c r="BB164" s="4056"/>
      <c r="BC164" s="2252"/>
      <c r="BD164" s="4042"/>
      <c r="BE164" s="2252"/>
      <c r="BF164" s="4056"/>
      <c r="BG164" s="2252"/>
      <c r="BH164" s="3440"/>
      <c r="BI164" s="2252"/>
      <c r="BJ164" s="2247"/>
      <c r="BK164" s="4054"/>
      <c r="BL164" s="4054"/>
      <c r="BM164" s="4055"/>
      <c r="BN164" s="2252"/>
      <c r="BO164" s="2252"/>
      <c r="BP164" s="2252"/>
      <c r="BQ164" s="4000"/>
      <c r="BR164" s="4000"/>
      <c r="BS164" s="4053"/>
      <c r="BT164" s="4053"/>
      <c r="BU164" s="2474"/>
    </row>
    <row r="165" spans="1:73" s="2" customFormat="1" ht="61.5" customHeight="1" x14ac:dyDescent="0.25">
      <c r="A165" s="410"/>
      <c r="B165" s="910"/>
      <c r="C165" s="410"/>
      <c r="D165" s="411"/>
      <c r="E165" s="1942"/>
      <c r="F165" s="1942"/>
      <c r="G165" s="4060"/>
      <c r="H165" s="4059"/>
      <c r="I165" s="4060"/>
      <c r="J165" s="4059"/>
      <c r="K165" s="4060"/>
      <c r="L165" s="4059"/>
      <c r="M165" s="4060"/>
      <c r="N165" s="4059"/>
      <c r="O165" s="4060"/>
      <c r="P165" s="4060"/>
      <c r="Q165" s="3377"/>
      <c r="R165" s="4059"/>
      <c r="S165" s="4057"/>
      <c r="T165" s="4058"/>
      <c r="U165" s="4059"/>
      <c r="V165" s="4059"/>
      <c r="W165" s="937" t="s">
        <v>1433</v>
      </c>
      <c r="X165" s="2197">
        <v>0</v>
      </c>
      <c r="Y165" s="2167">
        <v>0</v>
      </c>
      <c r="Z165" s="2167">
        <v>0</v>
      </c>
      <c r="AA165" s="1950" t="s">
        <v>1429</v>
      </c>
      <c r="AB165" s="3706"/>
      <c r="AC165" s="2258"/>
      <c r="AD165" s="2252"/>
      <c r="AE165" s="2252"/>
      <c r="AF165" s="4042"/>
      <c r="AG165" s="2252"/>
      <c r="AH165" s="4056"/>
      <c r="AI165" s="2252"/>
      <c r="AJ165" s="4042"/>
      <c r="AK165" s="2252"/>
      <c r="AL165" s="4056"/>
      <c r="AM165" s="2252"/>
      <c r="AN165" s="4042"/>
      <c r="AO165" s="2252"/>
      <c r="AP165" s="4056"/>
      <c r="AQ165" s="2252"/>
      <c r="AR165" s="4042"/>
      <c r="AS165" s="2252"/>
      <c r="AT165" s="4056"/>
      <c r="AU165" s="2252"/>
      <c r="AV165" s="4042"/>
      <c r="AW165" s="2252"/>
      <c r="AX165" s="4056"/>
      <c r="AY165" s="2252"/>
      <c r="AZ165" s="4042"/>
      <c r="BA165" s="2252"/>
      <c r="BB165" s="4056"/>
      <c r="BC165" s="2252"/>
      <c r="BD165" s="4042"/>
      <c r="BE165" s="2252"/>
      <c r="BF165" s="4056"/>
      <c r="BG165" s="2252"/>
      <c r="BH165" s="3440"/>
      <c r="BI165" s="2252"/>
      <c r="BJ165" s="2247"/>
      <c r="BK165" s="4054"/>
      <c r="BL165" s="4054"/>
      <c r="BM165" s="4055"/>
      <c r="BN165" s="2252"/>
      <c r="BO165" s="2252"/>
      <c r="BP165" s="2252"/>
      <c r="BQ165" s="4000"/>
      <c r="BR165" s="4000"/>
      <c r="BS165" s="4053"/>
      <c r="BT165" s="4053"/>
      <c r="BU165" s="2474"/>
    </row>
    <row r="166" spans="1:73" s="2" customFormat="1" ht="36.75" customHeight="1" x14ac:dyDescent="0.25">
      <c r="A166" s="410"/>
      <c r="B166" s="910"/>
      <c r="C166" s="410"/>
      <c r="D166" s="411"/>
      <c r="E166" s="1942"/>
      <c r="F166" s="1942"/>
      <c r="G166" s="4060"/>
      <c r="H166" s="4059"/>
      <c r="I166" s="4060"/>
      <c r="J166" s="4059"/>
      <c r="K166" s="4060"/>
      <c r="L166" s="4059"/>
      <c r="M166" s="4060"/>
      <c r="N166" s="4059"/>
      <c r="O166" s="4060"/>
      <c r="P166" s="4060"/>
      <c r="Q166" s="3377"/>
      <c r="R166" s="4059"/>
      <c r="S166" s="4057"/>
      <c r="T166" s="4058"/>
      <c r="U166" s="4059"/>
      <c r="V166" s="4059"/>
      <c r="W166" s="875" t="s">
        <v>1103</v>
      </c>
      <c r="X166" s="2179">
        <v>5000000</v>
      </c>
      <c r="Y166" s="2167">
        <v>5000000</v>
      </c>
      <c r="Z166" s="2167">
        <v>0</v>
      </c>
      <c r="AA166" s="1950" t="s">
        <v>1434</v>
      </c>
      <c r="AB166" s="3706"/>
      <c r="AC166" s="2258"/>
      <c r="AD166" s="2252"/>
      <c r="AE166" s="2252"/>
      <c r="AF166" s="4042"/>
      <c r="AG166" s="2252"/>
      <c r="AH166" s="4056"/>
      <c r="AI166" s="2252"/>
      <c r="AJ166" s="4042"/>
      <c r="AK166" s="2252"/>
      <c r="AL166" s="4056"/>
      <c r="AM166" s="2252"/>
      <c r="AN166" s="4042"/>
      <c r="AO166" s="2252"/>
      <c r="AP166" s="4056"/>
      <c r="AQ166" s="2252"/>
      <c r="AR166" s="4042"/>
      <c r="AS166" s="2252"/>
      <c r="AT166" s="4056"/>
      <c r="AU166" s="2252"/>
      <c r="AV166" s="4042"/>
      <c r="AW166" s="2252"/>
      <c r="AX166" s="4056"/>
      <c r="AY166" s="2252"/>
      <c r="AZ166" s="4042"/>
      <c r="BA166" s="2252"/>
      <c r="BB166" s="4056"/>
      <c r="BC166" s="2252"/>
      <c r="BD166" s="4042"/>
      <c r="BE166" s="2252"/>
      <c r="BF166" s="4056"/>
      <c r="BG166" s="2252"/>
      <c r="BH166" s="3440"/>
      <c r="BI166" s="2252"/>
      <c r="BJ166" s="2247"/>
      <c r="BK166" s="4054"/>
      <c r="BL166" s="4054"/>
      <c r="BM166" s="4055"/>
      <c r="BN166" s="2252"/>
      <c r="BO166" s="2252"/>
      <c r="BP166" s="2252"/>
      <c r="BQ166" s="4000"/>
      <c r="BR166" s="4000"/>
      <c r="BS166" s="4053"/>
      <c r="BT166" s="4053"/>
      <c r="BU166" s="2474"/>
    </row>
    <row r="167" spans="1:73" s="2" customFormat="1" ht="33.75" customHeight="1" x14ac:dyDescent="0.25">
      <c r="A167" s="410"/>
      <c r="B167" s="910"/>
      <c r="C167" s="410"/>
      <c r="D167" s="411"/>
      <c r="E167" s="1942"/>
      <c r="F167" s="1942"/>
      <c r="G167" s="4060"/>
      <c r="H167" s="4059"/>
      <c r="I167" s="4060"/>
      <c r="J167" s="4059"/>
      <c r="K167" s="4060"/>
      <c r="L167" s="4059"/>
      <c r="M167" s="4060"/>
      <c r="N167" s="4059"/>
      <c r="O167" s="4060"/>
      <c r="P167" s="4060"/>
      <c r="Q167" s="3377"/>
      <c r="R167" s="4059"/>
      <c r="S167" s="4057"/>
      <c r="T167" s="4058"/>
      <c r="U167" s="4059"/>
      <c r="V167" s="4059"/>
      <c r="W167" s="875" t="s">
        <v>1149</v>
      </c>
      <c r="X167" s="2179">
        <v>5000000</v>
      </c>
      <c r="Y167" s="2167">
        <v>0</v>
      </c>
      <c r="Z167" s="2167">
        <v>0</v>
      </c>
      <c r="AA167" s="1950" t="s">
        <v>1435</v>
      </c>
      <c r="AB167" s="3706"/>
      <c r="AC167" s="2258"/>
      <c r="AD167" s="2252"/>
      <c r="AE167" s="2252"/>
      <c r="AF167" s="4042"/>
      <c r="AG167" s="2252"/>
      <c r="AH167" s="4056"/>
      <c r="AI167" s="2252"/>
      <c r="AJ167" s="4042"/>
      <c r="AK167" s="2252"/>
      <c r="AL167" s="4056"/>
      <c r="AM167" s="2252"/>
      <c r="AN167" s="4042"/>
      <c r="AO167" s="2252"/>
      <c r="AP167" s="4056"/>
      <c r="AQ167" s="2252"/>
      <c r="AR167" s="4042"/>
      <c r="AS167" s="2252"/>
      <c r="AT167" s="4056"/>
      <c r="AU167" s="2252"/>
      <c r="AV167" s="4042"/>
      <c r="AW167" s="2252"/>
      <c r="AX167" s="4056"/>
      <c r="AY167" s="2252"/>
      <c r="AZ167" s="4042"/>
      <c r="BA167" s="2252"/>
      <c r="BB167" s="4056"/>
      <c r="BC167" s="2252"/>
      <c r="BD167" s="4042"/>
      <c r="BE167" s="2252"/>
      <c r="BF167" s="4056"/>
      <c r="BG167" s="2252"/>
      <c r="BH167" s="3440"/>
      <c r="BI167" s="2252"/>
      <c r="BJ167" s="2247"/>
      <c r="BK167" s="4054"/>
      <c r="BL167" s="4054"/>
      <c r="BM167" s="4055"/>
      <c r="BN167" s="2252"/>
      <c r="BO167" s="2252"/>
      <c r="BP167" s="2252"/>
      <c r="BQ167" s="4000"/>
      <c r="BR167" s="4000"/>
      <c r="BS167" s="4053"/>
      <c r="BT167" s="4053"/>
      <c r="BU167" s="2474"/>
    </row>
    <row r="168" spans="1:73" s="70" customFormat="1" ht="61.5" customHeight="1" x14ac:dyDescent="0.25">
      <c r="A168" s="1883"/>
      <c r="B168" s="1891"/>
      <c r="C168" s="1883"/>
      <c r="D168" s="1884"/>
      <c r="E168" s="1898"/>
      <c r="F168" s="1898"/>
      <c r="G168" s="3433" t="s">
        <v>74</v>
      </c>
      <c r="H168" s="3453" t="s">
        <v>1436</v>
      </c>
      <c r="I168" s="3433">
        <v>4502038</v>
      </c>
      <c r="J168" s="3453" t="s">
        <v>1421</v>
      </c>
      <c r="K168" s="3433" t="s">
        <v>74</v>
      </c>
      <c r="L168" s="3453" t="s">
        <v>1437</v>
      </c>
      <c r="M168" s="3433">
        <v>450203800</v>
      </c>
      <c r="N168" s="3453" t="s">
        <v>1438</v>
      </c>
      <c r="O168" s="3433">
        <v>1</v>
      </c>
      <c r="P168" s="3433">
        <v>0.25</v>
      </c>
      <c r="Q168" s="3433" t="s">
        <v>1439</v>
      </c>
      <c r="R168" s="3453" t="s">
        <v>1440</v>
      </c>
      <c r="S168" s="4049">
        <f>SUM(X168:X175)/T168</f>
        <v>1</v>
      </c>
      <c r="T168" s="4051">
        <f>SUM(X168:X175)</f>
        <v>90000000</v>
      </c>
      <c r="U168" s="4043" t="s">
        <v>1441</v>
      </c>
      <c r="V168" s="4045" t="s">
        <v>1442</v>
      </c>
      <c r="W168" s="883" t="s">
        <v>1443</v>
      </c>
      <c r="X168" s="2165">
        <v>22270000</v>
      </c>
      <c r="Y168" s="2167">
        <v>21060000</v>
      </c>
      <c r="Z168" s="2167">
        <v>9735000</v>
      </c>
      <c r="AA168" s="1950" t="s">
        <v>1444</v>
      </c>
      <c r="AB168" s="4047">
        <v>20</v>
      </c>
      <c r="AC168" s="2728" t="s">
        <v>187</v>
      </c>
      <c r="AD168" s="4041">
        <v>121</v>
      </c>
      <c r="AE168" s="4029">
        <v>319</v>
      </c>
      <c r="AF168" s="4041">
        <v>176</v>
      </c>
      <c r="AG168" s="4029">
        <v>258</v>
      </c>
      <c r="AH168" s="4041" t="s">
        <v>319</v>
      </c>
      <c r="AI168" s="4029">
        <v>1</v>
      </c>
      <c r="AJ168" s="4041">
        <v>171</v>
      </c>
      <c r="AK168" s="4029">
        <v>29</v>
      </c>
      <c r="AL168" s="4041">
        <v>121</v>
      </c>
      <c r="AM168" s="4029">
        <v>527</v>
      </c>
      <c r="AN168" s="4041">
        <v>5</v>
      </c>
      <c r="AO168" s="4029">
        <v>20</v>
      </c>
      <c r="AP168" s="4041" t="s">
        <v>319</v>
      </c>
      <c r="AQ168" s="4029"/>
      <c r="AR168" s="3457"/>
      <c r="AS168" s="4029"/>
      <c r="AT168" s="3457"/>
      <c r="AU168" s="4029"/>
      <c r="AV168" s="3457"/>
      <c r="AW168" s="4029"/>
      <c r="AX168" s="3457"/>
      <c r="AY168" s="4029"/>
      <c r="AZ168" s="3457"/>
      <c r="BA168" s="4029"/>
      <c r="BB168" s="3457"/>
      <c r="BC168" s="4029"/>
      <c r="BD168" s="3457"/>
      <c r="BE168" s="4029"/>
      <c r="BF168" s="3457"/>
      <c r="BG168" s="4029"/>
      <c r="BH168" s="3457">
        <v>297</v>
      </c>
      <c r="BI168" s="4029">
        <f>SUM(AI168+AK168+AM168+AO168)</f>
        <v>577</v>
      </c>
      <c r="BJ168" s="4033">
        <v>6</v>
      </c>
      <c r="BK168" s="4036">
        <f>SUM(Y168:Y175)</f>
        <v>53500000</v>
      </c>
      <c r="BL168" s="4036">
        <f>SUM(Z168:Z175)</f>
        <v>34405000</v>
      </c>
      <c r="BM168" s="4039">
        <f>BL168/BK168</f>
        <v>0.64308411214953276</v>
      </c>
      <c r="BN168" s="4029">
        <v>20</v>
      </c>
      <c r="BO168" s="4029" t="s">
        <v>187</v>
      </c>
      <c r="BP168" s="4029" t="s">
        <v>1419</v>
      </c>
      <c r="BQ168" s="4031">
        <v>44197</v>
      </c>
      <c r="BR168" s="4031">
        <v>44256</v>
      </c>
      <c r="BS168" s="4031">
        <v>44561</v>
      </c>
      <c r="BT168" s="4031">
        <v>44408</v>
      </c>
      <c r="BU168" s="3457" t="s">
        <v>1419</v>
      </c>
    </row>
    <row r="169" spans="1:73" s="70" customFormat="1" ht="61.5" customHeight="1" x14ac:dyDescent="0.25">
      <c r="A169" s="1883"/>
      <c r="B169" s="1891"/>
      <c r="C169" s="1883"/>
      <c r="D169" s="1884"/>
      <c r="E169" s="1898"/>
      <c r="F169" s="1898"/>
      <c r="G169" s="3377"/>
      <c r="H169" s="3434"/>
      <c r="I169" s="3377"/>
      <c r="J169" s="3434"/>
      <c r="K169" s="3377"/>
      <c r="L169" s="3434"/>
      <c r="M169" s="3377"/>
      <c r="N169" s="3434"/>
      <c r="O169" s="3377"/>
      <c r="P169" s="3377"/>
      <c r="Q169" s="3377"/>
      <c r="R169" s="3434"/>
      <c r="S169" s="4050"/>
      <c r="T169" s="4052"/>
      <c r="U169" s="4043"/>
      <c r="V169" s="4046"/>
      <c r="W169" s="883" t="s">
        <v>1445</v>
      </c>
      <c r="X169" s="2165">
        <v>15000000</v>
      </c>
      <c r="Y169" s="2167">
        <v>12970000</v>
      </c>
      <c r="Z169" s="2167">
        <f>+Y169</f>
        <v>12970000</v>
      </c>
      <c r="AA169" s="1950" t="s">
        <v>1444</v>
      </c>
      <c r="AB169" s="4048"/>
      <c r="AC169" s="2728"/>
      <c r="AD169" s="4042"/>
      <c r="AE169" s="4030"/>
      <c r="AF169" s="4042"/>
      <c r="AG169" s="4030"/>
      <c r="AH169" s="4042"/>
      <c r="AI169" s="4030"/>
      <c r="AJ169" s="4042"/>
      <c r="AK169" s="4030"/>
      <c r="AL169" s="4042"/>
      <c r="AM169" s="4030"/>
      <c r="AN169" s="4042"/>
      <c r="AO169" s="4030"/>
      <c r="AP169" s="4042"/>
      <c r="AQ169" s="4030"/>
      <c r="AR169" s="3440"/>
      <c r="AS169" s="4030"/>
      <c r="AT169" s="3440"/>
      <c r="AU169" s="4030"/>
      <c r="AV169" s="3440"/>
      <c r="AW169" s="4030"/>
      <c r="AX169" s="3440"/>
      <c r="AY169" s="4030"/>
      <c r="AZ169" s="3440"/>
      <c r="BA169" s="4030"/>
      <c r="BB169" s="3440"/>
      <c r="BC169" s="4030"/>
      <c r="BD169" s="3440"/>
      <c r="BE169" s="4030"/>
      <c r="BF169" s="3440"/>
      <c r="BG169" s="4030"/>
      <c r="BH169" s="3440"/>
      <c r="BI169" s="4030"/>
      <c r="BJ169" s="4034"/>
      <c r="BK169" s="4037"/>
      <c r="BL169" s="4037"/>
      <c r="BM169" s="4040"/>
      <c r="BN169" s="4030"/>
      <c r="BO169" s="4030"/>
      <c r="BP169" s="4030"/>
      <c r="BQ169" s="4032"/>
      <c r="BR169" s="4032"/>
      <c r="BS169" s="4032"/>
      <c r="BT169" s="4032"/>
      <c r="BU169" s="3440"/>
    </row>
    <row r="170" spans="1:73" s="70" customFormat="1" ht="61.5" customHeight="1" x14ac:dyDescent="0.25">
      <c r="A170" s="1883"/>
      <c r="B170" s="1891"/>
      <c r="C170" s="1883"/>
      <c r="D170" s="1884"/>
      <c r="E170" s="1898"/>
      <c r="F170" s="1898"/>
      <c r="G170" s="3377"/>
      <c r="H170" s="3434"/>
      <c r="I170" s="3377"/>
      <c r="J170" s="3434"/>
      <c r="K170" s="3377"/>
      <c r="L170" s="3434"/>
      <c r="M170" s="3377"/>
      <c r="N170" s="3434"/>
      <c r="O170" s="3377"/>
      <c r="P170" s="3377"/>
      <c r="Q170" s="3377"/>
      <c r="R170" s="3434"/>
      <c r="S170" s="4050"/>
      <c r="T170" s="4052"/>
      <c r="U170" s="4043"/>
      <c r="V170" s="4046"/>
      <c r="W170" s="883" t="s">
        <v>1446</v>
      </c>
      <c r="X170" s="2165">
        <v>16730000</v>
      </c>
      <c r="Y170" s="2167">
        <v>3300000</v>
      </c>
      <c r="Z170" s="2167">
        <f>+Y170</f>
        <v>3300000</v>
      </c>
      <c r="AA170" s="1950" t="s">
        <v>1444</v>
      </c>
      <c r="AB170" s="4048"/>
      <c r="AC170" s="2728"/>
      <c r="AD170" s="4042"/>
      <c r="AE170" s="4030"/>
      <c r="AF170" s="4042"/>
      <c r="AG170" s="4030"/>
      <c r="AH170" s="4042"/>
      <c r="AI170" s="4030"/>
      <c r="AJ170" s="4042"/>
      <c r="AK170" s="4030"/>
      <c r="AL170" s="4042"/>
      <c r="AM170" s="4030"/>
      <c r="AN170" s="4042"/>
      <c r="AO170" s="4030"/>
      <c r="AP170" s="4042"/>
      <c r="AQ170" s="4030"/>
      <c r="AR170" s="3440"/>
      <c r="AS170" s="4030"/>
      <c r="AT170" s="3440"/>
      <c r="AU170" s="4030"/>
      <c r="AV170" s="3440"/>
      <c r="AW170" s="4030"/>
      <c r="AX170" s="3440"/>
      <c r="AY170" s="4030"/>
      <c r="AZ170" s="3440"/>
      <c r="BA170" s="4030"/>
      <c r="BB170" s="3440"/>
      <c r="BC170" s="4030"/>
      <c r="BD170" s="3440"/>
      <c r="BE170" s="4030"/>
      <c r="BF170" s="3440"/>
      <c r="BG170" s="4030"/>
      <c r="BH170" s="3440"/>
      <c r="BI170" s="4030"/>
      <c r="BJ170" s="4034"/>
      <c r="BK170" s="4037"/>
      <c r="BL170" s="4037"/>
      <c r="BM170" s="4040"/>
      <c r="BN170" s="4030"/>
      <c r="BO170" s="4030"/>
      <c r="BP170" s="4030"/>
      <c r="BQ170" s="4032"/>
      <c r="BR170" s="4032"/>
      <c r="BS170" s="4032"/>
      <c r="BT170" s="4032"/>
      <c r="BU170" s="3440"/>
    </row>
    <row r="171" spans="1:73" s="70" customFormat="1" ht="81.75" customHeight="1" x14ac:dyDescent="0.25">
      <c r="A171" s="1883"/>
      <c r="B171" s="1891"/>
      <c r="C171" s="1883"/>
      <c r="D171" s="1884"/>
      <c r="E171" s="1898"/>
      <c r="F171" s="1898"/>
      <c r="G171" s="3377"/>
      <c r="H171" s="3434"/>
      <c r="I171" s="3377"/>
      <c r="J171" s="3434"/>
      <c r="K171" s="3377"/>
      <c r="L171" s="3434"/>
      <c r="M171" s="3377"/>
      <c r="N171" s="3434"/>
      <c r="O171" s="3377"/>
      <c r="P171" s="3377"/>
      <c r="Q171" s="3377"/>
      <c r="R171" s="3434"/>
      <c r="S171" s="4050"/>
      <c r="T171" s="4052"/>
      <c r="U171" s="4043"/>
      <c r="V171" s="4046"/>
      <c r="W171" s="883" t="s">
        <v>1447</v>
      </c>
      <c r="X171" s="2165">
        <v>17000000</v>
      </c>
      <c r="Y171" s="2167">
        <v>8400000</v>
      </c>
      <c r="Z171" s="2167">
        <f>+Y171</f>
        <v>8400000</v>
      </c>
      <c r="AA171" s="1950" t="s">
        <v>1444</v>
      </c>
      <c r="AB171" s="4048"/>
      <c r="AC171" s="2728"/>
      <c r="AD171" s="4042"/>
      <c r="AE171" s="4030"/>
      <c r="AF171" s="4042"/>
      <c r="AG171" s="4030"/>
      <c r="AH171" s="4042"/>
      <c r="AI171" s="4030"/>
      <c r="AJ171" s="4042"/>
      <c r="AK171" s="4030"/>
      <c r="AL171" s="4042"/>
      <c r="AM171" s="4030"/>
      <c r="AN171" s="4042"/>
      <c r="AO171" s="4030"/>
      <c r="AP171" s="4042"/>
      <c r="AQ171" s="4030"/>
      <c r="AR171" s="3440"/>
      <c r="AS171" s="4030"/>
      <c r="AT171" s="3440"/>
      <c r="AU171" s="4030"/>
      <c r="AV171" s="3440"/>
      <c r="AW171" s="4030"/>
      <c r="AX171" s="3440"/>
      <c r="AY171" s="4030"/>
      <c r="AZ171" s="3440"/>
      <c r="BA171" s="4030"/>
      <c r="BB171" s="3440"/>
      <c r="BC171" s="4030"/>
      <c r="BD171" s="3440"/>
      <c r="BE171" s="4030"/>
      <c r="BF171" s="3440"/>
      <c r="BG171" s="4030"/>
      <c r="BH171" s="3440"/>
      <c r="BI171" s="4030"/>
      <c r="BJ171" s="4034"/>
      <c r="BK171" s="4037"/>
      <c r="BL171" s="4037"/>
      <c r="BM171" s="4040"/>
      <c r="BN171" s="4030"/>
      <c r="BO171" s="4030"/>
      <c r="BP171" s="4030"/>
      <c r="BQ171" s="4032"/>
      <c r="BR171" s="4032"/>
      <c r="BS171" s="4032"/>
      <c r="BT171" s="4032"/>
      <c r="BU171" s="3440"/>
    </row>
    <row r="172" spans="1:73" s="70" customFormat="1" ht="93.75" customHeight="1" x14ac:dyDescent="0.25">
      <c r="A172" s="1883"/>
      <c r="B172" s="1891"/>
      <c r="C172" s="1883"/>
      <c r="D172" s="1884"/>
      <c r="E172" s="1898"/>
      <c r="F172" s="1898"/>
      <c r="G172" s="3377"/>
      <c r="H172" s="3434"/>
      <c r="I172" s="3377"/>
      <c r="J172" s="3434"/>
      <c r="K172" s="3377"/>
      <c r="L172" s="3434"/>
      <c r="M172" s="3377"/>
      <c r="N172" s="3434"/>
      <c r="O172" s="3377"/>
      <c r="P172" s="3377"/>
      <c r="Q172" s="3377"/>
      <c r="R172" s="3434"/>
      <c r="S172" s="4050"/>
      <c r="T172" s="4052"/>
      <c r="U172" s="4043"/>
      <c r="V172" s="4046"/>
      <c r="W172" s="883" t="s">
        <v>1448</v>
      </c>
      <c r="X172" s="2165">
        <v>12000000</v>
      </c>
      <c r="Y172" s="2167">
        <v>5770000</v>
      </c>
      <c r="Z172" s="2167">
        <v>0</v>
      </c>
      <c r="AA172" s="1950" t="s">
        <v>1444</v>
      </c>
      <c r="AB172" s="4048"/>
      <c r="AC172" s="2728"/>
      <c r="AD172" s="4042"/>
      <c r="AE172" s="4030"/>
      <c r="AF172" s="4042"/>
      <c r="AG172" s="4030"/>
      <c r="AH172" s="4042"/>
      <c r="AI172" s="4030"/>
      <c r="AJ172" s="4042"/>
      <c r="AK172" s="4030"/>
      <c r="AL172" s="4042"/>
      <c r="AM172" s="4030"/>
      <c r="AN172" s="4042"/>
      <c r="AO172" s="4030"/>
      <c r="AP172" s="4042"/>
      <c r="AQ172" s="4030"/>
      <c r="AR172" s="3440"/>
      <c r="AS172" s="4030"/>
      <c r="AT172" s="3440"/>
      <c r="AU172" s="4030"/>
      <c r="AV172" s="3440"/>
      <c r="AW172" s="4030"/>
      <c r="AX172" s="3440"/>
      <c r="AY172" s="4030"/>
      <c r="AZ172" s="3440"/>
      <c r="BA172" s="4030"/>
      <c r="BB172" s="3440"/>
      <c r="BC172" s="4030"/>
      <c r="BD172" s="3440"/>
      <c r="BE172" s="4030"/>
      <c r="BF172" s="3440"/>
      <c r="BG172" s="4030"/>
      <c r="BH172" s="3440"/>
      <c r="BI172" s="4030"/>
      <c r="BJ172" s="4034"/>
      <c r="BK172" s="4037"/>
      <c r="BL172" s="4037"/>
      <c r="BM172" s="4040"/>
      <c r="BN172" s="4030"/>
      <c r="BO172" s="4030"/>
      <c r="BP172" s="4030"/>
      <c r="BQ172" s="4032"/>
      <c r="BR172" s="4032"/>
      <c r="BS172" s="4032"/>
      <c r="BT172" s="4032"/>
      <c r="BU172" s="3440"/>
    </row>
    <row r="173" spans="1:73" s="70" customFormat="1" ht="41.25" customHeight="1" x14ac:dyDescent="0.25">
      <c r="A173" s="1883"/>
      <c r="B173" s="1891"/>
      <c r="C173" s="1883"/>
      <c r="D173" s="1884"/>
      <c r="E173" s="1898"/>
      <c r="F173" s="1898"/>
      <c r="G173" s="3377"/>
      <c r="H173" s="3434"/>
      <c r="I173" s="3377"/>
      <c r="J173" s="3434"/>
      <c r="K173" s="3377"/>
      <c r="L173" s="3434"/>
      <c r="M173" s="3377"/>
      <c r="N173" s="3434"/>
      <c r="O173" s="3377"/>
      <c r="P173" s="3377"/>
      <c r="Q173" s="3377"/>
      <c r="R173" s="3434"/>
      <c r="S173" s="4050"/>
      <c r="T173" s="4052"/>
      <c r="U173" s="4043"/>
      <c r="V173" s="4046"/>
      <c r="W173" s="883" t="s">
        <v>1449</v>
      </c>
      <c r="X173" s="2165">
        <v>3000000</v>
      </c>
      <c r="Y173" s="2166"/>
      <c r="Z173" s="2166">
        <v>0</v>
      </c>
      <c r="AA173" s="1950" t="s">
        <v>1450</v>
      </c>
      <c r="AB173" s="4048"/>
      <c r="AC173" s="2728"/>
      <c r="AD173" s="4042"/>
      <c r="AE173" s="4030"/>
      <c r="AF173" s="4042"/>
      <c r="AG173" s="4030"/>
      <c r="AH173" s="4042"/>
      <c r="AI173" s="4030"/>
      <c r="AJ173" s="4042"/>
      <c r="AK173" s="4030"/>
      <c r="AL173" s="4042"/>
      <c r="AM173" s="4030"/>
      <c r="AN173" s="4042"/>
      <c r="AO173" s="4030"/>
      <c r="AP173" s="4042"/>
      <c r="AQ173" s="4030"/>
      <c r="AR173" s="3440"/>
      <c r="AS173" s="4030"/>
      <c r="AT173" s="3440"/>
      <c r="AU173" s="4030"/>
      <c r="AV173" s="3440"/>
      <c r="AW173" s="4030"/>
      <c r="AX173" s="3440"/>
      <c r="AY173" s="4030"/>
      <c r="AZ173" s="3440"/>
      <c r="BA173" s="4030"/>
      <c r="BB173" s="3440"/>
      <c r="BC173" s="4030"/>
      <c r="BD173" s="3440"/>
      <c r="BE173" s="4030"/>
      <c r="BF173" s="3440"/>
      <c r="BG173" s="4030"/>
      <c r="BH173" s="3440"/>
      <c r="BI173" s="4030"/>
      <c r="BJ173" s="4034"/>
      <c r="BK173" s="4037"/>
      <c r="BL173" s="4037"/>
      <c r="BM173" s="4040"/>
      <c r="BN173" s="4030"/>
      <c r="BO173" s="4030"/>
      <c r="BP173" s="4030"/>
      <c r="BQ173" s="4032"/>
      <c r="BR173" s="4032"/>
      <c r="BS173" s="4032"/>
      <c r="BT173" s="4032"/>
      <c r="BU173" s="3440"/>
    </row>
    <row r="174" spans="1:73" s="70" customFormat="1" ht="41.25" customHeight="1" x14ac:dyDescent="0.25">
      <c r="A174" s="1883"/>
      <c r="B174" s="1891"/>
      <c r="C174" s="1883"/>
      <c r="D174" s="1884"/>
      <c r="E174" s="1898"/>
      <c r="F174" s="1898"/>
      <c r="G174" s="3377"/>
      <c r="H174" s="3434"/>
      <c r="I174" s="3377"/>
      <c r="J174" s="3434"/>
      <c r="K174" s="3377"/>
      <c r="L174" s="3434"/>
      <c r="M174" s="3377"/>
      <c r="N174" s="3434"/>
      <c r="O174" s="3377"/>
      <c r="P174" s="3377"/>
      <c r="Q174" s="3377"/>
      <c r="R174" s="3434"/>
      <c r="S174" s="4050"/>
      <c r="T174" s="4052"/>
      <c r="U174" s="4043"/>
      <c r="V174" s="4046"/>
      <c r="W174" s="883" t="s">
        <v>1103</v>
      </c>
      <c r="X174" s="2165">
        <v>2000000</v>
      </c>
      <c r="Y174" s="2166">
        <v>2000000</v>
      </c>
      <c r="Z174" s="2166">
        <v>0</v>
      </c>
      <c r="AA174" s="1950" t="s">
        <v>3285</v>
      </c>
      <c r="AB174" s="4048"/>
      <c r="AC174" s="2728"/>
      <c r="AD174" s="4042"/>
      <c r="AE174" s="4030"/>
      <c r="AF174" s="4042"/>
      <c r="AG174" s="4030"/>
      <c r="AH174" s="4042"/>
      <c r="AI174" s="4030"/>
      <c r="AJ174" s="4042"/>
      <c r="AK174" s="4030"/>
      <c r="AL174" s="4042"/>
      <c r="AM174" s="4030"/>
      <c r="AN174" s="4042"/>
      <c r="AO174" s="4030"/>
      <c r="AP174" s="4042"/>
      <c r="AQ174" s="4030"/>
      <c r="AR174" s="3440"/>
      <c r="AS174" s="4030"/>
      <c r="AT174" s="3440"/>
      <c r="AU174" s="4030"/>
      <c r="AV174" s="3440"/>
      <c r="AW174" s="4030"/>
      <c r="AX174" s="3440"/>
      <c r="AY174" s="4030"/>
      <c r="AZ174" s="3440"/>
      <c r="BA174" s="4030"/>
      <c r="BB174" s="3440"/>
      <c r="BC174" s="4030"/>
      <c r="BD174" s="3440"/>
      <c r="BE174" s="4030"/>
      <c r="BF174" s="3440"/>
      <c r="BG174" s="4030"/>
      <c r="BH174" s="3440"/>
      <c r="BI174" s="4030"/>
      <c r="BJ174" s="4034"/>
      <c r="BK174" s="4037"/>
      <c r="BL174" s="4037"/>
      <c r="BM174" s="4040"/>
      <c r="BN174" s="4030"/>
      <c r="BO174" s="4030"/>
      <c r="BP174" s="4030"/>
      <c r="BQ174" s="4032"/>
      <c r="BR174" s="4032"/>
      <c r="BS174" s="4032"/>
      <c r="BT174" s="4032"/>
      <c r="BU174" s="3440"/>
    </row>
    <row r="175" spans="1:73" s="70" customFormat="1" ht="41.25" customHeight="1" x14ac:dyDescent="0.25">
      <c r="A175" s="1883"/>
      <c r="B175" s="1891"/>
      <c r="C175" s="1883"/>
      <c r="D175" s="1884"/>
      <c r="E175" s="1898"/>
      <c r="F175" s="1898"/>
      <c r="G175" s="3377"/>
      <c r="H175" s="3434"/>
      <c r="I175" s="3377"/>
      <c r="J175" s="3434"/>
      <c r="K175" s="3377"/>
      <c r="L175" s="3434"/>
      <c r="M175" s="3377"/>
      <c r="N175" s="3434"/>
      <c r="O175" s="3377"/>
      <c r="P175" s="3377"/>
      <c r="Q175" s="3377"/>
      <c r="R175" s="3434"/>
      <c r="S175" s="4050"/>
      <c r="T175" s="4052"/>
      <c r="U175" s="4044"/>
      <c r="V175" s="4046"/>
      <c r="W175" s="883" t="s">
        <v>1451</v>
      </c>
      <c r="X175" s="2165">
        <v>2000000</v>
      </c>
      <c r="Y175" s="2166"/>
      <c r="Z175" s="2166">
        <v>0</v>
      </c>
      <c r="AA175" s="1950" t="s">
        <v>1452</v>
      </c>
      <c r="AB175" s="4048"/>
      <c r="AC175" s="2728"/>
      <c r="AD175" s="4042"/>
      <c r="AE175" s="3457"/>
      <c r="AF175" s="4042"/>
      <c r="AG175" s="3457"/>
      <c r="AH175" s="4042"/>
      <c r="AI175" s="3457"/>
      <c r="AJ175" s="4042"/>
      <c r="AK175" s="3457"/>
      <c r="AL175" s="4042"/>
      <c r="AM175" s="3457"/>
      <c r="AN175" s="4042"/>
      <c r="AO175" s="3457"/>
      <c r="AP175" s="4042"/>
      <c r="AQ175" s="3457"/>
      <c r="AR175" s="3440"/>
      <c r="AS175" s="3457"/>
      <c r="AT175" s="3440"/>
      <c r="AU175" s="3457"/>
      <c r="AV175" s="3440"/>
      <c r="AW175" s="3457"/>
      <c r="AX175" s="3440"/>
      <c r="AY175" s="3457"/>
      <c r="AZ175" s="3440"/>
      <c r="BA175" s="3457"/>
      <c r="BB175" s="3440"/>
      <c r="BC175" s="3457"/>
      <c r="BD175" s="3440"/>
      <c r="BE175" s="3457"/>
      <c r="BF175" s="3440"/>
      <c r="BG175" s="3457"/>
      <c r="BH175" s="3440"/>
      <c r="BI175" s="3457"/>
      <c r="BJ175" s="4035"/>
      <c r="BK175" s="4038"/>
      <c r="BL175" s="4038"/>
      <c r="BM175" s="3454"/>
      <c r="BN175" s="3457"/>
      <c r="BO175" s="3457"/>
      <c r="BP175" s="3457"/>
      <c r="BQ175" s="4032"/>
      <c r="BR175" s="4032"/>
      <c r="BS175" s="4032"/>
      <c r="BT175" s="4032"/>
      <c r="BU175" s="3440"/>
    </row>
    <row r="176" spans="1:73" s="70" customFormat="1" ht="79.5" customHeight="1" x14ac:dyDescent="0.25">
      <c r="A176" s="1883"/>
      <c r="B176" s="1891"/>
      <c r="C176" s="1883"/>
      <c r="D176" s="1884"/>
      <c r="E176" s="1898"/>
      <c r="F176" s="1951"/>
      <c r="G176" s="3409">
        <v>4502024</v>
      </c>
      <c r="H176" s="2702" t="s">
        <v>1453</v>
      </c>
      <c r="I176" s="3409">
        <v>4502024</v>
      </c>
      <c r="J176" s="2702" t="s">
        <v>1453</v>
      </c>
      <c r="K176" s="3409" t="s">
        <v>74</v>
      </c>
      <c r="L176" s="2702" t="s">
        <v>1454</v>
      </c>
      <c r="M176" s="3409">
        <v>450202401</v>
      </c>
      <c r="N176" s="2702" t="s">
        <v>1455</v>
      </c>
      <c r="O176" s="3409">
        <v>1</v>
      </c>
      <c r="P176" s="3409">
        <v>0.25</v>
      </c>
      <c r="Q176" s="3409" t="s">
        <v>1456</v>
      </c>
      <c r="R176" s="2702" t="s">
        <v>1457</v>
      </c>
      <c r="S176" s="3712">
        <f>SUM(X176:X178)/T176</f>
        <v>1</v>
      </c>
      <c r="T176" s="4012">
        <f>SUM(X176:X178)</f>
        <v>33000000</v>
      </c>
      <c r="U176" s="2428" t="s">
        <v>1458</v>
      </c>
      <c r="V176" s="2772" t="s">
        <v>1390</v>
      </c>
      <c r="W176" s="1888" t="s">
        <v>1459</v>
      </c>
      <c r="X176" s="2198">
        <v>20000000</v>
      </c>
      <c r="Y176" s="2167">
        <v>13195000</v>
      </c>
      <c r="Z176" s="2167">
        <v>6540000</v>
      </c>
      <c r="AA176" s="1950" t="s">
        <v>1460</v>
      </c>
      <c r="AB176" s="4027">
        <v>20</v>
      </c>
      <c r="AC176" s="2728" t="s">
        <v>187</v>
      </c>
      <c r="AD176" s="2318">
        <v>1667</v>
      </c>
      <c r="AE176" s="2318">
        <v>97</v>
      </c>
      <c r="AF176" s="2318" t="s">
        <v>319</v>
      </c>
      <c r="AG176" s="2318"/>
      <c r="AH176" s="2318" t="s">
        <v>319</v>
      </c>
      <c r="AI176" s="2318"/>
      <c r="AJ176" s="2318">
        <v>327</v>
      </c>
      <c r="AK176" s="2318">
        <v>4</v>
      </c>
      <c r="AL176" s="2318">
        <v>920</v>
      </c>
      <c r="AM176" s="2318">
        <v>81</v>
      </c>
      <c r="AN176" s="2318">
        <v>420</v>
      </c>
      <c r="AO176" s="2318">
        <v>12</v>
      </c>
      <c r="AP176" s="3463"/>
      <c r="AQ176" s="2318"/>
      <c r="AR176" s="3463"/>
      <c r="AS176" s="2318"/>
      <c r="AT176" s="3463"/>
      <c r="AU176" s="2318"/>
      <c r="AV176" s="3463"/>
      <c r="AW176" s="2318"/>
      <c r="AX176" s="3463"/>
      <c r="AY176" s="2318"/>
      <c r="AZ176" s="3463"/>
      <c r="BA176" s="2318"/>
      <c r="BB176" s="3463"/>
      <c r="BC176" s="2318"/>
      <c r="BD176" s="3463"/>
      <c r="BE176" s="2318"/>
      <c r="BF176" s="3463"/>
      <c r="BG176" s="2318"/>
      <c r="BH176" s="3463">
        <v>1667</v>
      </c>
      <c r="BI176" s="2318">
        <f>SUM(AE176)</f>
        <v>97</v>
      </c>
      <c r="BJ176" s="3569">
        <v>1</v>
      </c>
      <c r="BK176" s="4015">
        <f>SUM(Y176:Y178)</f>
        <v>20195000</v>
      </c>
      <c r="BL176" s="4015">
        <f>SUM(Z176:Z178)</f>
        <v>11540000</v>
      </c>
      <c r="BM176" s="4017">
        <f>BL176/BK176</f>
        <v>0.5714285714285714</v>
      </c>
      <c r="BN176" s="2318">
        <v>20</v>
      </c>
      <c r="BO176" s="2318" t="s">
        <v>187</v>
      </c>
      <c r="BP176" s="2318" t="s">
        <v>1419</v>
      </c>
      <c r="BQ176" s="4007">
        <v>44197</v>
      </c>
      <c r="BR176" s="4007">
        <v>44229</v>
      </c>
      <c r="BS176" s="4007">
        <v>44561</v>
      </c>
      <c r="BT176" s="4007">
        <v>44376</v>
      </c>
      <c r="BU176" s="3463" t="s">
        <v>1419</v>
      </c>
    </row>
    <row r="177" spans="1:73" s="70" customFormat="1" ht="86.25" customHeight="1" x14ac:dyDescent="0.25">
      <c r="A177" s="1883"/>
      <c r="B177" s="1891"/>
      <c r="C177" s="1883"/>
      <c r="D177" s="1884"/>
      <c r="E177" s="1898"/>
      <c r="F177" s="1951"/>
      <c r="G177" s="3409"/>
      <c r="H177" s="2702"/>
      <c r="I177" s="3409"/>
      <c r="J177" s="2702"/>
      <c r="K177" s="3409"/>
      <c r="L177" s="2702"/>
      <c r="M177" s="3409"/>
      <c r="N177" s="2702"/>
      <c r="O177" s="3409"/>
      <c r="P177" s="3409"/>
      <c r="Q177" s="3409"/>
      <c r="R177" s="2702"/>
      <c r="S177" s="3712"/>
      <c r="T177" s="4012"/>
      <c r="U177" s="2429"/>
      <c r="V177" s="2772"/>
      <c r="W177" s="1888" t="s">
        <v>1461</v>
      </c>
      <c r="X177" s="2198">
        <v>6500000</v>
      </c>
      <c r="Y177" s="2167">
        <v>4000000</v>
      </c>
      <c r="Z177" s="2167">
        <f>+Y177</f>
        <v>4000000</v>
      </c>
      <c r="AA177" s="1950" t="s">
        <v>1460</v>
      </c>
      <c r="AB177" s="4027"/>
      <c r="AC177" s="2728"/>
      <c r="AD177" s="2318"/>
      <c r="AE177" s="2318"/>
      <c r="AF177" s="2318"/>
      <c r="AG177" s="2318"/>
      <c r="AH177" s="2318"/>
      <c r="AI177" s="2318"/>
      <c r="AJ177" s="2318"/>
      <c r="AK177" s="2318"/>
      <c r="AL177" s="2318"/>
      <c r="AM177" s="2318"/>
      <c r="AN177" s="2318"/>
      <c r="AO177" s="2318"/>
      <c r="AP177" s="3463"/>
      <c r="AQ177" s="2318"/>
      <c r="AR177" s="3463"/>
      <c r="AS177" s="2318"/>
      <c r="AT177" s="3463"/>
      <c r="AU177" s="2318"/>
      <c r="AV177" s="3463"/>
      <c r="AW177" s="2318"/>
      <c r="AX177" s="3463"/>
      <c r="AY177" s="2318"/>
      <c r="AZ177" s="3463"/>
      <c r="BA177" s="2318"/>
      <c r="BB177" s="3463"/>
      <c r="BC177" s="2318"/>
      <c r="BD177" s="3463"/>
      <c r="BE177" s="2318"/>
      <c r="BF177" s="3463"/>
      <c r="BG177" s="2318"/>
      <c r="BH177" s="3463"/>
      <c r="BI177" s="2318"/>
      <c r="BJ177" s="2742"/>
      <c r="BK177" s="4015"/>
      <c r="BL177" s="4015"/>
      <c r="BM177" s="4017"/>
      <c r="BN177" s="2318"/>
      <c r="BO177" s="2318"/>
      <c r="BP177" s="2318"/>
      <c r="BQ177" s="4007"/>
      <c r="BR177" s="4007"/>
      <c r="BS177" s="4007"/>
      <c r="BT177" s="4007"/>
      <c r="BU177" s="3463"/>
    </row>
    <row r="178" spans="1:73" s="70" customFormat="1" ht="102" customHeight="1" x14ac:dyDescent="0.25">
      <c r="A178" s="1883"/>
      <c r="B178" s="1891"/>
      <c r="C178" s="1883"/>
      <c r="D178" s="1884"/>
      <c r="E178" s="1898"/>
      <c r="F178" s="1951"/>
      <c r="G178" s="3601"/>
      <c r="H178" s="2703"/>
      <c r="I178" s="3601"/>
      <c r="J178" s="2703"/>
      <c r="K178" s="3601"/>
      <c r="L178" s="2703"/>
      <c r="M178" s="3601"/>
      <c r="N178" s="2703"/>
      <c r="O178" s="3601"/>
      <c r="P178" s="3601"/>
      <c r="Q178" s="3601"/>
      <c r="R178" s="2703"/>
      <c r="S178" s="3659"/>
      <c r="T178" s="4026"/>
      <c r="U178" s="2430"/>
      <c r="V178" s="2773"/>
      <c r="W178" s="1888" t="s">
        <v>1462</v>
      </c>
      <c r="X178" s="2198">
        <v>6500000</v>
      </c>
      <c r="Y178" s="2167">
        <v>3000000</v>
      </c>
      <c r="Z178" s="2167">
        <v>1000000</v>
      </c>
      <c r="AA178" s="1950" t="s">
        <v>1460</v>
      </c>
      <c r="AB178" s="4028"/>
      <c r="AC178" s="2728"/>
      <c r="AD178" s="4023"/>
      <c r="AE178" s="4023"/>
      <c r="AF178" s="4023"/>
      <c r="AG178" s="4023"/>
      <c r="AH178" s="4023"/>
      <c r="AI178" s="4023"/>
      <c r="AJ178" s="4023"/>
      <c r="AK178" s="4023"/>
      <c r="AL178" s="4023"/>
      <c r="AM178" s="4023"/>
      <c r="AN178" s="4023"/>
      <c r="AO178" s="4023"/>
      <c r="AP178" s="3464"/>
      <c r="AQ178" s="4023"/>
      <c r="AR178" s="3464"/>
      <c r="AS178" s="4023"/>
      <c r="AT178" s="3464"/>
      <c r="AU178" s="4023"/>
      <c r="AV178" s="3464"/>
      <c r="AW178" s="4023"/>
      <c r="AX178" s="3464"/>
      <c r="AY178" s="4023"/>
      <c r="AZ178" s="3464"/>
      <c r="BA178" s="4023"/>
      <c r="BB178" s="3464"/>
      <c r="BC178" s="4023"/>
      <c r="BD178" s="3464"/>
      <c r="BE178" s="4023"/>
      <c r="BF178" s="3464"/>
      <c r="BG178" s="4023"/>
      <c r="BH178" s="3464"/>
      <c r="BI178" s="4023"/>
      <c r="BJ178" s="2743"/>
      <c r="BK178" s="4024"/>
      <c r="BL178" s="4024"/>
      <c r="BM178" s="4025"/>
      <c r="BN178" s="4023"/>
      <c r="BO178" s="4023"/>
      <c r="BP178" s="4023"/>
      <c r="BQ178" s="4022"/>
      <c r="BR178" s="4022"/>
      <c r="BS178" s="4022"/>
      <c r="BT178" s="4022"/>
      <c r="BU178" s="3464"/>
    </row>
    <row r="179" spans="1:73" s="2" customFormat="1" ht="107.25" customHeight="1" x14ac:dyDescent="0.25">
      <c r="A179" s="410"/>
      <c r="B179" s="910"/>
      <c r="C179" s="410"/>
      <c r="D179" s="411"/>
      <c r="E179" s="1942"/>
      <c r="F179" s="1915"/>
      <c r="G179" s="2392">
        <v>4502024</v>
      </c>
      <c r="H179" s="2428" t="s">
        <v>1453</v>
      </c>
      <c r="I179" s="2392">
        <v>4502024</v>
      </c>
      <c r="J179" s="2428" t="s">
        <v>1453</v>
      </c>
      <c r="K179" s="2392" t="s">
        <v>74</v>
      </c>
      <c r="L179" s="2428" t="s">
        <v>1463</v>
      </c>
      <c r="M179" s="2392">
        <v>450202401</v>
      </c>
      <c r="N179" s="2428" t="s">
        <v>1455</v>
      </c>
      <c r="O179" s="2392">
        <v>1</v>
      </c>
      <c r="P179" s="2392">
        <v>0.25</v>
      </c>
      <c r="Q179" s="3408" t="s">
        <v>1464</v>
      </c>
      <c r="R179" s="2428" t="s">
        <v>1463</v>
      </c>
      <c r="S179" s="3607">
        <f>SUM(X179:X181)/T179</f>
        <v>1</v>
      </c>
      <c r="T179" s="4020">
        <f>SUM(X179:X181)</f>
        <v>33000000</v>
      </c>
      <c r="U179" s="2771" t="s">
        <v>1465</v>
      </c>
      <c r="V179" s="2771" t="s">
        <v>1466</v>
      </c>
      <c r="W179" s="1888" t="s">
        <v>1467</v>
      </c>
      <c r="X179" s="2198">
        <v>13000000</v>
      </c>
      <c r="Y179" s="2167">
        <v>11540000</v>
      </c>
      <c r="Z179" s="2167">
        <v>6885000</v>
      </c>
      <c r="AA179" s="1950" t="s">
        <v>1468</v>
      </c>
      <c r="AB179" s="4018">
        <v>20</v>
      </c>
      <c r="AC179" s="2258" t="s">
        <v>187</v>
      </c>
      <c r="AD179" s="2317">
        <v>856</v>
      </c>
      <c r="AE179" s="2317">
        <v>1162</v>
      </c>
      <c r="AF179" s="2317" t="s">
        <v>319</v>
      </c>
      <c r="AG179" s="2317"/>
      <c r="AH179" s="2317" t="s">
        <v>319</v>
      </c>
      <c r="AI179" s="2317"/>
      <c r="AJ179" s="2317">
        <v>50</v>
      </c>
      <c r="AK179" s="2317">
        <v>15</v>
      </c>
      <c r="AL179" s="2317">
        <v>560</v>
      </c>
      <c r="AM179" s="2317">
        <v>1071</v>
      </c>
      <c r="AN179" s="2317">
        <v>246</v>
      </c>
      <c r="AO179" s="2317">
        <v>62</v>
      </c>
      <c r="AP179" s="2741"/>
      <c r="AQ179" s="2317"/>
      <c r="AR179" s="2741"/>
      <c r="AS179" s="2317"/>
      <c r="AT179" s="2741"/>
      <c r="AU179" s="2317"/>
      <c r="AV179" s="2741"/>
      <c r="AW179" s="2317"/>
      <c r="AX179" s="2741"/>
      <c r="AY179" s="2317"/>
      <c r="AZ179" s="2741"/>
      <c r="BA179" s="2317"/>
      <c r="BB179" s="2741"/>
      <c r="BC179" s="2317"/>
      <c r="BD179" s="2741"/>
      <c r="BE179" s="2317"/>
      <c r="BF179" s="2741"/>
      <c r="BG179" s="2317"/>
      <c r="BH179" s="2741">
        <f>SUM(AH179:BF181)</f>
        <v>2004</v>
      </c>
      <c r="BI179" s="2317">
        <f>AE179</f>
        <v>1162</v>
      </c>
      <c r="BJ179" s="2741">
        <v>2</v>
      </c>
      <c r="BK179" s="4014">
        <f>SUM(Y179:Y181)</f>
        <v>20440000</v>
      </c>
      <c r="BL179" s="4014">
        <f>SUM(Z179:Z181)</f>
        <v>10880000</v>
      </c>
      <c r="BM179" s="4016">
        <f>BL179/BK179</f>
        <v>0.53228962818003911</v>
      </c>
      <c r="BN179" s="2317">
        <v>20</v>
      </c>
      <c r="BO179" s="2317" t="s">
        <v>187</v>
      </c>
      <c r="BP179" s="2317" t="s">
        <v>1419</v>
      </c>
      <c r="BQ179" s="3644">
        <v>44197</v>
      </c>
      <c r="BR179" s="3644">
        <v>44257</v>
      </c>
      <c r="BS179" s="3644">
        <v>44561</v>
      </c>
      <c r="BT179" s="3644">
        <v>44376</v>
      </c>
      <c r="BU179" s="2741" t="s">
        <v>1419</v>
      </c>
    </row>
    <row r="180" spans="1:73" s="2" customFormat="1" ht="76.5" customHeight="1" x14ac:dyDescent="0.25">
      <c r="A180" s="410"/>
      <c r="B180" s="910"/>
      <c r="C180" s="410"/>
      <c r="D180" s="411"/>
      <c r="E180" s="1942"/>
      <c r="F180" s="1915"/>
      <c r="G180" s="2387"/>
      <c r="H180" s="2429"/>
      <c r="I180" s="2387"/>
      <c r="J180" s="2429"/>
      <c r="K180" s="2387"/>
      <c r="L180" s="2429"/>
      <c r="M180" s="2387"/>
      <c r="N180" s="2429"/>
      <c r="O180" s="2387"/>
      <c r="P180" s="2387"/>
      <c r="Q180" s="3409"/>
      <c r="R180" s="2429"/>
      <c r="S180" s="3632"/>
      <c r="T180" s="4021"/>
      <c r="U180" s="2772"/>
      <c r="V180" s="2772"/>
      <c r="W180" s="1888" t="s">
        <v>1469</v>
      </c>
      <c r="X180" s="2165">
        <v>10000000</v>
      </c>
      <c r="Y180" s="2166">
        <v>4450000</v>
      </c>
      <c r="Z180" s="2166">
        <v>2890000</v>
      </c>
      <c r="AA180" s="1950" t="s">
        <v>1468</v>
      </c>
      <c r="AB180" s="4019"/>
      <c r="AC180" s="2258"/>
      <c r="AD180" s="2318"/>
      <c r="AE180" s="2318"/>
      <c r="AF180" s="2318"/>
      <c r="AG180" s="2318"/>
      <c r="AH180" s="2318"/>
      <c r="AI180" s="2318"/>
      <c r="AJ180" s="2318"/>
      <c r="AK180" s="2318"/>
      <c r="AL180" s="2318"/>
      <c r="AM180" s="2318"/>
      <c r="AN180" s="2318"/>
      <c r="AO180" s="2318"/>
      <c r="AP180" s="2742"/>
      <c r="AQ180" s="2318"/>
      <c r="AR180" s="2742"/>
      <c r="AS180" s="2318"/>
      <c r="AT180" s="2742"/>
      <c r="AU180" s="2318"/>
      <c r="AV180" s="2742"/>
      <c r="AW180" s="2318"/>
      <c r="AX180" s="2742"/>
      <c r="AY180" s="2318"/>
      <c r="AZ180" s="2742"/>
      <c r="BA180" s="2318"/>
      <c r="BB180" s="2742"/>
      <c r="BC180" s="2318"/>
      <c r="BD180" s="2742"/>
      <c r="BE180" s="2318"/>
      <c r="BF180" s="2742"/>
      <c r="BG180" s="2318"/>
      <c r="BH180" s="2742"/>
      <c r="BI180" s="2318"/>
      <c r="BJ180" s="2742"/>
      <c r="BK180" s="4015"/>
      <c r="BL180" s="4015"/>
      <c r="BM180" s="4017"/>
      <c r="BN180" s="2318"/>
      <c r="BO180" s="2318"/>
      <c r="BP180" s="2318"/>
      <c r="BQ180" s="3645"/>
      <c r="BR180" s="3645"/>
      <c r="BS180" s="3645"/>
      <c r="BT180" s="3645"/>
      <c r="BU180" s="2742"/>
    </row>
    <row r="181" spans="1:73" s="2" customFormat="1" ht="56.25" customHeight="1" x14ac:dyDescent="0.25">
      <c r="A181" s="410"/>
      <c r="B181" s="910"/>
      <c r="C181" s="410"/>
      <c r="D181" s="411"/>
      <c r="E181" s="1942"/>
      <c r="F181" s="1915"/>
      <c r="G181" s="2387"/>
      <c r="H181" s="2429"/>
      <c r="I181" s="2387"/>
      <c r="J181" s="2429"/>
      <c r="K181" s="2387"/>
      <c r="L181" s="2429"/>
      <c r="M181" s="2387"/>
      <c r="N181" s="2429"/>
      <c r="O181" s="2387"/>
      <c r="P181" s="2387"/>
      <c r="Q181" s="3409"/>
      <c r="R181" s="2429"/>
      <c r="S181" s="3632"/>
      <c r="T181" s="4021"/>
      <c r="U181" s="2772"/>
      <c r="V181" s="2772"/>
      <c r="W181" s="1887" t="s">
        <v>1470</v>
      </c>
      <c r="X181" s="2173">
        <v>10000000</v>
      </c>
      <c r="Y181" s="2182">
        <v>4450000</v>
      </c>
      <c r="Z181" s="2166">
        <v>1105000</v>
      </c>
      <c r="AA181" s="1950" t="s">
        <v>1468</v>
      </c>
      <c r="AB181" s="4019"/>
      <c r="AC181" s="2258"/>
      <c r="AD181" s="2318"/>
      <c r="AE181" s="2318"/>
      <c r="AF181" s="2318"/>
      <c r="AG181" s="2318"/>
      <c r="AH181" s="2318"/>
      <c r="AI181" s="2318"/>
      <c r="AJ181" s="2318"/>
      <c r="AK181" s="2318"/>
      <c r="AL181" s="2318"/>
      <c r="AM181" s="2318"/>
      <c r="AN181" s="2318"/>
      <c r="AO181" s="2318"/>
      <c r="AP181" s="2742"/>
      <c r="AQ181" s="2318"/>
      <c r="AR181" s="2742"/>
      <c r="AS181" s="2318"/>
      <c r="AT181" s="2742"/>
      <c r="AU181" s="2318"/>
      <c r="AV181" s="2742"/>
      <c r="AW181" s="2318"/>
      <c r="AX181" s="2742"/>
      <c r="AY181" s="2318"/>
      <c r="AZ181" s="2742"/>
      <c r="BA181" s="2318"/>
      <c r="BB181" s="2742"/>
      <c r="BC181" s="2318"/>
      <c r="BD181" s="2742"/>
      <c r="BE181" s="2318"/>
      <c r="BF181" s="2742"/>
      <c r="BG181" s="2318"/>
      <c r="BH181" s="2742"/>
      <c r="BI181" s="2318"/>
      <c r="BJ181" s="3508"/>
      <c r="BK181" s="4015"/>
      <c r="BL181" s="4015"/>
      <c r="BM181" s="4017"/>
      <c r="BN181" s="2318"/>
      <c r="BO181" s="2318"/>
      <c r="BP181" s="2318"/>
      <c r="BQ181" s="3645"/>
      <c r="BR181" s="3645"/>
      <c r="BS181" s="3645"/>
      <c r="BT181" s="3645"/>
      <c r="BU181" s="2742"/>
    </row>
    <row r="182" spans="1:73" s="2" customFormat="1" ht="25.5" customHeight="1" x14ac:dyDescent="0.25">
      <c r="A182" s="410"/>
      <c r="B182" s="910"/>
      <c r="C182" s="410"/>
      <c r="D182" s="411"/>
      <c r="E182" s="932">
        <v>4599</v>
      </c>
      <c r="F182" s="3773" t="s">
        <v>1471</v>
      </c>
      <c r="G182" s="2923"/>
      <c r="H182" s="2923"/>
      <c r="I182" s="2923"/>
      <c r="J182" s="2923"/>
      <c r="K182" s="2923"/>
      <c r="L182" s="2923"/>
      <c r="M182" s="2923"/>
      <c r="N182" s="2923"/>
      <c r="O182" s="391"/>
      <c r="P182" s="391"/>
      <c r="Q182" s="391"/>
      <c r="R182" s="394"/>
      <c r="S182" s="391"/>
      <c r="T182" s="938"/>
      <c r="U182" s="935"/>
      <c r="V182" s="935"/>
      <c r="W182" s="91"/>
      <c r="X182" s="2199"/>
      <c r="Y182" s="2199"/>
      <c r="Z182" s="2199"/>
      <c r="AA182" s="865"/>
      <c r="AB182" s="940"/>
      <c r="AC182" s="97"/>
      <c r="AD182" s="941"/>
      <c r="AE182" s="941"/>
      <c r="AF182" s="941"/>
      <c r="AG182" s="941"/>
      <c r="AH182" s="941"/>
      <c r="AI182" s="941"/>
      <c r="AJ182" s="941"/>
      <c r="AK182" s="941"/>
      <c r="AL182" s="941"/>
      <c r="AM182" s="941"/>
      <c r="AN182" s="941"/>
      <c r="AO182" s="941"/>
      <c r="AP182" s="941"/>
      <c r="AQ182" s="941"/>
      <c r="AR182" s="941"/>
      <c r="AS182" s="941"/>
      <c r="AT182" s="941"/>
      <c r="AU182" s="941"/>
      <c r="AV182" s="941"/>
      <c r="AW182" s="941"/>
      <c r="AX182" s="941"/>
      <c r="AY182" s="941"/>
      <c r="AZ182" s="941"/>
      <c r="BA182" s="941"/>
      <c r="BB182" s="941"/>
      <c r="BC182" s="941"/>
      <c r="BD182" s="941"/>
      <c r="BE182" s="941"/>
      <c r="BF182" s="941"/>
      <c r="BG182" s="941"/>
      <c r="BH182" s="941"/>
      <c r="BI182" s="941"/>
      <c r="BJ182" s="941"/>
      <c r="BK182" s="939"/>
      <c r="BL182" s="939"/>
      <c r="BM182" s="941"/>
      <c r="BN182" s="941"/>
      <c r="BO182" s="941"/>
      <c r="BP182" s="941"/>
      <c r="BQ182" s="942"/>
      <c r="BR182" s="942"/>
      <c r="BS182" s="942"/>
      <c r="BT182" s="942"/>
      <c r="BU182" s="943"/>
    </row>
    <row r="183" spans="1:73" s="70" customFormat="1" ht="117.75" customHeight="1" x14ac:dyDescent="0.25">
      <c r="A183" s="1883"/>
      <c r="B183" s="1891"/>
      <c r="C183" s="1883"/>
      <c r="D183" s="1884"/>
      <c r="E183" s="1898"/>
      <c r="F183" s="1951"/>
      <c r="G183" s="3409" t="s">
        <v>74</v>
      </c>
      <c r="H183" s="2702" t="s">
        <v>1472</v>
      </c>
      <c r="I183" s="3409" t="s">
        <v>1473</v>
      </c>
      <c r="J183" s="4013" t="s">
        <v>1474</v>
      </c>
      <c r="K183" s="3409" t="s">
        <v>74</v>
      </c>
      <c r="L183" s="2702" t="s">
        <v>1475</v>
      </c>
      <c r="M183" s="3409" t="s">
        <v>1476</v>
      </c>
      <c r="N183" s="4013" t="s">
        <v>1057</v>
      </c>
      <c r="O183" s="3409">
        <v>1</v>
      </c>
      <c r="P183" s="3409">
        <v>0</v>
      </c>
      <c r="Q183" s="3409" t="s">
        <v>1477</v>
      </c>
      <c r="R183" s="2702" t="s">
        <v>1478</v>
      </c>
      <c r="S183" s="3712">
        <f>SUM(X183:X184)/T183</f>
        <v>1</v>
      </c>
      <c r="T183" s="4012">
        <f>SUM(X183:X184)</f>
        <v>50000000</v>
      </c>
      <c r="U183" s="2772" t="s">
        <v>1479</v>
      </c>
      <c r="V183" s="2772" t="s">
        <v>1480</v>
      </c>
      <c r="W183" s="1888" t="s">
        <v>1481</v>
      </c>
      <c r="X183" s="2165">
        <v>46040000</v>
      </c>
      <c r="Y183" s="2176">
        <v>0</v>
      </c>
      <c r="Z183" s="2176">
        <v>0</v>
      </c>
      <c r="AA183" s="896" t="s">
        <v>1482</v>
      </c>
      <c r="AB183" s="4010">
        <v>20</v>
      </c>
      <c r="AC183" s="2728" t="s">
        <v>187</v>
      </c>
      <c r="AD183" s="3463">
        <v>3500</v>
      </c>
      <c r="AE183" s="4006"/>
      <c r="AF183" s="3463">
        <v>4000</v>
      </c>
      <c r="AG183" s="4006"/>
      <c r="AH183" s="3463"/>
      <c r="AI183" s="4006"/>
      <c r="AJ183" s="3463"/>
      <c r="AK183" s="4006"/>
      <c r="AL183" s="3463"/>
      <c r="AM183" s="4006"/>
      <c r="AN183" s="3463">
        <v>7500</v>
      </c>
      <c r="AO183" s="4006"/>
      <c r="AP183" s="3463"/>
      <c r="AQ183" s="4006"/>
      <c r="AR183" s="3463"/>
      <c r="AS183" s="4006"/>
      <c r="AT183" s="3463"/>
      <c r="AU183" s="4006"/>
      <c r="AV183" s="3463"/>
      <c r="AW183" s="4006"/>
      <c r="AX183" s="3463"/>
      <c r="AY183" s="4006"/>
      <c r="AZ183" s="3463"/>
      <c r="BA183" s="4006"/>
      <c r="BB183" s="3463"/>
      <c r="BC183" s="4006"/>
      <c r="BD183" s="3463"/>
      <c r="BE183" s="4006"/>
      <c r="BF183" s="3463"/>
      <c r="BG183" s="4006"/>
      <c r="BH183" s="3463">
        <v>7500</v>
      </c>
      <c r="BI183" s="4006"/>
      <c r="BJ183" s="4006"/>
      <c r="BK183" s="4008">
        <f>SUM(Y183:Y184)</f>
        <v>0</v>
      </c>
      <c r="BL183" s="4008">
        <f>SUM(Z183:Z184)</f>
        <v>0</v>
      </c>
      <c r="BM183" s="2462" t="e">
        <f>BL183/BK183</f>
        <v>#DIV/0!</v>
      </c>
      <c r="BN183" s="4006"/>
      <c r="BO183" s="2462"/>
      <c r="BP183" s="4006"/>
      <c r="BQ183" s="4007">
        <v>44197</v>
      </c>
      <c r="BR183" s="4007"/>
      <c r="BS183" s="4007">
        <v>44561</v>
      </c>
      <c r="BT183" s="4007"/>
      <c r="BU183" s="3463" t="s">
        <v>1483</v>
      </c>
    </row>
    <row r="184" spans="1:73" s="70" customFormat="1" ht="99" customHeight="1" x14ac:dyDescent="0.25">
      <c r="A184" s="1883"/>
      <c r="B184" s="1891"/>
      <c r="C184" s="1883"/>
      <c r="D184" s="1884"/>
      <c r="E184" s="1898"/>
      <c r="F184" s="1951"/>
      <c r="G184" s="3409"/>
      <c r="H184" s="2702"/>
      <c r="I184" s="3409"/>
      <c r="J184" s="2703"/>
      <c r="K184" s="3409"/>
      <c r="L184" s="2702"/>
      <c r="M184" s="3409"/>
      <c r="N184" s="2703"/>
      <c r="O184" s="3409"/>
      <c r="P184" s="3409"/>
      <c r="Q184" s="3409"/>
      <c r="R184" s="2702"/>
      <c r="S184" s="3712"/>
      <c r="T184" s="4012"/>
      <c r="U184" s="2772"/>
      <c r="V184" s="2772"/>
      <c r="W184" s="1853" t="s">
        <v>1484</v>
      </c>
      <c r="X184" s="2180">
        <v>3960000</v>
      </c>
      <c r="Y184" s="2166">
        <v>0</v>
      </c>
      <c r="Z184" s="2166">
        <v>0</v>
      </c>
      <c r="AA184" s="896" t="s">
        <v>1482</v>
      </c>
      <c r="AB184" s="4011"/>
      <c r="AC184" s="2728"/>
      <c r="AD184" s="3463"/>
      <c r="AE184" s="3464"/>
      <c r="AF184" s="3463"/>
      <c r="AG184" s="3464"/>
      <c r="AH184" s="3463"/>
      <c r="AI184" s="3464"/>
      <c r="AJ184" s="3463"/>
      <c r="AK184" s="3464"/>
      <c r="AL184" s="3463"/>
      <c r="AM184" s="3464"/>
      <c r="AN184" s="3463"/>
      <c r="AO184" s="3464"/>
      <c r="AP184" s="3463"/>
      <c r="AQ184" s="3464"/>
      <c r="AR184" s="3463"/>
      <c r="AS184" s="3464"/>
      <c r="AT184" s="3463"/>
      <c r="AU184" s="3464"/>
      <c r="AV184" s="3463"/>
      <c r="AW184" s="3464"/>
      <c r="AX184" s="3463"/>
      <c r="AY184" s="3464"/>
      <c r="AZ184" s="3463"/>
      <c r="BA184" s="3464"/>
      <c r="BB184" s="3463"/>
      <c r="BC184" s="3464"/>
      <c r="BD184" s="3463"/>
      <c r="BE184" s="3464"/>
      <c r="BF184" s="3463"/>
      <c r="BG184" s="3464"/>
      <c r="BH184" s="3463"/>
      <c r="BI184" s="3464"/>
      <c r="BJ184" s="3464"/>
      <c r="BK184" s="4009"/>
      <c r="BL184" s="4009"/>
      <c r="BM184" s="2464"/>
      <c r="BN184" s="3464"/>
      <c r="BO184" s="2464"/>
      <c r="BP184" s="3464"/>
      <c r="BQ184" s="4007"/>
      <c r="BR184" s="4007"/>
      <c r="BS184" s="4007"/>
      <c r="BT184" s="4007"/>
      <c r="BU184" s="3463"/>
    </row>
    <row r="185" spans="1:73" s="2" customFormat="1" ht="319.5" customHeight="1" x14ac:dyDescent="0.25">
      <c r="A185" s="410"/>
      <c r="B185" s="910"/>
      <c r="C185" s="410"/>
      <c r="D185" s="411"/>
      <c r="E185" s="1942"/>
      <c r="F185" s="1915"/>
      <c r="G185" s="1865" t="s">
        <v>74</v>
      </c>
      <c r="H185" s="1866" t="s">
        <v>1485</v>
      </c>
      <c r="I185" s="1865" t="s">
        <v>1473</v>
      </c>
      <c r="J185" s="1866" t="s">
        <v>1474</v>
      </c>
      <c r="K185" s="1865" t="s">
        <v>74</v>
      </c>
      <c r="L185" s="1866" t="s">
        <v>1486</v>
      </c>
      <c r="M185" s="1865" t="s">
        <v>1476</v>
      </c>
      <c r="N185" s="1866" t="s">
        <v>1057</v>
      </c>
      <c r="O185" s="1865">
        <v>1</v>
      </c>
      <c r="P185" s="1865">
        <v>0.25</v>
      </c>
      <c r="Q185" s="1906" t="s">
        <v>1487</v>
      </c>
      <c r="R185" s="1866" t="s">
        <v>1488</v>
      </c>
      <c r="S185" s="1917">
        <f>SUM(X185)/T185</f>
        <v>1</v>
      </c>
      <c r="T185" s="1939">
        <f>X185</f>
        <v>18000000</v>
      </c>
      <c r="U185" s="1866" t="s">
        <v>1426</v>
      </c>
      <c r="V185" s="1889" t="s">
        <v>1489</v>
      </c>
      <c r="W185" s="1888" t="s">
        <v>1490</v>
      </c>
      <c r="X185" s="2165">
        <v>18000000</v>
      </c>
      <c r="Y185" s="2182">
        <v>11540000</v>
      </c>
      <c r="Z185" s="2182">
        <v>8655000</v>
      </c>
      <c r="AA185" s="1950" t="s">
        <v>1491</v>
      </c>
      <c r="AB185" s="944">
        <v>20</v>
      </c>
      <c r="AC185" s="1855" t="s">
        <v>187</v>
      </c>
      <c r="AD185" s="1857">
        <v>150</v>
      </c>
      <c r="AE185" s="1880"/>
      <c r="AF185" s="945" t="s">
        <v>319</v>
      </c>
      <c r="AG185" s="1880"/>
      <c r="AH185" s="945" t="s">
        <v>319</v>
      </c>
      <c r="AI185" s="1880"/>
      <c r="AJ185" s="945" t="s">
        <v>319</v>
      </c>
      <c r="AK185" s="1880"/>
      <c r="AL185" s="945">
        <v>150</v>
      </c>
      <c r="AM185" s="1880"/>
      <c r="AN185" s="1880"/>
      <c r="AO185" s="1880"/>
      <c r="AP185" s="1880"/>
      <c r="AQ185" s="1880"/>
      <c r="AR185" s="1880"/>
      <c r="AS185" s="1880"/>
      <c r="AT185" s="1880"/>
      <c r="AU185" s="1880"/>
      <c r="AV185" s="1880"/>
      <c r="AW185" s="1880"/>
      <c r="AX185" s="1880"/>
      <c r="AY185" s="1880"/>
      <c r="AZ185" s="1880"/>
      <c r="BA185" s="1880"/>
      <c r="BB185" s="1880"/>
      <c r="BC185" s="1880"/>
      <c r="BD185" s="1880"/>
      <c r="BE185" s="1880"/>
      <c r="BF185" s="1880"/>
      <c r="BG185" s="1880"/>
      <c r="BH185" s="1880">
        <v>150</v>
      </c>
      <c r="BI185" s="1880"/>
      <c r="BJ185" s="1880">
        <v>1</v>
      </c>
      <c r="BK185" s="1945">
        <f>SUM(Y185)</f>
        <v>11540000</v>
      </c>
      <c r="BL185" s="1945">
        <f>SUM(Z185)</f>
        <v>8655000</v>
      </c>
      <c r="BM185" s="1870">
        <f>BL185/BK185</f>
        <v>0.75</v>
      </c>
      <c r="BN185" s="1880">
        <v>20</v>
      </c>
      <c r="BO185" s="1880" t="s">
        <v>187</v>
      </c>
      <c r="BP185" s="1880" t="s">
        <v>1419</v>
      </c>
      <c r="BQ185" s="1873">
        <v>44197</v>
      </c>
      <c r="BR185" s="1873">
        <v>44263</v>
      </c>
      <c r="BS185" s="1873">
        <v>44561</v>
      </c>
      <c r="BT185" s="1873">
        <v>44382</v>
      </c>
      <c r="BU185" s="1913" t="s">
        <v>1419</v>
      </c>
    </row>
    <row r="186" spans="1:73" s="2" customFormat="1" ht="78.75" customHeight="1" x14ac:dyDescent="0.25">
      <c r="A186" s="410"/>
      <c r="B186" s="910"/>
      <c r="C186" s="410"/>
      <c r="D186" s="411"/>
      <c r="E186" s="1942"/>
      <c r="F186" s="1942"/>
      <c r="G186" s="2254" t="s">
        <v>74</v>
      </c>
      <c r="H186" s="2679" t="s">
        <v>1492</v>
      </c>
      <c r="I186" s="2254" t="s">
        <v>1473</v>
      </c>
      <c r="J186" s="2679" t="s">
        <v>1474</v>
      </c>
      <c r="K186" s="2254" t="s">
        <v>74</v>
      </c>
      <c r="L186" s="2679" t="s">
        <v>1493</v>
      </c>
      <c r="M186" s="2254" t="s">
        <v>1476</v>
      </c>
      <c r="N186" s="2679" t="s">
        <v>1057</v>
      </c>
      <c r="O186" s="2254">
        <v>1</v>
      </c>
      <c r="P186" s="2254">
        <v>0.25</v>
      </c>
      <c r="Q186" s="3385" t="s">
        <v>1494</v>
      </c>
      <c r="R186" s="2679" t="s">
        <v>1495</v>
      </c>
      <c r="S186" s="3602">
        <f>SUM(X186:X190)/T186</f>
        <v>0.59078557606793447</v>
      </c>
      <c r="T186" s="4005">
        <f>SUM(X186:X192)</f>
        <v>145894503</v>
      </c>
      <c r="U186" s="2795" t="s">
        <v>1496</v>
      </c>
      <c r="V186" s="2795" t="s">
        <v>1497</v>
      </c>
      <c r="W186" s="1954" t="s">
        <v>1498</v>
      </c>
      <c r="X186" s="2183">
        <v>16000000</v>
      </c>
      <c r="Y186" s="2183">
        <v>6600000</v>
      </c>
      <c r="Z186" s="2183">
        <v>3300000</v>
      </c>
      <c r="AA186" s="1852" t="s">
        <v>1499</v>
      </c>
      <c r="AB186" s="870">
        <v>20</v>
      </c>
      <c r="AC186" s="1856" t="s">
        <v>187</v>
      </c>
      <c r="AD186" s="2307">
        <v>2360</v>
      </c>
      <c r="AE186" s="2258">
        <v>132</v>
      </c>
      <c r="AF186" s="2307">
        <v>2360</v>
      </c>
      <c r="AG186" s="2258">
        <v>141</v>
      </c>
      <c r="AH186" s="2307">
        <v>1500</v>
      </c>
      <c r="AI186" s="2258">
        <v>9</v>
      </c>
      <c r="AJ186" s="2307">
        <v>480</v>
      </c>
      <c r="AK186" s="2307">
        <v>1500</v>
      </c>
      <c r="AL186" s="2307"/>
      <c r="AM186" s="2258">
        <v>205</v>
      </c>
      <c r="AN186" s="2307">
        <v>1200</v>
      </c>
      <c r="AO186" s="2258">
        <v>59</v>
      </c>
      <c r="AP186" s="2307">
        <v>15</v>
      </c>
      <c r="AQ186" s="2258">
        <v>3</v>
      </c>
      <c r="AR186" s="2307">
        <v>15</v>
      </c>
      <c r="AS186" s="2258"/>
      <c r="AT186" s="2258"/>
      <c r="AU186" s="2258"/>
      <c r="AV186" s="2258"/>
      <c r="AW186" s="2258"/>
      <c r="AX186" s="2258"/>
      <c r="AY186" s="2258"/>
      <c r="AZ186" s="2258"/>
      <c r="BA186" s="2258"/>
      <c r="BB186" s="2258"/>
      <c r="BC186" s="2258"/>
      <c r="BD186" s="2258"/>
      <c r="BE186" s="2258">
        <v>228</v>
      </c>
      <c r="BF186" s="2307">
        <v>10</v>
      </c>
      <c r="BG186" s="2258"/>
      <c r="BH186" s="2258">
        <v>4720</v>
      </c>
      <c r="BI186" s="2258">
        <f>SUM(AE186+AG186)</f>
        <v>273</v>
      </c>
      <c r="BJ186" s="2741">
        <v>1</v>
      </c>
      <c r="BK186" s="4002">
        <f>SUM(Y186:Y192)</f>
        <v>29680000</v>
      </c>
      <c r="BL186" s="4002">
        <f>SUM(Z186:Z190)</f>
        <v>14840000</v>
      </c>
      <c r="BM186" s="2492">
        <f>BL186/BK186</f>
        <v>0.5</v>
      </c>
      <c r="BN186" s="2258">
        <v>20</v>
      </c>
      <c r="BO186" s="2258" t="s">
        <v>187</v>
      </c>
      <c r="BP186" s="2258" t="s">
        <v>1483</v>
      </c>
      <c r="BQ186" s="4000">
        <v>44197</v>
      </c>
      <c r="BR186" s="4000">
        <v>44245</v>
      </c>
      <c r="BS186" s="4000">
        <v>44561</v>
      </c>
      <c r="BT186" s="4000">
        <v>44364</v>
      </c>
      <c r="BU186" s="2258" t="s">
        <v>1483</v>
      </c>
    </row>
    <row r="187" spans="1:73" s="2" customFormat="1" ht="78.75" customHeight="1" x14ac:dyDescent="0.25">
      <c r="A187" s="410"/>
      <c r="B187" s="910"/>
      <c r="C187" s="410"/>
      <c r="D187" s="411"/>
      <c r="E187" s="1942"/>
      <c r="F187" s="1942"/>
      <c r="G187" s="2254"/>
      <c r="H187" s="2679"/>
      <c r="I187" s="2254"/>
      <c r="J187" s="2679"/>
      <c r="K187" s="2254"/>
      <c r="L187" s="2679"/>
      <c r="M187" s="2254"/>
      <c r="N187" s="2679"/>
      <c r="O187" s="2254"/>
      <c r="P187" s="2254"/>
      <c r="Q187" s="3385"/>
      <c r="R187" s="2679"/>
      <c r="S187" s="3602"/>
      <c r="T187" s="4005"/>
      <c r="U187" s="2795"/>
      <c r="V187" s="2795"/>
      <c r="W187" s="1954" t="s">
        <v>1500</v>
      </c>
      <c r="X187" s="2183">
        <v>47112368</v>
      </c>
      <c r="Y187" s="2200"/>
      <c r="Z187" s="2183"/>
      <c r="AA187" s="1852" t="s">
        <v>1501</v>
      </c>
      <c r="AB187" s="870">
        <v>88</v>
      </c>
      <c r="AC187" s="1856" t="s">
        <v>1126</v>
      </c>
      <c r="AD187" s="2307"/>
      <c r="AE187" s="2258"/>
      <c r="AF187" s="2307"/>
      <c r="AG187" s="2258"/>
      <c r="AH187" s="2307"/>
      <c r="AI187" s="2258"/>
      <c r="AJ187" s="2307"/>
      <c r="AK187" s="2307"/>
      <c r="AL187" s="2307"/>
      <c r="AM187" s="2258"/>
      <c r="AN187" s="2307"/>
      <c r="AO187" s="2258"/>
      <c r="AP187" s="2307"/>
      <c r="AQ187" s="2258"/>
      <c r="AR187" s="2307"/>
      <c r="AS187" s="2258"/>
      <c r="AT187" s="2258"/>
      <c r="AU187" s="2258"/>
      <c r="AV187" s="2258"/>
      <c r="AW187" s="2258"/>
      <c r="AX187" s="2258"/>
      <c r="AY187" s="2258"/>
      <c r="AZ187" s="2258"/>
      <c r="BA187" s="2258"/>
      <c r="BB187" s="2258"/>
      <c r="BC187" s="2258"/>
      <c r="BD187" s="2258"/>
      <c r="BE187" s="2258"/>
      <c r="BF187" s="2307"/>
      <c r="BG187" s="2258"/>
      <c r="BH187" s="2258"/>
      <c r="BI187" s="2258"/>
      <c r="BJ187" s="2742"/>
      <c r="BK187" s="4003"/>
      <c r="BL187" s="4003"/>
      <c r="BM187" s="2707"/>
      <c r="BN187" s="2258"/>
      <c r="BO187" s="2258"/>
      <c r="BP187" s="2258"/>
      <c r="BQ187" s="4000"/>
      <c r="BR187" s="4000"/>
      <c r="BS187" s="4000"/>
      <c r="BT187" s="4000"/>
      <c r="BU187" s="2258"/>
    </row>
    <row r="188" spans="1:73" s="2" customFormat="1" ht="142.5" customHeight="1" x14ac:dyDescent="0.25">
      <c r="A188" s="410"/>
      <c r="B188" s="910"/>
      <c r="C188" s="410"/>
      <c r="D188" s="411"/>
      <c r="E188" s="1942"/>
      <c r="F188" s="1942"/>
      <c r="G188" s="2254"/>
      <c r="H188" s="2679"/>
      <c r="I188" s="2254"/>
      <c r="J188" s="2679"/>
      <c r="K188" s="2254"/>
      <c r="L188" s="2679"/>
      <c r="M188" s="2254"/>
      <c r="N188" s="2679"/>
      <c r="O188" s="2254"/>
      <c r="P188" s="2254"/>
      <c r="Q188" s="3385"/>
      <c r="R188" s="2679"/>
      <c r="S188" s="3602"/>
      <c r="T188" s="4005"/>
      <c r="U188" s="2795"/>
      <c r="V188" s="2795"/>
      <c r="W188" s="1954" t="s">
        <v>1502</v>
      </c>
      <c r="X188" s="2183">
        <v>10000000</v>
      </c>
      <c r="Y188" s="2183">
        <v>5770000</v>
      </c>
      <c r="Z188" s="2183">
        <v>5770000</v>
      </c>
      <c r="AA188" s="1852" t="s">
        <v>1499</v>
      </c>
      <c r="AB188" s="870">
        <v>20</v>
      </c>
      <c r="AC188" s="1856" t="s">
        <v>187</v>
      </c>
      <c r="AD188" s="2307"/>
      <c r="AE188" s="2258"/>
      <c r="AF188" s="2307"/>
      <c r="AG188" s="2258"/>
      <c r="AH188" s="2307"/>
      <c r="AI188" s="2258"/>
      <c r="AJ188" s="2307"/>
      <c r="AK188" s="2307"/>
      <c r="AL188" s="2307"/>
      <c r="AM188" s="2258"/>
      <c r="AN188" s="2307"/>
      <c r="AO188" s="2258"/>
      <c r="AP188" s="2307"/>
      <c r="AQ188" s="2258"/>
      <c r="AR188" s="2307"/>
      <c r="AS188" s="2258"/>
      <c r="AT188" s="2258"/>
      <c r="AU188" s="2258"/>
      <c r="AV188" s="2258"/>
      <c r="AW188" s="2258"/>
      <c r="AX188" s="2258"/>
      <c r="AY188" s="2258"/>
      <c r="AZ188" s="2258"/>
      <c r="BA188" s="2258"/>
      <c r="BB188" s="2258"/>
      <c r="BC188" s="2258"/>
      <c r="BD188" s="2258"/>
      <c r="BE188" s="2258"/>
      <c r="BF188" s="2307"/>
      <c r="BG188" s="2258"/>
      <c r="BH188" s="2258"/>
      <c r="BI188" s="2258"/>
      <c r="BJ188" s="2742"/>
      <c r="BK188" s="4003"/>
      <c r="BL188" s="4003"/>
      <c r="BM188" s="2707"/>
      <c r="BN188" s="2258"/>
      <c r="BO188" s="2258"/>
      <c r="BP188" s="2258"/>
      <c r="BQ188" s="4000"/>
      <c r="BR188" s="4000"/>
      <c r="BS188" s="4000"/>
      <c r="BT188" s="4000"/>
      <c r="BU188" s="2258"/>
    </row>
    <row r="189" spans="1:73" s="2" customFormat="1" ht="142.5" customHeight="1" x14ac:dyDescent="0.25">
      <c r="A189" s="410"/>
      <c r="B189" s="910"/>
      <c r="C189" s="410"/>
      <c r="D189" s="411"/>
      <c r="E189" s="1942"/>
      <c r="F189" s="1942"/>
      <c r="G189" s="2254"/>
      <c r="H189" s="2679"/>
      <c r="I189" s="2254"/>
      <c r="J189" s="2679"/>
      <c r="K189" s="2254"/>
      <c r="L189" s="2679"/>
      <c r="M189" s="2254"/>
      <c r="N189" s="2679"/>
      <c r="O189" s="2254"/>
      <c r="P189" s="2254"/>
      <c r="Q189" s="3385"/>
      <c r="R189" s="2679"/>
      <c r="S189" s="3602"/>
      <c r="T189" s="4005"/>
      <c r="U189" s="2795"/>
      <c r="V189" s="2795"/>
      <c r="W189" s="4001" t="s">
        <v>1503</v>
      </c>
      <c r="X189" s="2183">
        <v>10000000</v>
      </c>
      <c r="Y189" s="2183">
        <v>5770000</v>
      </c>
      <c r="Z189" s="2183">
        <v>5770000</v>
      </c>
      <c r="AA189" s="1852" t="s">
        <v>1499</v>
      </c>
      <c r="AB189" s="870">
        <v>20</v>
      </c>
      <c r="AC189" s="1856" t="s">
        <v>187</v>
      </c>
      <c r="AD189" s="2307"/>
      <c r="AE189" s="2258"/>
      <c r="AF189" s="2307"/>
      <c r="AG189" s="2258"/>
      <c r="AH189" s="2307"/>
      <c r="AI189" s="2258"/>
      <c r="AJ189" s="2307"/>
      <c r="AK189" s="2307"/>
      <c r="AL189" s="2307"/>
      <c r="AM189" s="2258"/>
      <c r="AN189" s="2307"/>
      <c r="AO189" s="2258"/>
      <c r="AP189" s="2307"/>
      <c r="AQ189" s="2258"/>
      <c r="AR189" s="2307"/>
      <c r="AS189" s="2258"/>
      <c r="AT189" s="2258"/>
      <c r="AU189" s="2258"/>
      <c r="AV189" s="2258"/>
      <c r="AW189" s="2258"/>
      <c r="AX189" s="2258"/>
      <c r="AY189" s="2258"/>
      <c r="AZ189" s="2258"/>
      <c r="BA189" s="2258"/>
      <c r="BB189" s="2258"/>
      <c r="BC189" s="2258"/>
      <c r="BD189" s="2258"/>
      <c r="BE189" s="2258"/>
      <c r="BF189" s="2307"/>
      <c r="BG189" s="2258"/>
      <c r="BH189" s="2258"/>
      <c r="BI189" s="2258"/>
      <c r="BJ189" s="2742"/>
      <c r="BK189" s="4003"/>
      <c r="BL189" s="4003"/>
      <c r="BM189" s="2707"/>
      <c r="BN189" s="2258"/>
      <c r="BO189" s="2258"/>
      <c r="BP189" s="2258"/>
      <c r="BQ189" s="4000"/>
      <c r="BR189" s="4000"/>
      <c r="BS189" s="4000"/>
      <c r="BT189" s="4000"/>
      <c r="BU189" s="2258"/>
    </row>
    <row r="190" spans="1:73" s="2" customFormat="1" ht="114.75" customHeight="1" x14ac:dyDescent="0.25">
      <c r="A190" s="913"/>
      <c r="B190" s="946"/>
      <c r="C190" s="913"/>
      <c r="D190" s="947"/>
      <c r="E190" s="1942"/>
      <c r="F190" s="1942"/>
      <c r="G190" s="2254"/>
      <c r="H190" s="2679"/>
      <c r="I190" s="2254"/>
      <c r="J190" s="2679"/>
      <c r="K190" s="2254"/>
      <c r="L190" s="2679"/>
      <c r="M190" s="2254"/>
      <c r="N190" s="2679"/>
      <c r="O190" s="2254"/>
      <c r="P190" s="2254"/>
      <c r="Q190" s="3385"/>
      <c r="R190" s="2679"/>
      <c r="S190" s="3602"/>
      <c r="T190" s="4005"/>
      <c r="U190" s="2795"/>
      <c r="V190" s="2795"/>
      <c r="W190" s="4001"/>
      <c r="X190" s="2183">
        <v>3080000</v>
      </c>
      <c r="Y190" s="2183"/>
      <c r="Z190" s="2183"/>
      <c r="AA190" s="1852" t="s">
        <v>1501</v>
      </c>
      <c r="AB190" s="870">
        <v>88</v>
      </c>
      <c r="AC190" s="1856" t="s">
        <v>1126</v>
      </c>
      <c r="AD190" s="2307"/>
      <c r="AE190" s="2258"/>
      <c r="AF190" s="2307"/>
      <c r="AG190" s="2258"/>
      <c r="AH190" s="2307"/>
      <c r="AI190" s="2258"/>
      <c r="AJ190" s="2307"/>
      <c r="AK190" s="2307"/>
      <c r="AL190" s="2307"/>
      <c r="AM190" s="2258"/>
      <c r="AN190" s="2307"/>
      <c r="AO190" s="2258"/>
      <c r="AP190" s="2307"/>
      <c r="AQ190" s="2258"/>
      <c r="AR190" s="2307"/>
      <c r="AS190" s="2258"/>
      <c r="AT190" s="2258"/>
      <c r="AU190" s="2258"/>
      <c r="AV190" s="2258"/>
      <c r="AW190" s="2258"/>
      <c r="AX190" s="2258"/>
      <c r="AY190" s="2258"/>
      <c r="AZ190" s="2258"/>
      <c r="BA190" s="2258"/>
      <c r="BB190" s="2258"/>
      <c r="BC190" s="2258"/>
      <c r="BD190" s="2258"/>
      <c r="BE190" s="2258"/>
      <c r="BF190" s="2307"/>
      <c r="BG190" s="2258"/>
      <c r="BH190" s="2258"/>
      <c r="BI190" s="2258"/>
      <c r="BJ190" s="2742"/>
      <c r="BK190" s="4003"/>
      <c r="BL190" s="4003"/>
      <c r="BM190" s="2707"/>
      <c r="BN190" s="2258"/>
      <c r="BO190" s="2258"/>
      <c r="BP190" s="2258"/>
      <c r="BQ190" s="4000"/>
      <c r="BR190" s="4000"/>
      <c r="BS190" s="4000"/>
      <c r="BT190" s="4000"/>
      <c r="BU190" s="2258"/>
    </row>
    <row r="191" spans="1:73" s="2" customFormat="1" ht="114.75" customHeight="1" x14ac:dyDescent="0.25">
      <c r="A191" s="910"/>
      <c r="B191" s="910"/>
      <c r="C191" s="910"/>
      <c r="D191" s="910"/>
      <c r="E191" s="1942"/>
      <c r="F191" s="1942"/>
      <c r="G191" s="2254"/>
      <c r="H191" s="2679"/>
      <c r="I191" s="2254"/>
      <c r="J191" s="2679"/>
      <c r="K191" s="2254"/>
      <c r="L191" s="2679"/>
      <c r="M191" s="2254"/>
      <c r="N191" s="2679"/>
      <c r="O191" s="2254"/>
      <c r="P191" s="2254"/>
      <c r="Q191" s="3385"/>
      <c r="R191" s="2679"/>
      <c r="S191" s="3602"/>
      <c r="T191" s="4005"/>
      <c r="U191" s="2795"/>
      <c r="V191" s="2795"/>
      <c r="W191" s="644" t="s">
        <v>1504</v>
      </c>
      <c r="X191" s="2183">
        <v>20195000</v>
      </c>
      <c r="Y191" s="2183">
        <v>11540000</v>
      </c>
      <c r="Z191" s="2183"/>
      <c r="AA191" s="1852" t="s">
        <v>1501</v>
      </c>
      <c r="AB191" s="870">
        <v>88</v>
      </c>
      <c r="AC191" s="1856" t="s">
        <v>1126</v>
      </c>
      <c r="AD191" s="2307"/>
      <c r="AE191" s="2258"/>
      <c r="AF191" s="2307"/>
      <c r="AG191" s="2258"/>
      <c r="AH191" s="2307"/>
      <c r="AI191" s="2258"/>
      <c r="AJ191" s="2307"/>
      <c r="AK191" s="2307"/>
      <c r="AL191" s="2307"/>
      <c r="AM191" s="2258"/>
      <c r="AN191" s="2307"/>
      <c r="AO191" s="2258"/>
      <c r="AP191" s="2307"/>
      <c r="AQ191" s="2258"/>
      <c r="AR191" s="2307"/>
      <c r="AS191" s="2258"/>
      <c r="AT191" s="2258"/>
      <c r="AU191" s="2258"/>
      <c r="AV191" s="2258"/>
      <c r="AW191" s="2258"/>
      <c r="AX191" s="2258"/>
      <c r="AY191" s="2258"/>
      <c r="AZ191" s="2258"/>
      <c r="BA191" s="2258"/>
      <c r="BB191" s="2258"/>
      <c r="BC191" s="2258"/>
      <c r="BD191" s="2258"/>
      <c r="BE191" s="2258"/>
      <c r="BF191" s="2307"/>
      <c r="BG191" s="2258"/>
      <c r="BH191" s="2258"/>
      <c r="BI191" s="2258"/>
      <c r="BJ191" s="2742"/>
      <c r="BK191" s="4003"/>
      <c r="BL191" s="4003"/>
      <c r="BM191" s="2707"/>
      <c r="BN191" s="2258"/>
      <c r="BO191" s="2258"/>
      <c r="BP191" s="2258"/>
      <c r="BQ191" s="4000"/>
      <c r="BR191" s="4000"/>
      <c r="BS191" s="4000"/>
      <c r="BT191" s="4000"/>
      <c r="BU191" s="2258"/>
    </row>
    <row r="192" spans="1:73" s="2" customFormat="1" ht="114.75" customHeight="1" x14ac:dyDescent="0.25">
      <c r="A192" s="910"/>
      <c r="B192" s="910"/>
      <c r="C192" s="910"/>
      <c r="D192" s="910"/>
      <c r="E192" s="1942"/>
      <c r="F192" s="1942"/>
      <c r="G192" s="2254"/>
      <c r="H192" s="2679"/>
      <c r="I192" s="2254"/>
      <c r="J192" s="2679"/>
      <c r="K192" s="2254"/>
      <c r="L192" s="2679"/>
      <c r="M192" s="2254"/>
      <c r="N192" s="2679"/>
      <c r="O192" s="2254"/>
      <c r="P192" s="2254"/>
      <c r="Q192" s="3385"/>
      <c r="R192" s="2679"/>
      <c r="S192" s="3602"/>
      <c r="T192" s="4005"/>
      <c r="U192" s="2795"/>
      <c r="V192" s="2795"/>
      <c r="W192" s="1947" t="s">
        <v>1505</v>
      </c>
      <c r="X192" s="2183">
        <v>39507135</v>
      </c>
      <c r="Y192" s="2183"/>
      <c r="Z192" s="2183"/>
      <c r="AA192" s="1852" t="s">
        <v>1501</v>
      </c>
      <c r="AB192" s="870">
        <v>88</v>
      </c>
      <c r="AC192" s="1856" t="s">
        <v>1126</v>
      </c>
      <c r="AD192" s="2307"/>
      <c r="AE192" s="2258"/>
      <c r="AF192" s="2307"/>
      <c r="AG192" s="2258"/>
      <c r="AH192" s="2307"/>
      <c r="AI192" s="2258"/>
      <c r="AJ192" s="2307"/>
      <c r="AK192" s="2307"/>
      <c r="AL192" s="2307"/>
      <c r="AM192" s="2258"/>
      <c r="AN192" s="2307"/>
      <c r="AO192" s="2258"/>
      <c r="AP192" s="2307"/>
      <c r="AQ192" s="2258"/>
      <c r="AR192" s="2307"/>
      <c r="AS192" s="2258"/>
      <c r="AT192" s="2258"/>
      <c r="AU192" s="2258"/>
      <c r="AV192" s="2258"/>
      <c r="AW192" s="2258"/>
      <c r="AX192" s="2258"/>
      <c r="AY192" s="2258"/>
      <c r="AZ192" s="2258"/>
      <c r="BA192" s="2258"/>
      <c r="BB192" s="2258"/>
      <c r="BC192" s="2258"/>
      <c r="BD192" s="2258"/>
      <c r="BE192" s="2258"/>
      <c r="BF192" s="2307"/>
      <c r="BG192" s="2258"/>
      <c r="BH192" s="2258"/>
      <c r="BI192" s="2258"/>
      <c r="BJ192" s="2743"/>
      <c r="BK192" s="4004"/>
      <c r="BL192" s="4004"/>
      <c r="BM192" s="2708"/>
      <c r="BN192" s="2258"/>
      <c r="BO192" s="2258"/>
      <c r="BP192" s="2258"/>
      <c r="BQ192" s="4000"/>
      <c r="BR192" s="4000"/>
      <c r="BS192" s="4000"/>
      <c r="BT192" s="4000"/>
      <c r="BU192" s="2258"/>
    </row>
    <row r="193" spans="1:73" s="2" customFormat="1" ht="27" customHeight="1" x14ac:dyDescent="0.25">
      <c r="A193" s="948"/>
      <c r="B193" s="949"/>
      <c r="C193" s="949"/>
      <c r="D193" s="949"/>
      <c r="E193" s="950"/>
      <c r="F193" s="950"/>
      <c r="G193" s="949"/>
      <c r="H193" s="949"/>
      <c r="I193" s="949"/>
      <c r="J193" s="949"/>
      <c r="K193" s="949"/>
      <c r="L193" s="949"/>
      <c r="M193" s="949"/>
      <c r="N193" s="949"/>
      <c r="O193" s="949"/>
      <c r="P193" s="949"/>
      <c r="Q193" s="949"/>
      <c r="R193" s="949"/>
      <c r="S193" s="951"/>
      <c r="T193" s="952">
        <f>SUM(T10:T190)</f>
        <v>6018861113.0099993</v>
      </c>
      <c r="U193" s="949"/>
      <c r="V193" s="949"/>
      <c r="W193" s="106" t="s">
        <v>127</v>
      </c>
      <c r="X193" s="2201">
        <f>SUM(X13:X192)</f>
        <v>6018861113.0099983</v>
      </c>
      <c r="Y193" s="2201">
        <f>SUM(Y13:Y192)</f>
        <v>1554625444.2399998</v>
      </c>
      <c r="Z193" s="2201">
        <f>SUM(Z13:Z192)</f>
        <v>1327165817.2399998</v>
      </c>
      <c r="AA193" s="106"/>
      <c r="AB193" s="953"/>
      <c r="AC193" s="949"/>
      <c r="AD193" s="949"/>
      <c r="AE193" s="949"/>
      <c r="AF193" s="949"/>
      <c r="AG193" s="949"/>
      <c r="AH193" s="949"/>
      <c r="AI193" s="949"/>
      <c r="AJ193" s="949"/>
      <c r="AK193" s="949"/>
      <c r="AL193" s="949"/>
      <c r="AM193" s="949"/>
      <c r="AN193" s="949"/>
      <c r="AO193" s="949"/>
      <c r="AP193" s="949"/>
      <c r="AQ193" s="949"/>
      <c r="AR193" s="949"/>
      <c r="AS193" s="949"/>
      <c r="AT193" s="949"/>
      <c r="AU193" s="949"/>
      <c r="AV193" s="949"/>
      <c r="AW193" s="949"/>
      <c r="AX193" s="949"/>
      <c r="AY193" s="949"/>
      <c r="AZ193" s="949"/>
      <c r="BA193" s="949"/>
      <c r="BB193" s="949"/>
      <c r="BC193" s="949"/>
      <c r="BD193" s="949"/>
      <c r="BE193" s="949"/>
      <c r="BF193" s="949"/>
      <c r="BG193" s="949"/>
      <c r="BH193" s="949"/>
      <c r="BI193" s="949"/>
      <c r="BJ193" s="954">
        <f t="shared" ref="BJ193:BL193" si="0">SUM(BJ10:BJ190)</f>
        <v>51</v>
      </c>
      <c r="BK193" s="952">
        <f>SUM(BK13:BK192)</f>
        <v>1554625444.2399998</v>
      </c>
      <c r="BL193" s="952">
        <f t="shared" si="0"/>
        <v>1327165817.2399998</v>
      </c>
      <c r="BM193" s="955">
        <f>BL193/BK193</f>
        <v>0.85368847020820715</v>
      </c>
      <c r="BN193" s="949"/>
      <c r="BO193" s="949"/>
      <c r="BP193" s="949"/>
      <c r="BQ193" s="956"/>
      <c r="BR193" s="956"/>
      <c r="BS193" s="956"/>
      <c r="BT193" s="956"/>
      <c r="BU193" s="957"/>
    </row>
    <row r="194" spans="1:73" ht="27" customHeight="1" x14ac:dyDescent="0.25">
      <c r="W194" s="1851"/>
      <c r="X194" s="770"/>
      <c r="Y194" s="958"/>
      <c r="Z194" s="958"/>
      <c r="AA194" s="770"/>
    </row>
    <row r="195" spans="1:73" ht="27" customHeight="1" x14ac:dyDescent="0.25">
      <c r="A195" s="3"/>
      <c r="H195" s="3"/>
      <c r="I195" s="3"/>
      <c r="J195" s="3"/>
      <c r="K195" s="3"/>
      <c r="L195" s="3"/>
      <c r="M195" s="3"/>
      <c r="N195" s="3"/>
      <c r="O195" s="3"/>
      <c r="P195" s="3"/>
      <c r="Q195" s="3"/>
      <c r="R195" s="3"/>
      <c r="S195" s="3"/>
      <c r="T195" s="3"/>
      <c r="U195" s="3"/>
      <c r="V195" s="3"/>
      <c r="W195" s="1851"/>
      <c r="X195" s="770"/>
      <c r="Y195" s="959"/>
      <c r="Z195" s="959"/>
      <c r="AA195" s="770"/>
      <c r="AB195" s="3"/>
      <c r="AC195" s="3"/>
      <c r="BQ195" s="3"/>
      <c r="BR195" s="3"/>
      <c r="BS195" s="3"/>
      <c r="BT195" s="3"/>
    </row>
    <row r="196" spans="1:73" ht="27" customHeight="1" x14ac:dyDescent="0.25">
      <c r="X196" s="960"/>
    </row>
    <row r="197" spans="1:73" ht="27" customHeight="1" x14ac:dyDescent="0.25">
      <c r="A197" s="3"/>
      <c r="H197" s="3"/>
      <c r="I197" s="3"/>
      <c r="J197" s="3"/>
      <c r="K197" s="3"/>
      <c r="L197" s="3"/>
      <c r="M197" s="3"/>
      <c r="N197" s="3"/>
      <c r="O197" s="3"/>
      <c r="P197" s="3"/>
      <c r="Q197" s="3"/>
      <c r="R197" s="3"/>
      <c r="S197" s="3"/>
      <c r="T197" s="3"/>
      <c r="U197" s="3"/>
      <c r="V197" s="3"/>
      <c r="W197" s="961"/>
      <c r="AB197" s="3"/>
      <c r="AC197" s="3"/>
      <c r="BQ197" s="3"/>
      <c r="BR197" s="3"/>
      <c r="BS197" s="3"/>
      <c r="BT197" s="3"/>
    </row>
    <row r="199" spans="1:73" ht="27" customHeight="1" x14ac:dyDescent="0.25">
      <c r="A199" s="3"/>
      <c r="H199" s="3"/>
      <c r="I199" s="3"/>
      <c r="J199" s="3"/>
      <c r="K199" s="3"/>
      <c r="L199" s="3"/>
      <c r="M199" s="3"/>
      <c r="N199" s="3"/>
      <c r="O199" s="3"/>
      <c r="P199" s="3"/>
      <c r="Q199" s="3"/>
      <c r="R199" s="3"/>
      <c r="S199" s="3"/>
      <c r="T199" s="3"/>
      <c r="U199" s="3"/>
      <c r="V199" s="3"/>
      <c r="W199" s="961"/>
      <c r="AB199" s="3"/>
      <c r="AC199" s="3"/>
      <c r="BQ199" s="3"/>
      <c r="BR199" s="3"/>
      <c r="BS199" s="3"/>
      <c r="BT199" s="3"/>
    </row>
    <row r="200" spans="1:73" ht="27" customHeight="1" x14ac:dyDescent="0.25">
      <c r="A200" s="3"/>
      <c r="H200" s="3"/>
      <c r="I200" s="3"/>
      <c r="J200" s="3"/>
      <c r="K200" s="3"/>
      <c r="L200" s="3"/>
      <c r="M200" s="3"/>
      <c r="N200" s="3"/>
      <c r="O200" s="3"/>
      <c r="P200" s="3"/>
      <c r="Q200" s="3"/>
      <c r="R200" s="3"/>
      <c r="S200" s="3"/>
      <c r="T200" s="3"/>
      <c r="U200" s="3"/>
      <c r="V200" s="3"/>
      <c r="W200" s="961"/>
      <c r="AB200" s="3"/>
      <c r="AC200" s="3"/>
      <c r="BQ200" s="3"/>
      <c r="BR200" s="3"/>
      <c r="BS200" s="3"/>
      <c r="BT200" s="3"/>
    </row>
  </sheetData>
  <sheetProtection algorithmName="SHA-512" hashValue="PFUehYvx5AizDuHsyFFsAO/c4zy051jZxPk8sWq3gtXGXAoIZ7ZomVElqqScZWyfJS1zW0npMlyRubi4UW+Rxw==" saltValue="n/PCB6gnd0KpTGr554MxhA==" spinCount="100000" sheet="1" objects="1" scenarios="1"/>
  <mergeCells count="1554">
    <mergeCell ref="A1:BS4"/>
    <mergeCell ref="A5:P6"/>
    <mergeCell ref="Q5:BU5"/>
    <mergeCell ref="AD6:BF6"/>
    <mergeCell ref="A7:B7"/>
    <mergeCell ref="C7:D7"/>
    <mergeCell ref="E7:F7"/>
    <mergeCell ref="G7:J7"/>
    <mergeCell ref="K7:N7"/>
    <mergeCell ref="O7:Z7"/>
    <mergeCell ref="G8:G9"/>
    <mergeCell ref="H8:H9"/>
    <mergeCell ref="I8:I9"/>
    <mergeCell ref="J8:J9"/>
    <mergeCell ref="K8:K9"/>
    <mergeCell ref="L8:L9"/>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B7:BG7"/>
    <mergeCell ref="BH7:BI8"/>
    <mergeCell ref="B10:G10"/>
    <mergeCell ref="D11:I11"/>
    <mergeCell ref="A12:B144"/>
    <mergeCell ref="F12:L12"/>
    <mergeCell ref="E13:F15"/>
    <mergeCell ref="G13:G15"/>
    <mergeCell ref="H13:H15"/>
    <mergeCell ref="I13:I15"/>
    <mergeCell ref="J13:J15"/>
    <mergeCell ref="BF8:BG8"/>
    <mergeCell ref="BJ8:BJ9"/>
    <mergeCell ref="BK8:BK9"/>
    <mergeCell ref="BL8:BL9"/>
    <mergeCell ref="AD13:AD20"/>
    <mergeCell ref="AE13:AE20"/>
    <mergeCell ref="AF13:AF20"/>
    <mergeCell ref="AG13:AG20"/>
    <mergeCell ref="Q13:Q20"/>
    <mergeCell ref="R13:R20"/>
    <mergeCell ref="S13:S15"/>
    <mergeCell ref="T13:T20"/>
    <mergeCell ref="U13:U20"/>
    <mergeCell ref="V13:V20"/>
    <mergeCell ref="K13:K15"/>
    <mergeCell ref="L13:L15"/>
    <mergeCell ref="M13:M15"/>
    <mergeCell ref="N13:N15"/>
    <mergeCell ref="O13:O15"/>
    <mergeCell ref="BM8:BM9"/>
    <mergeCell ref="BN8:BO8"/>
    <mergeCell ref="AT8:AU8"/>
    <mergeCell ref="AV8:AW8"/>
    <mergeCell ref="AX8:AY8"/>
    <mergeCell ref="AZ8:BA8"/>
    <mergeCell ref="BB8:BC8"/>
    <mergeCell ref="BD8:BE8"/>
    <mergeCell ref="AH8:AI8"/>
    <mergeCell ref="AJ8:AK8"/>
    <mergeCell ref="AL8:AM8"/>
    <mergeCell ref="AN8:AO8"/>
    <mergeCell ref="AP8:AQ8"/>
    <mergeCell ref="AR8:AS8"/>
    <mergeCell ref="T8:T9"/>
    <mergeCell ref="U8:U9"/>
    <mergeCell ref="V8:V9"/>
    <mergeCell ref="W8:W9"/>
    <mergeCell ref="X8:Z8"/>
    <mergeCell ref="AB8:AB9"/>
    <mergeCell ref="AC8:AC9"/>
    <mergeCell ref="AD8:AE8"/>
    <mergeCell ref="AF8:AG8"/>
    <mergeCell ref="P13:P15"/>
    <mergeCell ref="BP8:BP9"/>
    <mergeCell ref="AA8:AA9"/>
    <mergeCell ref="M8:M9"/>
    <mergeCell ref="N8:N9"/>
    <mergeCell ref="O8:P8"/>
    <mergeCell ref="Q8:Q9"/>
    <mergeCell ref="R8:R9"/>
    <mergeCell ref="S8:S9"/>
    <mergeCell ref="BS13:BS20"/>
    <mergeCell ref="BT13:BT20"/>
    <mergeCell ref="BU13:BU20"/>
    <mergeCell ref="G16:G20"/>
    <mergeCell ref="H16:H20"/>
    <mergeCell ref="I16:I20"/>
    <mergeCell ref="J16:J20"/>
    <mergeCell ref="K16:K20"/>
    <mergeCell ref="L16:L20"/>
    <mergeCell ref="BL13:BL20"/>
    <mergeCell ref="BM13:BM20"/>
    <mergeCell ref="BN13:BN20"/>
    <mergeCell ref="BO13:BO20"/>
    <mergeCell ref="BP13:BP20"/>
    <mergeCell ref="BQ13:BQ20"/>
    <mergeCell ref="BF13:BF20"/>
    <mergeCell ref="BG13:BG20"/>
    <mergeCell ref="BH13:BH20"/>
    <mergeCell ref="BI13:BI20"/>
    <mergeCell ref="BJ13:BJ20"/>
    <mergeCell ref="BK13:BK20"/>
    <mergeCell ref="AZ13:AZ20"/>
    <mergeCell ref="BA13:BA20"/>
    <mergeCell ref="D24:J24"/>
    <mergeCell ref="E26:F67"/>
    <mergeCell ref="G26:G27"/>
    <mergeCell ref="H26:H27"/>
    <mergeCell ref="I26:I27"/>
    <mergeCell ref="J26:J27"/>
    <mergeCell ref="G32:G37"/>
    <mergeCell ref="H32:H37"/>
    <mergeCell ref="I32:I37"/>
    <mergeCell ref="J32:J37"/>
    <mergeCell ref="M16:M20"/>
    <mergeCell ref="N16:N20"/>
    <mergeCell ref="O16:O20"/>
    <mergeCell ref="P16:P20"/>
    <mergeCell ref="S16:S20"/>
    <mergeCell ref="F22:L22"/>
    <mergeCell ref="R26:R31"/>
    <mergeCell ref="S28:S31"/>
    <mergeCell ref="BR13:BR20"/>
    <mergeCell ref="AY13:AY20"/>
    <mergeCell ref="AN13:AN20"/>
    <mergeCell ref="AO13:AO20"/>
    <mergeCell ref="AP13:AP20"/>
    <mergeCell ref="AQ13:AQ20"/>
    <mergeCell ref="AR13:AR20"/>
    <mergeCell ref="AS13:AS20"/>
    <mergeCell ref="AH13:AH20"/>
    <mergeCell ref="AI13:AI20"/>
    <mergeCell ref="AJ13:AJ20"/>
    <mergeCell ref="AK13:AK20"/>
    <mergeCell ref="AL13:AL20"/>
    <mergeCell ref="AM13:AM20"/>
    <mergeCell ref="AB13:AB20"/>
    <mergeCell ref="AC13:AC20"/>
    <mergeCell ref="AE26:AE31"/>
    <mergeCell ref="AF26:AF31"/>
    <mergeCell ref="AG26:AG31"/>
    <mergeCell ref="AH26:AH31"/>
    <mergeCell ref="AI26:AI31"/>
    <mergeCell ref="AJ26:AJ31"/>
    <mergeCell ref="AD26:AD31"/>
    <mergeCell ref="BB13:BB20"/>
    <mergeCell ref="BC13:BC20"/>
    <mergeCell ref="BD13:BD20"/>
    <mergeCell ref="BE13:BE20"/>
    <mergeCell ref="AT13:AT20"/>
    <mergeCell ref="AU13:AU20"/>
    <mergeCell ref="AV13:AV20"/>
    <mergeCell ref="AW13:AW20"/>
    <mergeCell ref="AX13:AX20"/>
    <mergeCell ref="L26:L27"/>
    <mergeCell ref="M26:M27"/>
    <mergeCell ref="N26:N27"/>
    <mergeCell ref="O26:O27"/>
    <mergeCell ref="P26:P27"/>
    <mergeCell ref="Q26:Q31"/>
    <mergeCell ref="P28:P31"/>
    <mergeCell ref="BG26:BG31"/>
    <mergeCell ref="BH26:BH31"/>
    <mergeCell ref="AW26:AW31"/>
    <mergeCell ref="AX26:AX31"/>
    <mergeCell ref="AY26:AY31"/>
    <mergeCell ref="AZ26:AZ31"/>
    <mergeCell ref="BA26:BA31"/>
    <mergeCell ref="BB26:BB31"/>
    <mergeCell ref="AQ26:AQ31"/>
    <mergeCell ref="AR26:AR31"/>
    <mergeCell ref="AS26:AS31"/>
    <mergeCell ref="AT26:AT31"/>
    <mergeCell ref="AU26:AU31"/>
    <mergeCell ref="AV26:AV31"/>
    <mergeCell ref="AK26:AK31"/>
    <mergeCell ref="AL26:AL31"/>
    <mergeCell ref="AM26:AM31"/>
    <mergeCell ref="AN26:AN31"/>
    <mergeCell ref="AO26:AO31"/>
    <mergeCell ref="AP26:AP31"/>
    <mergeCell ref="T26:T31"/>
    <mergeCell ref="U26:U31"/>
    <mergeCell ref="V26:V31"/>
    <mergeCell ref="W26:W27"/>
    <mergeCell ref="W29:W30"/>
    <mergeCell ref="K32:K37"/>
    <mergeCell ref="L32:L37"/>
    <mergeCell ref="M32:M37"/>
    <mergeCell ref="N32:N37"/>
    <mergeCell ref="O32:O37"/>
    <mergeCell ref="P32:P37"/>
    <mergeCell ref="BU26:BU31"/>
    <mergeCell ref="G28:G31"/>
    <mergeCell ref="H28:H31"/>
    <mergeCell ref="I28:I31"/>
    <mergeCell ref="J28:J31"/>
    <mergeCell ref="K28:K31"/>
    <mergeCell ref="L28:L31"/>
    <mergeCell ref="M28:M31"/>
    <mergeCell ref="N28:N31"/>
    <mergeCell ref="O28:O31"/>
    <mergeCell ref="BO26:BO31"/>
    <mergeCell ref="BP26:BP31"/>
    <mergeCell ref="BQ26:BQ31"/>
    <mergeCell ref="BR26:BR31"/>
    <mergeCell ref="BS26:BS31"/>
    <mergeCell ref="BT26:BT31"/>
    <mergeCell ref="BI26:BI31"/>
    <mergeCell ref="BJ26:BJ31"/>
    <mergeCell ref="BK26:BK31"/>
    <mergeCell ref="BL26:BL31"/>
    <mergeCell ref="BM26:BM31"/>
    <mergeCell ref="BN26:BN31"/>
    <mergeCell ref="BC26:BC31"/>
    <mergeCell ref="BD26:BD31"/>
    <mergeCell ref="BE26:BE31"/>
    <mergeCell ref="BF26:BF31"/>
    <mergeCell ref="AH32:AH37"/>
    <mergeCell ref="AI32:AI37"/>
    <mergeCell ref="AJ32:AJ37"/>
    <mergeCell ref="AK32:AK37"/>
    <mergeCell ref="AL32:AL37"/>
    <mergeCell ref="AM32:AM37"/>
    <mergeCell ref="AB32:AB37"/>
    <mergeCell ref="AC32:AC37"/>
    <mergeCell ref="AD32:AD37"/>
    <mergeCell ref="AE32:AE37"/>
    <mergeCell ref="AF32:AF37"/>
    <mergeCell ref="AG32:AG37"/>
    <mergeCell ref="Q32:Q37"/>
    <mergeCell ref="R32:R37"/>
    <mergeCell ref="S32:S37"/>
    <mergeCell ref="T32:T37"/>
    <mergeCell ref="U32:U37"/>
    <mergeCell ref="V32:V37"/>
    <mergeCell ref="BJ32:BJ37"/>
    <mergeCell ref="BK32:BK37"/>
    <mergeCell ref="AZ32:AZ37"/>
    <mergeCell ref="BA32:BA37"/>
    <mergeCell ref="BB32:BB37"/>
    <mergeCell ref="BC32:BC37"/>
    <mergeCell ref="BD32:BD37"/>
    <mergeCell ref="BE32:BE37"/>
    <mergeCell ref="AT32:AT37"/>
    <mergeCell ref="AU32:AU37"/>
    <mergeCell ref="AV32:AV37"/>
    <mergeCell ref="AW32:AW37"/>
    <mergeCell ref="AX32:AX37"/>
    <mergeCell ref="AY32:AY37"/>
    <mergeCell ref="AN32:AN37"/>
    <mergeCell ref="AO32:AO37"/>
    <mergeCell ref="AP32:AP37"/>
    <mergeCell ref="AQ32:AQ37"/>
    <mergeCell ref="AR32:AR37"/>
    <mergeCell ref="AS32:AS37"/>
    <mergeCell ref="AK38:AK46"/>
    <mergeCell ref="AL38:AL46"/>
    <mergeCell ref="AM38:AM46"/>
    <mergeCell ref="AN38:AN46"/>
    <mergeCell ref="AO38:AO46"/>
    <mergeCell ref="AP38:AP46"/>
    <mergeCell ref="AE38:AE46"/>
    <mergeCell ref="AF38:AF46"/>
    <mergeCell ref="AG38:AG46"/>
    <mergeCell ref="AH38:AH46"/>
    <mergeCell ref="AI38:AI46"/>
    <mergeCell ref="AJ38:AJ46"/>
    <mergeCell ref="BR32:BR37"/>
    <mergeCell ref="BS32:BS37"/>
    <mergeCell ref="BT32:BT37"/>
    <mergeCell ref="BU32:BU37"/>
    <mergeCell ref="Q38:Q46"/>
    <mergeCell ref="R38:R46"/>
    <mergeCell ref="T38:T46"/>
    <mergeCell ref="U38:U46"/>
    <mergeCell ref="V38:V46"/>
    <mergeCell ref="AD38:AD46"/>
    <mergeCell ref="BL32:BL37"/>
    <mergeCell ref="BM32:BM37"/>
    <mergeCell ref="BN32:BN37"/>
    <mergeCell ref="BO32:BO37"/>
    <mergeCell ref="BP32:BP37"/>
    <mergeCell ref="BQ32:BQ37"/>
    <mergeCell ref="BF32:BF37"/>
    <mergeCell ref="BG32:BG37"/>
    <mergeCell ref="BH32:BH37"/>
    <mergeCell ref="BI32:BI37"/>
    <mergeCell ref="BC38:BC46"/>
    <mergeCell ref="BD38:BD46"/>
    <mergeCell ref="BE38:BE46"/>
    <mergeCell ref="BF38:BF46"/>
    <mergeCell ref="BG38:BG46"/>
    <mergeCell ref="BH38:BH46"/>
    <mergeCell ref="AW38:AW46"/>
    <mergeCell ref="AX38:AX46"/>
    <mergeCell ref="AY38:AY46"/>
    <mergeCell ref="AZ38:AZ46"/>
    <mergeCell ref="BA38:BA46"/>
    <mergeCell ref="BB38:BB46"/>
    <mergeCell ref="AQ38:AQ46"/>
    <mergeCell ref="AR38:AR46"/>
    <mergeCell ref="AS38:AS46"/>
    <mergeCell ref="AT38:AT46"/>
    <mergeCell ref="AU38:AU46"/>
    <mergeCell ref="AV38:AV46"/>
    <mergeCell ref="P39:P46"/>
    <mergeCell ref="S39:S46"/>
    <mergeCell ref="W41:W42"/>
    <mergeCell ref="G47:G54"/>
    <mergeCell ref="H47:H54"/>
    <mergeCell ref="I47:I54"/>
    <mergeCell ref="J47:J54"/>
    <mergeCell ref="K47:K54"/>
    <mergeCell ref="L47:L54"/>
    <mergeCell ref="M47:M54"/>
    <mergeCell ref="BU38:BU46"/>
    <mergeCell ref="G39:G46"/>
    <mergeCell ref="H39:H46"/>
    <mergeCell ref="I39:I46"/>
    <mergeCell ref="J39:J46"/>
    <mergeCell ref="K39:K46"/>
    <mergeCell ref="L39:L46"/>
    <mergeCell ref="M39:M46"/>
    <mergeCell ref="N39:N46"/>
    <mergeCell ref="O39:O46"/>
    <mergeCell ref="BO38:BO46"/>
    <mergeCell ref="BP38:BP46"/>
    <mergeCell ref="BQ38:BQ46"/>
    <mergeCell ref="BR38:BR46"/>
    <mergeCell ref="BS38:BS46"/>
    <mergeCell ref="BT38:BT46"/>
    <mergeCell ref="BI38:BI46"/>
    <mergeCell ref="BJ38:BJ46"/>
    <mergeCell ref="BK38:BK46"/>
    <mergeCell ref="BL38:BL46"/>
    <mergeCell ref="BM38:BM46"/>
    <mergeCell ref="BN38:BN46"/>
    <mergeCell ref="AE47:AE54"/>
    <mergeCell ref="AF47:AF54"/>
    <mergeCell ref="AG47:AG54"/>
    <mergeCell ref="AH47:AH54"/>
    <mergeCell ref="AI47:AI54"/>
    <mergeCell ref="AJ47:AJ54"/>
    <mergeCell ref="T47:T54"/>
    <mergeCell ref="U47:U54"/>
    <mergeCell ref="V47:V54"/>
    <mergeCell ref="AB47:AB54"/>
    <mergeCell ref="AC47:AC54"/>
    <mergeCell ref="AD47:AD54"/>
    <mergeCell ref="N47:N54"/>
    <mergeCell ref="O47:O54"/>
    <mergeCell ref="P47:P54"/>
    <mergeCell ref="Q47:Q54"/>
    <mergeCell ref="R47:R54"/>
    <mergeCell ref="S47:S54"/>
    <mergeCell ref="BG47:BG54"/>
    <mergeCell ref="BH47:BH54"/>
    <mergeCell ref="AW47:AW54"/>
    <mergeCell ref="AX47:AX54"/>
    <mergeCell ref="AY47:AY54"/>
    <mergeCell ref="AZ47:AZ54"/>
    <mergeCell ref="BA47:BA54"/>
    <mergeCell ref="BB47:BB54"/>
    <mergeCell ref="AQ47:AQ54"/>
    <mergeCell ref="AR47:AR54"/>
    <mergeCell ref="AS47:AS54"/>
    <mergeCell ref="AT47:AT54"/>
    <mergeCell ref="AU47:AU54"/>
    <mergeCell ref="AV47:AV54"/>
    <mergeCell ref="AK47:AK54"/>
    <mergeCell ref="AL47:AL54"/>
    <mergeCell ref="AM47:AM54"/>
    <mergeCell ref="AN47:AN54"/>
    <mergeCell ref="AO47:AO54"/>
    <mergeCell ref="AP47:AP54"/>
    <mergeCell ref="P55:P57"/>
    <mergeCell ref="Q55:Q57"/>
    <mergeCell ref="R55:R57"/>
    <mergeCell ref="S55:S57"/>
    <mergeCell ref="T55:T57"/>
    <mergeCell ref="U55:U57"/>
    <mergeCell ref="BU47:BU54"/>
    <mergeCell ref="G55:G57"/>
    <mergeCell ref="H55:H57"/>
    <mergeCell ref="I55:I57"/>
    <mergeCell ref="J55:J57"/>
    <mergeCell ref="K55:K57"/>
    <mergeCell ref="L55:L57"/>
    <mergeCell ref="M55:M57"/>
    <mergeCell ref="N55:N57"/>
    <mergeCell ref="O55:O57"/>
    <mergeCell ref="BO47:BO54"/>
    <mergeCell ref="BP47:BP54"/>
    <mergeCell ref="BQ47:BQ54"/>
    <mergeCell ref="BR47:BR54"/>
    <mergeCell ref="BS47:BS54"/>
    <mergeCell ref="BT47:BT54"/>
    <mergeCell ref="BI47:BI54"/>
    <mergeCell ref="BJ47:BJ54"/>
    <mergeCell ref="BK47:BK54"/>
    <mergeCell ref="BL47:BL54"/>
    <mergeCell ref="BM47:BM54"/>
    <mergeCell ref="BN47:BN54"/>
    <mergeCell ref="BC47:BC54"/>
    <mergeCell ref="BD47:BD54"/>
    <mergeCell ref="BE47:BE54"/>
    <mergeCell ref="BF47:BF54"/>
    <mergeCell ref="G58:G61"/>
    <mergeCell ref="H58:H61"/>
    <mergeCell ref="I58:I61"/>
    <mergeCell ref="J58:J61"/>
    <mergeCell ref="K58:K61"/>
    <mergeCell ref="BK55:BK57"/>
    <mergeCell ref="BL55:BL57"/>
    <mergeCell ref="BM55:BM57"/>
    <mergeCell ref="BN55:BN57"/>
    <mergeCell ref="BO55:BO57"/>
    <mergeCell ref="BP55:BP57"/>
    <mergeCell ref="BE55:BE57"/>
    <mergeCell ref="BF55:BF57"/>
    <mergeCell ref="BG55:BG57"/>
    <mergeCell ref="BH55:BH57"/>
    <mergeCell ref="BI55:BI57"/>
    <mergeCell ref="BJ55:BJ57"/>
    <mergeCell ref="AY55:AY57"/>
    <mergeCell ref="AZ55:AZ57"/>
    <mergeCell ref="BA55:BA57"/>
    <mergeCell ref="BB55:BB57"/>
    <mergeCell ref="BC55:BC57"/>
    <mergeCell ref="BD55:BD57"/>
    <mergeCell ref="AS55:AS57"/>
    <mergeCell ref="AT55:AT57"/>
    <mergeCell ref="AU55:AU57"/>
    <mergeCell ref="AV55:AV57"/>
    <mergeCell ref="AW55:AW57"/>
    <mergeCell ref="AX55:AX57"/>
    <mergeCell ref="AM55:AM57"/>
    <mergeCell ref="AN55:AN57"/>
    <mergeCell ref="AO55:AO57"/>
    <mergeCell ref="R58:R62"/>
    <mergeCell ref="S58:S61"/>
    <mergeCell ref="T58:T62"/>
    <mergeCell ref="U58:U62"/>
    <mergeCell ref="V58:V62"/>
    <mergeCell ref="AD58:AD62"/>
    <mergeCell ref="L58:L61"/>
    <mergeCell ref="M58:M61"/>
    <mergeCell ref="N58:N61"/>
    <mergeCell ref="O58:O61"/>
    <mergeCell ref="P58:P61"/>
    <mergeCell ref="Q58:Q62"/>
    <mergeCell ref="BQ55:BQ57"/>
    <mergeCell ref="BR55:BR57"/>
    <mergeCell ref="BS55:BS57"/>
    <mergeCell ref="BT55:BT57"/>
    <mergeCell ref="BU55:BU57"/>
    <mergeCell ref="AP55:AP57"/>
    <mergeCell ref="AQ55:AQ57"/>
    <mergeCell ref="AR55:AR57"/>
    <mergeCell ref="AG55:AG57"/>
    <mergeCell ref="AH55:AH57"/>
    <mergeCell ref="AI55:AI57"/>
    <mergeCell ref="AJ55:AJ57"/>
    <mergeCell ref="AK55:AK57"/>
    <mergeCell ref="AL55:AL57"/>
    <mergeCell ref="V55:V57"/>
    <mergeCell ref="AB55:AB57"/>
    <mergeCell ref="AC55:AC57"/>
    <mergeCell ref="AD55:AD57"/>
    <mergeCell ref="AE55:AE57"/>
    <mergeCell ref="AF55:AF57"/>
    <mergeCell ref="BA58:BA62"/>
    <mergeCell ref="BB58:BB62"/>
    <mergeCell ref="AQ58:AQ62"/>
    <mergeCell ref="AR58:AR62"/>
    <mergeCell ref="AS58:AS62"/>
    <mergeCell ref="AT58:AT62"/>
    <mergeCell ref="AU58:AU62"/>
    <mergeCell ref="AV58:AV62"/>
    <mergeCell ref="AK58:AK62"/>
    <mergeCell ref="AL58:AL62"/>
    <mergeCell ref="AM58:AM62"/>
    <mergeCell ref="AN58:AN62"/>
    <mergeCell ref="AO58:AO62"/>
    <mergeCell ref="AP58:AP62"/>
    <mergeCell ref="AE58:AE62"/>
    <mergeCell ref="AF58:AF62"/>
    <mergeCell ref="AG58:AG62"/>
    <mergeCell ref="AH58:AH62"/>
    <mergeCell ref="AI58:AI62"/>
    <mergeCell ref="AJ58:AJ62"/>
    <mergeCell ref="BU58:BU62"/>
    <mergeCell ref="W60:W61"/>
    <mergeCell ref="G63:G67"/>
    <mergeCell ref="H63:H67"/>
    <mergeCell ref="I63:I67"/>
    <mergeCell ref="J63:J67"/>
    <mergeCell ref="K63:K67"/>
    <mergeCell ref="L63:L67"/>
    <mergeCell ref="M63:M67"/>
    <mergeCell ref="N63:N67"/>
    <mergeCell ref="BO58:BO62"/>
    <mergeCell ref="BP58:BP62"/>
    <mergeCell ref="BQ58:BQ62"/>
    <mergeCell ref="BR58:BR62"/>
    <mergeCell ref="BS58:BS62"/>
    <mergeCell ref="BT58:BT62"/>
    <mergeCell ref="BI58:BI62"/>
    <mergeCell ref="BJ58:BJ62"/>
    <mergeCell ref="BK58:BK62"/>
    <mergeCell ref="BL58:BL62"/>
    <mergeCell ref="BM58:BM62"/>
    <mergeCell ref="BN58:BN62"/>
    <mergeCell ref="BC58:BC62"/>
    <mergeCell ref="BD58:BD62"/>
    <mergeCell ref="BE58:BE62"/>
    <mergeCell ref="BF58:BF62"/>
    <mergeCell ref="BG58:BG62"/>
    <mergeCell ref="BH58:BH62"/>
    <mergeCell ref="AW58:AW62"/>
    <mergeCell ref="AX58:AX62"/>
    <mergeCell ref="AY58:AY62"/>
    <mergeCell ref="AZ58:AZ62"/>
    <mergeCell ref="AF63:AF67"/>
    <mergeCell ref="AG63:AG67"/>
    <mergeCell ref="AH63:AH67"/>
    <mergeCell ref="AI63:AI67"/>
    <mergeCell ref="AJ63:AJ67"/>
    <mergeCell ref="AK63:AK67"/>
    <mergeCell ref="U63:U67"/>
    <mergeCell ref="V63:V67"/>
    <mergeCell ref="AB63:AB67"/>
    <mergeCell ref="AC63:AC67"/>
    <mergeCell ref="AD63:AD67"/>
    <mergeCell ref="AE63:AE67"/>
    <mergeCell ref="O63:O67"/>
    <mergeCell ref="P63:P67"/>
    <mergeCell ref="Q63:Q67"/>
    <mergeCell ref="R63:R67"/>
    <mergeCell ref="S63:S67"/>
    <mergeCell ref="T63:T67"/>
    <mergeCell ref="AX63:AX67"/>
    <mergeCell ref="AY63:AY67"/>
    <mergeCell ref="AZ63:AZ67"/>
    <mergeCell ref="BA63:BA67"/>
    <mergeCell ref="BB63:BB67"/>
    <mergeCell ref="BC63:BC67"/>
    <mergeCell ref="AR63:AR67"/>
    <mergeCell ref="AS63:AS67"/>
    <mergeCell ref="AT63:AT67"/>
    <mergeCell ref="AU63:AU67"/>
    <mergeCell ref="AV63:AV67"/>
    <mergeCell ref="AW63:AW67"/>
    <mergeCell ref="AL63:AL67"/>
    <mergeCell ref="AM63:AM67"/>
    <mergeCell ref="AN63:AN67"/>
    <mergeCell ref="AO63:AO67"/>
    <mergeCell ref="AP63:AP67"/>
    <mergeCell ref="AQ63:AQ67"/>
    <mergeCell ref="BP63:BP67"/>
    <mergeCell ref="BQ63:BQ67"/>
    <mergeCell ref="BR63:BR67"/>
    <mergeCell ref="BS63:BS67"/>
    <mergeCell ref="BT63:BT67"/>
    <mergeCell ref="BU63:BU67"/>
    <mergeCell ref="BJ63:BJ67"/>
    <mergeCell ref="BK63:BK67"/>
    <mergeCell ref="BL63:BL67"/>
    <mergeCell ref="BM63:BM67"/>
    <mergeCell ref="BN63:BN67"/>
    <mergeCell ref="BO63:BO67"/>
    <mergeCell ref="BD63:BD67"/>
    <mergeCell ref="BE63:BE67"/>
    <mergeCell ref="BF63:BF67"/>
    <mergeCell ref="BG63:BG67"/>
    <mergeCell ref="BH63:BH67"/>
    <mergeCell ref="BI63:BI67"/>
    <mergeCell ref="L71:L73"/>
    <mergeCell ref="M71:M73"/>
    <mergeCell ref="N71:N73"/>
    <mergeCell ref="O71:O73"/>
    <mergeCell ref="P71:P73"/>
    <mergeCell ref="Q71:Q73"/>
    <mergeCell ref="E69:F86"/>
    <mergeCell ref="G71:G73"/>
    <mergeCell ref="H71:H73"/>
    <mergeCell ref="I71:I73"/>
    <mergeCell ref="J71:J73"/>
    <mergeCell ref="K71:K73"/>
    <mergeCell ref="G84:G89"/>
    <mergeCell ref="H84:H89"/>
    <mergeCell ref="I84:I89"/>
    <mergeCell ref="J84:J89"/>
    <mergeCell ref="R78:R83"/>
    <mergeCell ref="AD71:AD73"/>
    <mergeCell ref="AE71:AE73"/>
    <mergeCell ref="AF71:AF73"/>
    <mergeCell ref="AG71:AG73"/>
    <mergeCell ref="AH71:AH73"/>
    <mergeCell ref="AI71:AI73"/>
    <mergeCell ref="X71:X72"/>
    <mergeCell ref="Y71:Y72"/>
    <mergeCell ref="Z71:Z72"/>
    <mergeCell ref="AA71:AA72"/>
    <mergeCell ref="AB71:AB73"/>
    <mergeCell ref="AC71:AC73"/>
    <mergeCell ref="R71:R73"/>
    <mergeCell ref="S71:S73"/>
    <mergeCell ref="T71:T73"/>
    <mergeCell ref="U71:U73"/>
    <mergeCell ref="V71:V73"/>
    <mergeCell ref="W71:W72"/>
    <mergeCell ref="BD71:BD73"/>
    <mergeCell ref="BE71:BE73"/>
    <mergeCell ref="BF71:BF73"/>
    <mergeCell ref="BG71:BG73"/>
    <mergeCell ref="AV71:AV73"/>
    <mergeCell ref="AW71:AW73"/>
    <mergeCell ref="AX71:AX73"/>
    <mergeCell ref="AY71:AY73"/>
    <mergeCell ref="AZ71:AZ73"/>
    <mergeCell ref="BA71:BA73"/>
    <mergeCell ref="AP71:AP73"/>
    <mergeCell ref="AQ71:AQ73"/>
    <mergeCell ref="AR71:AR73"/>
    <mergeCell ref="AS71:AS73"/>
    <mergeCell ref="AT71:AT73"/>
    <mergeCell ref="AU71:AU73"/>
    <mergeCell ref="AJ71:AJ73"/>
    <mergeCell ref="AK71:AK73"/>
    <mergeCell ref="AL71:AL73"/>
    <mergeCell ref="AM71:AM73"/>
    <mergeCell ref="AN71:AN73"/>
    <mergeCell ref="AO71:AO73"/>
    <mergeCell ref="AF74:AF77"/>
    <mergeCell ref="AG74:AG77"/>
    <mergeCell ref="O74:O77"/>
    <mergeCell ref="P74:P77"/>
    <mergeCell ref="Q74:Q77"/>
    <mergeCell ref="R74:R77"/>
    <mergeCell ref="S74:S77"/>
    <mergeCell ref="T74:T77"/>
    <mergeCell ref="BT71:BT73"/>
    <mergeCell ref="BU71:BU73"/>
    <mergeCell ref="G74:G77"/>
    <mergeCell ref="H74:H77"/>
    <mergeCell ref="I74:I77"/>
    <mergeCell ref="J74:J77"/>
    <mergeCell ref="K74:K77"/>
    <mergeCell ref="L74:L77"/>
    <mergeCell ref="M74:M77"/>
    <mergeCell ref="N74:N77"/>
    <mergeCell ref="BN71:BN73"/>
    <mergeCell ref="BO71:BO73"/>
    <mergeCell ref="BP71:BP73"/>
    <mergeCell ref="BQ71:BQ73"/>
    <mergeCell ref="BR71:BR73"/>
    <mergeCell ref="BS71:BS73"/>
    <mergeCell ref="BH71:BH73"/>
    <mergeCell ref="BI71:BI73"/>
    <mergeCell ref="BJ71:BJ73"/>
    <mergeCell ref="BK71:BK73"/>
    <mergeCell ref="BL71:BL73"/>
    <mergeCell ref="BM71:BM73"/>
    <mergeCell ref="BB71:BB73"/>
    <mergeCell ref="BC71:BC73"/>
    <mergeCell ref="BS74:BS77"/>
    <mergeCell ref="BT74:BT77"/>
    <mergeCell ref="BU74:BU77"/>
    <mergeCell ref="W75:W76"/>
    <mergeCell ref="G78:G80"/>
    <mergeCell ref="H78:H80"/>
    <mergeCell ref="I78:I80"/>
    <mergeCell ref="J78:J80"/>
    <mergeCell ref="K78:K80"/>
    <mergeCell ref="BL74:BL77"/>
    <mergeCell ref="BM74:BM77"/>
    <mergeCell ref="BN74:BN77"/>
    <mergeCell ref="BO74:BO77"/>
    <mergeCell ref="BP74:BP77"/>
    <mergeCell ref="BQ74:BQ77"/>
    <mergeCell ref="BF74:BF77"/>
    <mergeCell ref="BG74:BG77"/>
    <mergeCell ref="BH74:BH77"/>
    <mergeCell ref="BI74:BI77"/>
    <mergeCell ref="BJ74:BJ77"/>
    <mergeCell ref="BK74:BK77"/>
    <mergeCell ref="AZ74:AZ77"/>
    <mergeCell ref="BA74:BA77"/>
    <mergeCell ref="BB74:BB77"/>
    <mergeCell ref="BC74:BC77"/>
    <mergeCell ref="BD74:BD77"/>
    <mergeCell ref="BE74:BE77"/>
    <mergeCell ref="AT74:AT77"/>
    <mergeCell ref="AU74:AU77"/>
    <mergeCell ref="AV74:AV77"/>
    <mergeCell ref="AW74:AW77"/>
    <mergeCell ref="AX74:AX77"/>
    <mergeCell ref="L78:L80"/>
    <mergeCell ref="M78:M80"/>
    <mergeCell ref="N78:N80"/>
    <mergeCell ref="O78:O80"/>
    <mergeCell ref="P78:P80"/>
    <mergeCell ref="Q78:Q83"/>
    <mergeCell ref="N81:N83"/>
    <mergeCell ref="O81:O83"/>
    <mergeCell ref="P81:P83"/>
    <mergeCell ref="BR74:BR77"/>
    <mergeCell ref="AY74:AY77"/>
    <mergeCell ref="AN74:AN77"/>
    <mergeCell ref="AO74:AO77"/>
    <mergeCell ref="AP74:AP77"/>
    <mergeCell ref="AQ74:AQ77"/>
    <mergeCell ref="AR74:AR77"/>
    <mergeCell ref="AS74:AS77"/>
    <mergeCell ref="AH74:AH77"/>
    <mergeCell ref="AI74:AI77"/>
    <mergeCell ref="AJ74:AJ77"/>
    <mergeCell ref="AK74:AK77"/>
    <mergeCell ref="AL74:AL77"/>
    <mergeCell ref="AM74:AM77"/>
    <mergeCell ref="U74:U77"/>
    <mergeCell ref="V74:V77"/>
    <mergeCell ref="AY78:AY83"/>
    <mergeCell ref="AZ78:AZ83"/>
    <mergeCell ref="AO78:AO83"/>
    <mergeCell ref="AP78:AP83"/>
    <mergeCell ref="AQ78:AQ83"/>
    <mergeCell ref="AD74:AD77"/>
    <mergeCell ref="AE74:AE77"/>
    <mergeCell ref="AT78:AT83"/>
    <mergeCell ref="AI78:AI83"/>
    <mergeCell ref="AJ78:AJ83"/>
    <mergeCell ref="AK78:AK83"/>
    <mergeCell ref="AL78:AL83"/>
    <mergeCell ref="AM78:AM83"/>
    <mergeCell ref="AN78:AN83"/>
    <mergeCell ref="AC78:AC83"/>
    <mergeCell ref="AD78:AD83"/>
    <mergeCell ref="AE78:AE83"/>
    <mergeCell ref="AF78:AF83"/>
    <mergeCell ref="AG78:AG83"/>
    <mergeCell ref="AH78:AH83"/>
    <mergeCell ref="BS78:BS83"/>
    <mergeCell ref="BT78:BT83"/>
    <mergeCell ref="AB78:AB83"/>
    <mergeCell ref="S81:S83"/>
    <mergeCell ref="S78:S80"/>
    <mergeCell ref="T78:T83"/>
    <mergeCell ref="U78:U83"/>
    <mergeCell ref="V78:V83"/>
    <mergeCell ref="BU78:BU83"/>
    <mergeCell ref="G81:G83"/>
    <mergeCell ref="H81:H83"/>
    <mergeCell ref="I81:I83"/>
    <mergeCell ref="J81:J83"/>
    <mergeCell ref="K81:K83"/>
    <mergeCell ref="L81:L83"/>
    <mergeCell ref="M81:M83"/>
    <mergeCell ref="BM78:BM83"/>
    <mergeCell ref="BN78:BN83"/>
    <mergeCell ref="BO78:BO83"/>
    <mergeCell ref="BP78:BP83"/>
    <mergeCell ref="BQ78:BQ83"/>
    <mergeCell ref="BR78:BR83"/>
    <mergeCell ref="BG78:BG83"/>
    <mergeCell ref="BH78:BH83"/>
    <mergeCell ref="BI78:BI83"/>
    <mergeCell ref="BJ78:BJ83"/>
    <mergeCell ref="BK78:BK83"/>
    <mergeCell ref="BL78:BL83"/>
    <mergeCell ref="BA78:BA83"/>
    <mergeCell ref="BB78:BB83"/>
    <mergeCell ref="BC78:BC83"/>
    <mergeCell ref="BD78:BD83"/>
    <mergeCell ref="BE78:BE83"/>
    <mergeCell ref="BF78:BF83"/>
    <mergeCell ref="AU78:AU83"/>
    <mergeCell ref="AV78:AV83"/>
    <mergeCell ref="AW78:AW83"/>
    <mergeCell ref="AX78:AX83"/>
    <mergeCell ref="AR78:AR83"/>
    <mergeCell ref="AS78:AS83"/>
    <mergeCell ref="AD84:AD89"/>
    <mergeCell ref="AE84:AE89"/>
    <mergeCell ref="AF84:AF89"/>
    <mergeCell ref="AG84:AG89"/>
    <mergeCell ref="AH84:AH89"/>
    <mergeCell ref="Q84:Q89"/>
    <mergeCell ref="R84:R89"/>
    <mergeCell ref="S84:S89"/>
    <mergeCell ref="T84:T89"/>
    <mergeCell ref="U84:U89"/>
    <mergeCell ref="V84:V89"/>
    <mergeCell ref="K84:K89"/>
    <mergeCell ref="L84:L89"/>
    <mergeCell ref="M84:M89"/>
    <mergeCell ref="N84:N89"/>
    <mergeCell ref="O84:O89"/>
    <mergeCell ref="P84:P89"/>
    <mergeCell ref="W84:W85"/>
    <mergeCell ref="BE84:BE89"/>
    <mergeCell ref="BF84:BF89"/>
    <mergeCell ref="AU84:AU89"/>
    <mergeCell ref="AV84:AV89"/>
    <mergeCell ref="AW84:AW89"/>
    <mergeCell ref="AX84:AX89"/>
    <mergeCell ref="AY84:AY89"/>
    <mergeCell ref="AZ84:AZ89"/>
    <mergeCell ref="AO84:AO89"/>
    <mergeCell ref="AP84:AP89"/>
    <mergeCell ref="AQ84:AQ89"/>
    <mergeCell ref="AR84:AR89"/>
    <mergeCell ref="AS84:AS89"/>
    <mergeCell ref="AT84:AT89"/>
    <mergeCell ref="AI84:AI89"/>
    <mergeCell ref="AJ84:AJ89"/>
    <mergeCell ref="AK84:AK89"/>
    <mergeCell ref="AL84:AL89"/>
    <mergeCell ref="AM84:AM89"/>
    <mergeCell ref="AN84:AN89"/>
    <mergeCell ref="AD91:AD98"/>
    <mergeCell ref="AE91:AE98"/>
    <mergeCell ref="AF91:AF98"/>
    <mergeCell ref="AG91:AG98"/>
    <mergeCell ref="AH91:AH98"/>
    <mergeCell ref="AI91:AI98"/>
    <mergeCell ref="BS84:BS89"/>
    <mergeCell ref="BT84:BT89"/>
    <mergeCell ref="BU84:BU89"/>
    <mergeCell ref="W88:W89"/>
    <mergeCell ref="E91:F144"/>
    <mergeCell ref="Q91:Q98"/>
    <mergeCell ref="R91:R98"/>
    <mergeCell ref="T91:T98"/>
    <mergeCell ref="U91:U98"/>
    <mergeCell ref="V91:V98"/>
    <mergeCell ref="BM84:BM89"/>
    <mergeCell ref="BN84:BN89"/>
    <mergeCell ref="BO84:BO89"/>
    <mergeCell ref="BP84:BP89"/>
    <mergeCell ref="BQ84:BQ89"/>
    <mergeCell ref="BR84:BR89"/>
    <mergeCell ref="BG84:BG89"/>
    <mergeCell ref="BH84:BH89"/>
    <mergeCell ref="BI84:BI89"/>
    <mergeCell ref="BJ84:BJ89"/>
    <mergeCell ref="BK84:BK89"/>
    <mergeCell ref="BL84:BL89"/>
    <mergeCell ref="BA84:BA89"/>
    <mergeCell ref="BB84:BB89"/>
    <mergeCell ref="BC84:BC89"/>
    <mergeCell ref="BD84:BD89"/>
    <mergeCell ref="BF91:BF98"/>
    <mergeCell ref="BG91:BG98"/>
    <mergeCell ref="AV91:AV98"/>
    <mergeCell ref="AW91:AW98"/>
    <mergeCell ref="AX91:AX98"/>
    <mergeCell ref="AY91:AY98"/>
    <mergeCell ref="AZ91:AZ98"/>
    <mergeCell ref="BA91:BA98"/>
    <mergeCell ref="AP91:AP98"/>
    <mergeCell ref="AQ91:AQ98"/>
    <mergeCell ref="AR91:AR98"/>
    <mergeCell ref="AS91:AS98"/>
    <mergeCell ref="AT91:AT98"/>
    <mergeCell ref="AU91:AU98"/>
    <mergeCell ref="AJ91:AJ98"/>
    <mergeCell ref="AK91:AK98"/>
    <mergeCell ref="AL91:AL98"/>
    <mergeCell ref="AM91:AM98"/>
    <mergeCell ref="AN91:AN98"/>
    <mergeCell ref="AO91:AO98"/>
    <mergeCell ref="O92:O98"/>
    <mergeCell ref="P92:P98"/>
    <mergeCell ref="S92:S98"/>
    <mergeCell ref="W92:W93"/>
    <mergeCell ref="W94:W95"/>
    <mergeCell ref="W97:W98"/>
    <mergeCell ref="BT91:BT98"/>
    <mergeCell ref="BU91:BU98"/>
    <mergeCell ref="G92:G98"/>
    <mergeCell ref="H92:H98"/>
    <mergeCell ref="I92:I98"/>
    <mergeCell ref="J92:J98"/>
    <mergeCell ref="K92:K98"/>
    <mergeCell ref="L92:L98"/>
    <mergeCell ref="M92:M98"/>
    <mergeCell ref="N92:N98"/>
    <mergeCell ref="BN91:BN98"/>
    <mergeCell ref="BO91:BO98"/>
    <mergeCell ref="BP91:BP98"/>
    <mergeCell ref="BQ91:BQ98"/>
    <mergeCell ref="BR91:BR98"/>
    <mergeCell ref="BS91:BS98"/>
    <mergeCell ref="BH91:BH98"/>
    <mergeCell ref="BI91:BI98"/>
    <mergeCell ref="BJ91:BJ98"/>
    <mergeCell ref="BK91:BK98"/>
    <mergeCell ref="BL91:BL98"/>
    <mergeCell ref="BM91:BM98"/>
    <mergeCell ref="BB91:BB98"/>
    <mergeCell ref="BC91:BC98"/>
    <mergeCell ref="BD91:BD98"/>
    <mergeCell ref="BE91:BE98"/>
    <mergeCell ref="S99:S101"/>
    <mergeCell ref="T99:T101"/>
    <mergeCell ref="U99:U101"/>
    <mergeCell ref="V99:V101"/>
    <mergeCell ref="AB99:AB101"/>
    <mergeCell ref="AC99:AC101"/>
    <mergeCell ref="M99:M101"/>
    <mergeCell ref="N99:N101"/>
    <mergeCell ref="O99:O101"/>
    <mergeCell ref="P99:P101"/>
    <mergeCell ref="Q99:Q101"/>
    <mergeCell ref="R99:R101"/>
    <mergeCell ref="G99:G101"/>
    <mergeCell ref="H99:H101"/>
    <mergeCell ref="I99:I101"/>
    <mergeCell ref="J99:J101"/>
    <mergeCell ref="K99:K101"/>
    <mergeCell ref="L99:L101"/>
    <mergeCell ref="AZ99:AZ101"/>
    <mergeCell ref="BA99:BA101"/>
    <mergeCell ref="AP99:AP101"/>
    <mergeCell ref="AQ99:AQ101"/>
    <mergeCell ref="AR99:AR101"/>
    <mergeCell ref="AS99:AS101"/>
    <mergeCell ref="AT99:AT101"/>
    <mergeCell ref="AU99:AU101"/>
    <mergeCell ref="AJ99:AJ101"/>
    <mergeCell ref="AK99:AK101"/>
    <mergeCell ref="AL99:AL101"/>
    <mergeCell ref="AM99:AM101"/>
    <mergeCell ref="AN99:AN101"/>
    <mergeCell ref="AO99:AO101"/>
    <mergeCell ref="AD99:AD101"/>
    <mergeCell ref="AE99:AE101"/>
    <mergeCell ref="AF99:AF101"/>
    <mergeCell ref="AG99:AG101"/>
    <mergeCell ref="AH99:AH101"/>
    <mergeCell ref="AI99:AI101"/>
    <mergeCell ref="BT99:BT101"/>
    <mergeCell ref="BU99:BU101"/>
    <mergeCell ref="G102:G106"/>
    <mergeCell ref="H102:H106"/>
    <mergeCell ref="I102:I106"/>
    <mergeCell ref="J102:J106"/>
    <mergeCell ref="K102:K106"/>
    <mergeCell ref="L102:L106"/>
    <mergeCell ref="M102:M106"/>
    <mergeCell ref="N102:N106"/>
    <mergeCell ref="BN99:BN101"/>
    <mergeCell ref="BO99:BO101"/>
    <mergeCell ref="BP99:BP101"/>
    <mergeCell ref="BQ99:BQ101"/>
    <mergeCell ref="BR99:BR101"/>
    <mergeCell ref="BS99:BS101"/>
    <mergeCell ref="BH99:BH101"/>
    <mergeCell ref="BI99:BI101"/>
    <mergeCell ref="BJ99:BJ101"/>
    <mergeCell ref="BK99:BK101"/>
    <mergeCell ref="BL99:BL101"/>
    <mergeCell ref="BM99:BM101"/>
    <mergeCell ref="BB99:BB101"/>
    <mergeCell ref="BC99:BC101"/>
    <mergeCell ref="BD99:BD101"/>
    <mergeCell ref="BE99:BE101"/>
    <mergeCell ref="BF99:BF101"/>
    <mergeCell ref="BG99:BG101"/>
    <mergeCell ref="AV99:AV101"/>
    <mergeCell ref="AW99:AW101"/>
    <mergeCell ref="AX99:AX101"/>
    <mergeCell ref="AY99:AY101"/>
    <mergeCell ref="AF102:AF144"/>
    <mergeCell ref="AG102:AG144"/>
    <mergeCell ref="AH102:AH144"/>
    <mergeCell ref="AI102:AI144"/>
    <mergeCell ref="AJ102:AJ144"/>
    <mergeCell ref="AK102:AK144"/>
    <mergeCell ref="U102:U144"/>
    <mergeCell ref="V102:V144"/>
    <mergeCell ref="AB102:AB106"/>
    <mergeCell ref="AC102:AC106"/>
    <mergeCell ref="AD102:AD144"/>
    <mergeCell ref="AE102:AE144"/>
    <mergeCell ref="O102:O106"/>
    <mergeCell ref="P102:P106"/>
    <mergeCell ref="Q102:Q144"/>
    <mergeCell ref="R102:R144"/>
    <mergeCell ref="S102:S106"/>
    <mergeCell ref="T102:T144"/>
    <mergeCell ref="AX102:AX144"/>
    <mergeCell ref="AY102:AY144"/>
    <mergeCell ref="AZ102:AZ144"/>
    <mergeCell ref="BA102:BA144"/>
    <mergeCell ref="BB102:BB144"/>
    <mergeCell ref="BC102:BC144"/>
    <mergeCell ref="AR102:AR144"/>
    <mergeCell ref="AS102:AS144"/>
    <mergeCell ref="AT102:AT144"/>
    <mergeCell ref="AU102:AU144"/>
    <mergeCell ref="AV102:AV144"/>
    <mergeCell ref="AW102:AW144"/>
    <mergeCell ref="AL102:AL144"/>
    <mergeCell ref="AM102:AM144"/>
    <mergeCell ref="AN102:AN144"/>
    <mergeCell ref="AO102:AO144"/>
    <mergeCell ref="AP102:AP144"/>
    <mergeCell ref="AQ102:AQ144"/>
    <mergeCell ref="BP102:BP144"/>
    <mergeCell ref="BQ102:BQ144"/>
    <mergeCell ref="BR102:BR144"/>
    <mergeCell ref="BS102:BS144"/>
    <mergeCell ref="BT102:BT144"/>
    <mergeCell ref="BU102:BU144"/>
    <mergeCell ref="BJ102:BJ144"/>
    <mergeCell ref="BK102:BK144"/>
    <mergeCell ref="BL102:BL144"/>
    <mergeCell ref="BM102:BM144"/>
    <mergeCell ref="BN102:BN144"/>
    <mergeCell ref="BO102:BO144"/>
    <mergeCell ref="BD102:BD144"/>
    <mergeCell ref="BE102:BE144"/>
    <mergeCell ref="BF102:BF144"/>
    <mergeCell ref="BG102:BG144"/>
    <mergeCell ref="BH102:BH144"/>
    <mergeCell ref="BI102:BI144"/>
    <mergeCell ref="B145:G145"/>
    <mergeCell ref="D146:J146"/>
    <mergeCell ref="E148:F149"/>
    <mergeCell ref="G148:G149"/>
    <mergeCell ref="H148:H149"/>
    <mergeCell ref="I148:I149"/>
    <mergeCell ref="J148:J149"/>
    <mergeCell ref="M107:M144"/>
    <mergeCell ref="N107:N144"/>
    <mergeCell ref="O107:O144"/>
    <mergeCell ref="P107:P144"/>
    <mergeCell ref="S107:S144"/>
    <mergeCell ref="W107:W130"/>
    <mergeCell ref="W131:W144"/>
    <mergeCell ref="G107:G144"/>
    <mergeCell ref="H107:H144"/>
    <mergeCell ref="I107:I144"/>
    <mergeCell ref="J107:J144"/>
    <mergeCell ref="K107:K144"/>
    <mergeCell ref="L107:L144"/>
    <mergeCell ref="AB148:AB149"/>
    <mergeCell ref="AC148:AC149"/>
    <mergeCell ref="AD148:AD149"/>
    <mergeCell ref="AE148:AE149"/>
    <mergeCell ref="AF148:AF149"/>
    <mergeCell ref="AG148:AG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BD148:BD149"/>
    <mergeCell ref="BE148:BE149"/>
    <mergeCell ref="AT148:AT149"/>
    <mergeCell ref="AU148:AU149"/>
    <mergeCell ref="AV148:AV149"/>
    <mergeCell ref="AW148:AW149"/>
    <mergeCell ref="AX148:AX149"/>
    <mergeCell ref="AY148:AY149"/>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L152:L156"/>
    <mergeCell ref="M152:M156"/>
    <mergeCell ref="N152:N156"/>
    <mergeCell ref="O152:O156"/>
    <mergeCell ref="P152:P156"/>
    <mergeCell ref="Q152:Q156"/>
    <mergeCell ref="BR148:BR149"/>
    <mergeCell ref="BS148:BS149"/>
    <mergeCell ref="BT148:BT149"/>
    <mergeCell ref="BU148:BU149"/>
    <mergeCell ref="E152:F156"/>
    <mergeCell ref="G152:G156"/>
    <mergeCell ref="H152:H156"/>
    <mergeCell ref="I152:I156"/>
    <mergeCell ref="J152:J156"/>
    <mergeCell ref="K152:K156"/>
    <mergeCell ref="BL148:BL149"/>
    <mergeCell ref="BM148:BM149"/>
    <mergeCell ref="BN148:BN149"/>
    <mergeCell ref="BO148:BO149"/>
    <mergeCell ref="BP148:BP149"/>
    <mergeCell ref="BQ148:BQ149"/>
    <mergeCell ref="BF148:BF149"/>
    <mergeCell ref="BG148:BG149"/>
    <mergeCell ref="BH148:BH149"/>
    <mergeCell ref="BI148:BI149"/>
    <mergeCell ref="BJ148:BJ149"/>
    <mergeCell ref="BK148:BK149"/>
    <mergeCell ref="AZ148:AZ149"/>
    <mergeCell ref="BA148:BA149"/>
    <mergeCell ref="BB148:BB149"/>
    <mergeCell ref="BC148:BC149"/>
    <mergeCell ref="AJ152:AJ156"/>
    <mergeCell ref="AK152:AK156"/>
    <mergeCell ref="AL152:AL156"/>
    <mergeCell ref="AM152:AM156"/>
    <mergeCell ref="AN152:AN156"/>
    <mergeCell ref="AO152:AO156"/>
    <mergeCell ref="AD152:AD156"/>
    <mergeCell ref="AE152:AE156"/>
    <mergeCell ref="AF152:AF156"/>
    <mergeCell ref="AG152:AG156"/>
    <mergeCell ref="AH152:AH156"/>
    <mergeCell ref="AI152:AI156"/>
    <mergeCell ref="R152:R156"/>
    <mergeCell ref="S152:S156"/>
    <mergeCell ref="T152:T156"/>
    <mergeCell ref="U152:U156"/>
    <mergeCell ref="V152:V156"/>
    <mergeCell ref="W152:W153"/>
    <mergeCell ref="BL152:BL156"/>
    <mergeCell ref="BM152:BM156"/>
    <mergeCell ref="BB152:BB156"/>
    <mergeCell ref="BC152:BC156"/>
    <mergeCell ref="BD152:BD156"/>
    <mergeCell ref="BE152:BE156"/>
    <mergeCell ref="BF152:BF156"/>
    <mergeCell ref="BG152:BG156"/>
    <mergeCell ref="AV152:AV156"/>
    <mergeCell ref="AW152:AW156"/>
    <mergeCell ref="AX152:AX156"/>
    <mergeCell ref="AY152:AY156"/>
    <mergeCell ref="AZ152:AZ156"/>
    <mergeCell ref="BA152:BA156"/>
    <mergeCell ref="AP152:AP156"/>
    <mergeCell ref="AQ152:AQ156"/>
    <mergeCell ref="AR152:AR156"/>
    <mergeCell ref="AS152:AS156"/>
    <mergeCell ref="AT152:AT156"/>
    <mergeCell ref="AU152:AU156"/>
    <mergeCell ref="S161:S167"/>
    <mergeCell ref="T161:T167"/>
    <mergeCell ref="U161:U167"/>
    <mergeCell ref="V161:V167"/>
    <mergeCell ref="AB161:AB167"/>
    <mergeCell ref="AC161:AC167"/>
    <mergeCell ref="M161:M167"/>
    <mergeCell ref="N161:N167"/>
    <mergeCell ref="O161:O167"/>
    <mergeCell ref="P161:P167"/>
    <mergeCell ref="Q161:Q167"/>
    <mergeCell ref="R161:R167"/>
    <mergeCell ref="BT152:BT156"/>
    <mergeCell ref="BU152:BU156"/>
    <mergeCell ref="B157:G157"/>
    <mergeCell ref="D158:G158"/>
    <mergeCell ref="G161:G167"/>
    <mergeCell ref="H161:H167"/>
    <mergeCell ref="I161:I167"/>
    <mergeCell ref="J161:J167"/>
    <mergeCell ref="K161:K167"/>
    <mergeCell ref="L161:L167"/>
    <mergeCell ref="BN152:BN156"/>
    <mergeCell ref="BO152:BO156"/>
    <mergeCell ref="BP152:BP156"/>
    <mergeCell ref="BQ152:BQ156"/>
    <mergeCell ref="BR152:BR156"/>
    <mergeCell ref="BS152:BS156"/>
    <mergeCell ref="BH152:BH156"/>
    <mergeCell ref="BI152:BI156"/>
    <mergeCell ref="BJ152:BJ156"/>
    <mergeCell ref="BK152:BK156"/>
    <mergeCell ref="AZ161:AZ167"/>
    <mergeCell ref="BA161:BA167"/>
    <mergeCell ref="AP161:AP167"/>
    <mergeCell ref="AQ161:AQ167"/>
    <mergeCell ref="AR161:AR167"/>
    <mergeCell ref="AS161:AS167"/>
    <mergeCell ref="AT161:AT167"/>
    <mergeCell ref="AU161:AU167"/>
    <mergeCell ref="AJ161:AJ167"/>
    <mergeCell ref="AK161:AK167"/>
    <mergeCell ref="AL161:AL167"/>
    <mergeCell ref="AM161:AM167"/>
    <mergeCell ref="AN161:AN167"/>
    <mergeCell ref="AO161:AO167"/>
    <mergeCell ref="AD161:AD167"/>
    <mergeCell ref="AE161:AE167"/>
    <mergeCell ref="AF161:AF167"/>
    <mergeCell ref="AG161:AG167"/>
    <mergeCell ref="AH161:AH167"/>
    <mergeCell ref="AI161:AI167"/>
    <mergeCell ref="BT161:BT167"/>
    <mergeCell ref="BU161:BU167"/>
    <mergeCell ref="G168:G175"/>
    <mergeCell ref="H168:H175"/>
    <mergeCell ref="I168:I175"/>
    <mergeCell ref="J168:J175"/>
    <mergeCell ref="K168:K175"/>
    <mergeCell ref="L168:L175"/>
    <mergeCell ref="M168:M175"/>
    <mergeCell ref="N168:N175"/>
    <mergeCell ref="BN161:BN167"/>
    <mergeCell ref="BO161:BO167"/>
    <mergeCell ref="BP161:BP167"/>
    <mergeCell ref="BQ161:BQ167"/>
    <mergeCell ref="BR161:BR167"/>
    <mergeCell ref="BS161:BS167"/>
    <mergeCell ref="BH161:BH167"/>
    <mergeCell ref="BI161:BI167"/>
    <mergeCell ref="BJ161:BJ167"/>
    <mergeCell ref="BK161:BK167"/>
    <mergeCell ref="BL161:BL167"/>
    <mergeCell ref="BM161:BM167"/>
    <mergeCell ref="BB161:BB167"/>
    <mergeCell ref="BC161:BC167"/>
    <mergeCell ref="BD161:BD167"/>
    <mergeCell ref="BE161:BE167"/>
    <mergeCell ref="BF161:BF167"/>
    <mergeCell ref="BG161:BG167"/>
    <mergeCell ref="AV161:AV167"/>
    <mergeCell ref="AW161:AW167"/>
    <mergeCell ref="AX161:AX167"/>
    <mergeCell ref="AY161:AY167"/>
    <mergeCell ref="AF168:AF175"/>
    <mergeCell ref="AG168:AG175"/>
    <mergeCell ref="AH168:AH175"/>
    <mergeCell ref="AI168:AI175"/>
    <mergeCell ref="AJ168:AJ175"/>
    <mergeCell ref="AK168:AK175"/>
    <mergeCell ref="U168:U175"/>
    <mergeCell ref="V168:V175"/>
    <mergeCell ref="AB168:AB175"/>
    <mergeCell ref="AC168:AC175"/>
    <mergeCell ref="AD168:AD175"/>
    <mergeCell ref="AE168:AE175"/>
    <mergeCell ref="O168:O175"/>
    <mergeCell ref="P168:P175"/>
    <mergeCell ref="Q168:Q175"/>
    <mergeCell ref="R168:R175"/>
    <mergeCell ref="S168:S175"/>
    <mergeCell ref="T168:T175"/>
    <mergeCell ref="AX168:AX175"/>
    <mergeCell ref="AY168:AY175"/>
    <mergeCell ref="AZ168:AZ175"/>
    <mergeCell ref="BA168:BA175"/>
    <mergeCell ref="BB168:BB175"/>
    <mergeCell ref="BC168:BC175"/>
    <mergeCell ref="AR168:AR175"/>
    <mergeCell ref="AS168:AS175"/>
    <mergeCell ref="AT168:AT175"/>
    <mergeCell ref="AU168:AU175"/>
    <mergeCell ref="AV168:AV175"/>
    <mergeCell ref="AW168:AW175"/>
    <mergeCell ref="AL168:AL175"/>
    <mergeCell ref="AM168:AM175"/>
    <mergeCell ref="AN168:AN175"/>
    <mergeCell ref="AO168:AO175"/>
    <mergeCell ref="AP168:AP175"/>
    <mergeCell ref="AQ168:AQ175"/>
    <mergeCell ref="BP168:BP175"/>
    <mergeCell ref="BQ168:BQ175"/>
    <mergeCell ref="BR168:BR175"/>
    <mergeCell ref="BS168:BS175"/>
    <mergeCell ref="BT168:BT175"/>
    <mergeCell ref="BU168:BU175"/>
    <mergeCell ref="BJ168:BJ175"/>
    <mergeCell ref="BK168:BK175"/>
    <mergeCell ref="BL168:BL175"/>
    <mergeCell ref="BM168:BM175"/>
    <mergeCell ref="BN168:BN175"/>
    <mergeCell ref="BO168:BO175"/>
    <mergeCell ref="BD168:BD175"/>
    <mergeCell ref="BE168:BE175"/>
    <mergeCell ref="BF168:BF175"/>
    <mergeCell ref="BG168:BG175"/>
    <mergeCell ref="BH168:BH175"/>
    <mergeCell ref="BI168:BI175"/>
    <mergeCell ref="AG176:AG178"/>
    <mergeCell ref="AH176:AH178"/>
    <mergeCell ref="AI176:AI178"/>
    <mergeCell ref="S176:S178"/>
    <mergeCell ref="T176:T178"/>
    <mergeCell ref="U176:U178"/>
    <mergeCell ref="V176:V178"/>
    <mergeCell ref="AB176:AB178"/>
    <mergeCell ref="AC176:AC178"/>
    <mergeCell ref="M176:M178"/>
    <mergeCell ref="N176:N178"/>
    <mergeCell ref="O176:O178"/>
    <mergeCell ref="P176:P178"/>
    <mergeCell ref="Q176:Q178"/>
    <mergeCell ref="R176:R178"/>
    <mergeCell ref="G176:G178"/>
    <mergeCell ref="H176:H178"/>
    <mergeCell ref="I176:I178"/>
    <mergeCell ref="J176:J178"/>
    <mergeCell ref="K176:K178"/>
    <mergeCell ref="L176:L178"/>
    <mergeCell ref="G179:G181"/>
    <mergeCell ref="H179:H181"/>
    <mergeCell ref="I179:I181"/>
    <mergeCell ref="J179:J181"/>
    <mergeCell ref="K179:K181"/>
    <mergeCell ref="L179:L181"/>
    <mergeCell ref="M179:M181"/>
    <mergeCell ref="N179:N181"/>
    <mergeCell ref="BN176:BN178"/>
    <mergeCell ref="BO176:BO178"/>
    <mergeCell ref="BP176:BP178"/>
    <mergeCell ref="BQ176:BQ178"/>
    <mergeCell ref="BR176:BR178"/>
    <mergeCell ref="BS176:BS178"/>
    <mergeCell ref="BH176:BH178"/>
    <mergeCell ref="BI176:BI178"/>
    <mergeCell ref="BJ176:BJ178"/>
    <mergeCell ref="BK176:BK178"/>
    <mergeCell ref="BL176:BL178"/>
    <mergeCell ref="BM176:BM178"/>
    <mergeCell ref="BB176:BB178"/>
    <mergeCell ref="BC176:BC178"/>
    <mergeCell ref="BD176:BD178"/>
    <mergeCell ref="BE176:BE178"/>
    <mergeCell ref="BF176:BF178"/>
    <mergeCell ref="BG176:BG178"/>
    <mergeCell ref="AV176:AV178"/>
    <mergeCell ref="AW176:AW178"/>
    <mergeCell ref="AX176:AX178"/>
    <mergeCell ref="AY176:AY178"/>
    <mergeCell ref="AZ176:AZ178"/>
    <mergeCell ref="BA176:BA178"/>
    <mergeCell ref="AI179:AI181"/>
    <mergeCell ref="AJ179:AJ181"/>
    <mergeCell ref="AK179:AK181"/>
    <mergeCell ref="U179:U181"/>
    <mergeCell ref="V179:V181"/>
    <mergeCell ref="AB179:AB181"/>
    <mergeCell ref="AC179:AC181"/>
    <mergeCell ref="AD179:AD181"/>
    <mergeCell ref="AE179:AE181"/>
    <mergeCell ref="O179:O181"/>
    <mergeCell ref="P179:P181"/>
    <mergeCell ref="Q179:Q181"/>
    <mergeCell ref="R179:R181"/>
    <mergeCell ref="S179:S181"/>
    <mergeCell ref="T179:T181"/>
    <mergeCell ref="BT176:BT178"/>
    <mergeCell ref="BU176:BU178"/>
    <mergeCell ref="AP176:AP178"/>
    <mergeCell ref="AQ176:AQ178"/>
    <mergeCell ref="AR176:AR178"/>
    <mergeCell ref="AS176:AS178"/>
    <mergeCell ref="AT176:AT178"/>
    <mergeCell ref="AU176:AU178"/>
    <mergeCell ref="AJ176:AJ178"/>
    <mergeCell ref="AK176:AK178"/>
    <mergeCell ref="AL176:AL178"/>
    <mergeCell ref="AM176:AM178"/>
    <mergeCell ref="AN176:AN178"/>
    <mergeCell ref="AO176:AO178"/>
    <mergeCell ref="AD176:AD178"/>
    <mergeCell ref="AE176:AE178"/>
    <mergeCell ref="AF176:AF178"/>
    <mergeCell ref="BR179:BR181"/>
    <mergeCell ref="BS179:BS181"/>
    <mergeCell ref="BT179:BT181"/>
    <mergeCell ref="BU179:BU181"/>
    <mergeCell ref="BJ179:BJ181"/>
    <mergeCell ref="BK179:BK181"/>
    <mergeCell ref="BL179:BL181"/>
    <mergeCell ref="BM179:BM181"/>
    <mergeCell ref="BN179:BN181"/>
    <mergeCell ref="BO179:BO181"/>
    <mergeCell ref="BD179:BD181"/>
    <mergeCell ref="BE179:BE181"/>
    <mergeCell ref="BF179:BF181"/>
    <mergeCell ref="BG179:BG181"/>
    <mergeCell ref="BH179:BH181"/>
    <mergeCell ref="BI179:BI181"/>
    <mergeCell ref="AX179:AX181"/>
    <mergeCell ref="AY179:AY181"/>
    <mergeCell ref="AZ179:AZ181"/>
    <mergeCell ref="BA179:BA181"/>
    <mergeCell ref="BB179:BB181"/>
    <mergeCell ref="BC179:BC181"/>
    <mergeCell ref="O183:O184"/>
    <mergeCell ref="P183:P184"/>
    <mergeCell ref="Q183:Q184"/>
    <mergeCell ref="R183:R184"/>
    <mergeCell ref="S183:S184"/>
    <mergeCell ref="T183:T184"/>
    <mergeCell ref="F182:N182"/>
    <mergeCell ref="G183:G184"/>
    <mergeCell ref="H183:H184"/>
    <mergeCell ref="I183:I184"/>
    <mergeCell ref="J183:J184"/>
    <mergeCell ref="K183:K184"/>
    <mergeCell ref="L183:L184"/>
    <mergeCell ref="M183:M184"/>
    <mergeCell ref="N183:N184"/>
    <mergeCell ref="BP179:BP181"/>
    <mergeCell ref="BQ179:BQ181"/>
    <mergeCell ref="AR179:AR181"/>
    <mergeCell ref="AS179:AS181"/>
    <mergeCell ref="AT179:AT181"/>
    <mergeCell ref="AU179:AU181"/>
    <mergeCell ref="AV179:AV181"/>
    <mergeCell ref="AW179:AW181"/>
    <mergeCell ref="AL179:AL181"/>
    <mergeCell ref="AM179:AM181"/>
    <mergeCell ref="AN179:AN181"/>
    <mergeCell ref="AO179:AO181"/>
    <mergeCell ref="AP179:AP181"/>
    <mergeCell ref="AQ179:AQ181"/>
    <mergeCell ref="AF179:AF181"/>
    <mergeCell ref="AG179:AG181"/>
    <mergeCell ref="AH179:AH181"/>
    <mergeCell ref="AT183:AT184"/>
    <mergeCell ref="AU183:AU184"/>
    <mergeCell ref="AV183:AV184"/>
    <mergeCell ref="AW183:AW184"/>
    <mergeCell ref="AL183:AL184"/>
    <mergeCell ref="AM183:AM184"/>
    <mergeCell ref="AN183:AN184"/>
    <mergeCell ref="AO183:AO184"/>
    <mergeCell ref="AP183:AP184"/>
    <mergeCell ref="AQ183:AQ184"/>
    <mergeCell ref="AF183:AF184"/>
    <mergeCell ref="AG183:AG184"/>
    <mergeCell ref="AH183:AH184"/>
    <mergeCell ref="AI183:AI184"/>
    <mergeCell ref="AJ183:AJ184"/>
    <mergeCell ref="AK183:AK184"/>
    <mergeCell ref="U183:U184"/>
    <mergeCell ref="V183:V184"/>
    <mergeCell ref="AB183:AB184"/>
    <mergeCell ref="AC183:AC184"/>
    <mergeCell ref="AD183:AD184"/>
    <mergeCell ref="AE183:AE184"/>
    <mergeCell ref="G186:G192"/>
    <mergeCell ref="H186:H192"/>
    <mergeCell ref="I186:I192"/>
    <mergeCell ref="J186:J192"/>
    <mergeCell ref="K186:K192"/>
    <mergeCell ref="L186:L192"/>
    <mergeCell ref="BP183:BP184"/>
    <mergeCell ref="BQ183:BQ184"/>
    <mergeCell ref="BR183:BR184"/>
    <mergeCell ref="BS183:BS184"/>
    <mergeCell ref="BT183:BT184"/>
    <mergeCell ref="BU183:BU184"/>
    <mergeCell ref="BJ183:BJ184"/>
    <mergeCell ref="BK183:BK184"/>
    <mergeCell ref="BL183:BL184"/>
    <mergeCell ref="BM183:BM184"/>
    <mergeCell ref="BN183:BN184"/>
    <mergeCell ref="BO183:BO184"/>
    <mergeCell ref="BD183:BD184"/>
    <mergeCell ref="BE183:BE184"/>
    <mergeCell ref="BF183:BF184"/>
    <mergeCell ref="BG183:BG184"/>
    <mergeCell ref="BH183:BH184"/>
    <mergeCell ref="BI183:BI184"/>
    <mergeCell ref="AX183:AX184"/>
    <mergeCell ref="AY183:AY184"/>
    <mergeCell ref="AZ183:AZ184"/>
    <mergeCell ref="BA183:BA184"/>
    <mergeCell ref="BB183:BB184"/>
    <mergeCell ref="BC183:BC184"/>
    <mergeCell ref="AR183:AR184"/>
    <mergeCell ref="AS183:AS184"/>
    <mergeCell ref="AO186:AO192"/>
    <mergeCell ref="AP186:AP192"/>
    <mergeCell ref="AQ186:AQ192"/>
    <mergeCell ref="AR186:AR192"/>
    <mergeCell ref="AF186:AF192"/>
    <mergeCell ref="AG186:AG192"/>
    <mergeCell ref="AH186:AH192"/>
    <mergeCell ref="AI186:AI192"/>
    <mergeCell ref="AJ186:AJ192"/>
    <mergeCell ref="AK186:AL192"/>
    <mergeCell ref="S186:S192"/>
    <mergeCell ref="T186:T192"/>
    <mergeCell ref="U186:U192"/>
    <mergeCell ref="V186:V192"/>
    <mergeCell ref="AD186:AD192"/>
    <mergeCell ref="AE186:AE192"/>
    <mergeCell ref="M186:M192"/>
    <mergeCell ref="N186:N192"/>
    <mergeCell ref="O186:O192"/>
    <mergeCell ref="P186:P192"/>
    <mergeCell ref="Q186:Q192"/>
    <mergeCell ref="R186:R192"/>
    <mergeCell ref="BQ186:BQ192"/>
    <mergeCell ref="BR186:BR192"/>
    <mergeCell ref="BS186:BS192"/>
    <mergeCell ref="BT186:BT192"/>
    <mergeCell ref="BU186:BU192"/>
    <mergeCell ref="W189:W190"/>
    <mergeCell ref="BK186:BK192"/>
    <mergeCell ref="BL186:BL192"/>
    <mergeCell ref="BM186:BM192"/>
    <mergeCell ref="BN186:BN192"/>
    <mergeCell ref="BO186:BO192"/>
    <mergeCell ref="BP186:BP192"/>
    <mergeCell ref="BE186:BE192"/>
    <mergeCell ref="BF186:BF192"/>
    <mergeCell ref="BG186:BG192"/>
    <mergeCell ref="BH186:BH192"/>
    <mergeCell ref="BI186:BI192"/>
    <mergeCell ref="BJ186:BJ192"/>
    <mergeCell ref="AY186:AY192"/>
    <mergeCell ref="AZ186:AZ192"/>
    <mergeCell ref="BA186:BA192"/>
    <mergeCell ref="BB186:BB192"/>
    <mergeCell ref="BC186:BC192"/>
    <mergeCell ref="BD186:BD192"/>
    <mergeCell ref="AS186:AS192"/>
    <mergeCell ref="AT186:AT192"/>
    <mergeCell ref="AU186:AU192"/>
    <mergeCell ref="AV186:AV192"/>
    <mergeCell ref="AW186:AW192"/>
    <mergeCell ref="AX186:AX192"/>
    <mergeCell ref="AM186:AM192"/>
    <mergeCell ref="AN186:AN192"/>
  </mergeCells>
  <conditionalFormatting sqref="AC123:AC129">
    <cfRule type="cellIs" dxfId="12" priority="1" operator="lessThan">
      <formula>0</formula>
    </cfRule>
  </conditionalFormatting>
  <pageMargins left="0.7" right="0.7" top="0.75" bottom="0.75" header="0.3" footer="0.3"/>
  <pageSetup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297"/>
  <sheetViews>
    <sheetView showGridLines="0" zoomScale="70" zoomScaleNormal="70" workbookViewId="0">
      <selection sqref="A1:BS4"/>
    </sheetView>
  </sheetViews>
  <sheetFormatPr baseColWidth="10" defaultRowHeight="15" x14ac:dyDescent="0.25"/>
  <cols>
    <col min="1" max="1" width="14" customWidth="1"/>
    <col min="2" max="2" width="16.140625" customWidth="1"/>
    <col min="3" max="3" width="16.42578125" customWidth="1"/>
    <col min="4" max="5" width="15.140625" customWidth="1"/>
    <col min="6" max="6" width="16.42578125" customWidth="1"/>
    <col min="7" max="7" width="16.85546875" customWidth="1"/>
    <col min="8" max="8" width="47.85546875" style="1702" customWidth="1"/>
    <col min="9" max="9" width="20.5703125" customWidth="1"/>
    <col min="10" max="10" width="44.7109375" customWidth="1"/>
    <col min="11" max="11" width="21.5703125" customWidth="1"/>
    <col min="12" max="12" width="37.42578125" customWidth="1"/>
    <col min="13" max="13" width="22" customWidth="1"/>
    <col min="14" max="14" width="39.7109375" customWidth="1"/>
    <col min="15" max="15" width="23.42578125" customWidth="1"/>
    <col min="16" max="16" width="20.85546875" customWidth="1"/>
    <col min="17" max="17" width="24" customWidth="1"/>
    <col min="18" max="18" width="39.7109375" customWidth="1"/>
    <col min="19" max="19" width="18.140625" customWidth="1"/>
    <col min="20" max="20" width="32.85546875" customWidth="1"/>
    <col min="21" max="21" width="33.5703125" customWidth="1"/>
    <col min="22" max="22" width="35.85546875" customWidth="1"/>
    <col min="23" max="23" width="87.85546875" style="1702" customWidth="1"/>
    <col min="24" max="24" width="35.28515625" customWidth="1"/>
    <col min="25" max="25" width="33.5703125" customWidth="1"/>
    <col min="26" max="26" width="30.42578125" customWidth="1"/>
    <col min="27" max="27" width="65.85546875" customWidth="1"/>
    <col min="28" max="28" width="18" customWidth="1"/>
    <col min="29" max="29" width="21.7109375" customWidth="1"/>
    <col min="30" max="61" width="13.42578125" customWidth="1"/>
    <col min="62" max="62" width="19.5703125" customWidth="1"/>
    <col min="63" max="63" width="33.42578125" customWidth="1"/>
    <col min="64" max="64" width="32.140625" customWidth="1"/>
    <col min="65" max="65" width="19.85546875" customWidth="1"/>
    <col min="66" max="66" width="15.28515625" customWidth="1"/>
    <col min="67" max="67" width="16.5703125" customWidth="1"/>
    <col min="68" max="68" width="24" customWidth="1"/>
    <col min="69" max="71" width="16.7109375" customWidth="1"/>
    <col min="72" max="72" width="19.7109375" customWidth="1"/>
    <col min="73" max="73" width="22.85546875" customWidth="1"/>
  </cols>
  <sheetData>
    <row r="1" spans="1:93" s="3" customFormat="1" ht="29.25" customHeight="1" x14ac:dyDescent="0.25">
      <c r="A1" s="2518" t="s">
        <v>1972</v>
      </c>
      <c r="B1" s="2518"/>
      <c r="C1" s="2518"/>
      <c r="D1" s="2518"/>
      <c r="E1" s="2518"/>
      <c r="F1" s="2518"/>
      <c r="G1" s="2518"/>
      <c r="H1" s="2518"/>
      <c r="I1" s="2518"/>
      <c r="J1" s="2518"/>
      <c r="K1" s="2518"/>
      <c r="L1" s="2518"/>
      <c r="M1" s="2518"/>
      <c r="N1" s="2518"/>
      <c r="O1" s="2518"/>
      <c r="P1" s="2518"/>
      <c r="Q1" s="2518"/>
      <c r="R1" s="2518"/>
      <c r="S1" s="2518"/>
      <c r="T1" s="2518"/>
      <c r="U1" s="2518"/>
      <c r="V1" s="2518"/>
      <c r="W1" s="2518"/>
      <c r="X1" s="2518"/>
      <c r="Y1" s="2518"/>
      <c r="Z1" s="2518"/>
      <c r="AA1" s="2518"/>
      <c r="AB1" s="2518"/>
      <c r="AC1" s="2518"/>
      <c r="AD1" s="2518"/>
      <c r="AE1" s="2518"/>
      <c r="AF1" s="2518"/>
      <c r="AG1" s="2518"/>
      <c r="AH1" s="2518"/>
      <c r="AI1" s="2518"/>
      <c r="AJ1" s="2518"/>
      <c r="AK1" s="2518"/>
      <c r="AL1" s="2518"/>
      <c r="AM1" s="2518"/>
      <c r="AN1" s="2518"/>
      <c r="AO1" s="2518"/>
      <c r="AP1" s="2518"/>
      <c r="AQ1" s="2518"/>
      <c r="AR1" s="2518"/>
      <c r="AS1" s="2518"/>
      <c r="AT1" s="2518"/>
      <c r="AU1" s="2518"/>
      <c r="AV1" s="2518"/>
      <c r="AW1" s="2518"/>
      <c r="AX1" s="2518"/>
      <c r="AY1" s="2518"/>
      <c r="AZ1" s="2518"/>
      <c r="BA1" s="2518"/>
      <c r="BB1" s="2518"/>
      <c r="BC1" s="2518"/>
      <c r="BD1" s="2518"/>
      <c r="BE1" s="2518"/>
      <c r="BF1" s="2518"/>
      <c r="BG1" s="2518"/>
      <c r="BH1" s="2518"/>
      <c r="BI1" s="2518"/>
      <c r="BJ1" s="2518"/>
      <c r="BK1" s="2518"/>
      <c r="BL1" s="2518"/>
      <c r="BM1" s="2518"/>
      <c r="BN1" s="2518"/>
      <c r="BO1" s="2518"/>
      <c r="BP1" s="2518"/>
      <c r="BQ1" s="2518"/>
      <c r="BR1" s="2518"/>
      <c r="BS1" s="2733"/>
      <c r="BT1" s="1563" t="s">
        <v>0</v>
      </c>
      <c r="BU1" s="1438" t="s">
        <v>1</v>
      </c>
      <c r="BV1" s="2"/>
      <c r="BW1" s="2"/>
      <c r="BX1" s="2"/>
      <c r="BY1" s="2"/>
      <c r="BZ1" s="2"/>
      <c r="CA1" s="2"/>
      <c r="CB1" s="2"/>
      <c r="CC1" s="2"/>
      <c r="CD1" s="2"/>
      <c r="CE1" s="2"/>
      <c r="CF1" s="2"/>
      <c r="CG1" s="2"/>
      <c r="CH1" s="2"/>
      <c r="CI1" s="2"/>
      <c r="CJ1" s="2"/>
      <c r="CK1" s="2"/>
      <c r="CL1" s="2"/>
      <c r="CM1" s="2"/>
      <c r="CN1" s="2"/>
      <c r="CO1" s="2"/>
    </row>
    <row r="2" spans="1:93" s="3" customFormat="1" ht="29.25" customHeight="1" x14ac:dyDescent="0.25">
      <c r="A2" s="2518"/>
      <c r="B2" s="2518"/>
      <c r="C2" s="2518"/>
      <c r="D2" s="2518"/>
      <c r="E2" s="2518"/>
      <c r="F2" s="2518"/>
      <c r="G2" s="2518"/>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2518"/>
      <c r="BC2" s="2518"/>
      <c r="BD2" s="2518"/>
      <c r="BE2" s="2518"/>
      <c r="BF2" s="2518"/>
      <c r="BG2" s="2518"/>
      <c r="BH2" s="2518"/>
      <c r="BI2" s="2518"/>
      <c r="BJ2" s="2518"/>
      <c r="BK2" s="2518"/>
      <c r="BL2" s="2518"/>
      <c r="BM2" s="2518"/>
      <c r="BN2" s="2518"/>
      <c r="BO2" s="2518"/>
      <c r="BP2" s="2518"/>
      <c r="BQ2" s="2518"/>
      <c r="BR2" s="2518"/>
      <c r="BS2" s="2733"/>
      <c r="BT2" s="1563" t="s">
        <v>2</v>
      </c>
      <c r="BU2" s="1564">
        <v>8</v>
      </c>
      <c r="BV2" s="2"/>
      <c r="BW2" s="2"/>
      <c r="BX2" s="2"/>
      <c r="BY2" s="2"/>
      <c r="BZ2" s="2"/>
      <c r="CA2" s="2"/>
      <c r="CB2" s="2"/>
      <c r="CC2" s="2"/>
      <c r="CD2" s="2"/>
      <c r="CE2" s="2"/>
      <c r="CF2" s="2"/>
      <c r="CG2" s="2"/>
      <c r="CH2" s="2"/>
      <c r="CI2" s="2"/>
      <c r="CJ2" s="2"/>
      <c r="CK2" s="2"/>
      <c r="CL2" s="2"/>
      <c r="CM2" s="2"/>
      <c r="CN2" s="2"/>
      <c r="CO2" s="2"/>
    </row>
    <row r="3" spans="1:93" s="3" customFormat="1" ht="29.25" customHeight="1" x14ac:dyDescent="0.25">
      <c r="A3" s="2518"/>
      <c r="B3" s="2518"/>
      <c r="C3" s="2518"/>
      <c r="D3" s="2518"/>
      <c r="E3" s="2518"/>
      <c r="F3" s="2518"/>
      <c r="G3" s="2518"/>
      <c r="H3" s="2518"/>
      <c r="I3" s="2518"/>
      <c r="J3" s="2518"/>
      <c r="K3" s="2518"/>
      <c r="L3" s="2518"/>
      <c r="M3" s="2518"/>
      <c r="N3" s="2518"/>
      <c r="O3" s="2518"/>
      <c r="P3" s="2518"/>
      <c r="Q3" s="2518"/>
      <c r="R3" s="2518"/>
      <c r="S3" s="2518"/>
      <c r="T3" s="2518"/>
      <c r="U3" s="2518"/>
      <c r="V3" s="2518"/>
      <c r="W3" s="2518"/>
      <c r="X3" s="2518"/>
      <c r="Y3" s="2518"/>
      <c r="Z3" s="2518"/>
      <c r="AA3" s="2518"/>
      <c r="AB3" s="2518"/>
      <c r="AC3" s="2518"/>
      <c r="AD3" s="2518"/>
      <c r="AE3" s="2518"/>
      <c r="AF3" s="2518"/>
      <c r="AG3" s="2518"/>
      <c r="AH3" s="2518"/>
      <c r="AI3" s="2518"/>
      <c r="AJ3" s="2518"/>
      <c r="AK3" s="2518"/>
      <c r="AL3" s="2518"/>
      <c r="AM3" s="2518"/>
      <c r="AN3" s="2518"/>
      <c r="AO3" s="2518"/>
      <c r="AP3" s="2518"/>
      <c r="AQ3" s="2518"/>
      <c r="AR3" s="2518"/>
      <c r="AS3" s="2518"/>
      <c r="AT3" s="2518"/>
      <c r="AU3" s="2518"/>
      <c r="AV3" s="2518"/>
      <c r="AW3" s="2518"/>
      <c r="AX3" s="2518"/>
      <c r="AY3" s="2518"/>
      <c r="AZ3" s="2518"/>
      <c r="BA3" s="2518"/>
      <c r="BB3" s="2518"/>
      <c r="BC3" s="2518"/>
      <c r="BD3" s="2518"/>
      <c r="BE3" s="2518"/>
      <c r="BF3" s="2518"/>
      <c r="BG3" s="2518"/>
      <c r="BH3" s="2518"/>
      <c r="BI3" s="2518"/>
      <c r="BJ3" s="2518"/>
      <c r="BK3" s="2518"/>
      <c r="BL3" s="2518"/>
      <c r="BM3" s="2518"/>
      <c r="BN3" s="2518"/>
      <c r="BO3" s="2518"/>
      <c r="BP3" s="2518"/>
      <c r="BQ3" s="2518"/>
      <c r="BR3" s="2518"/>
      <c r="BS3" s="2733"/>
      <c r="BT3" s="1563" t="s">
        <v>4</v>
      </c>
      <c r="BU3" s="818">
        <v>44266</v>
      </c>
      <c r="BV3" s="2"/>
      <c r="BW3" s="2"/>
      <c r="BX3" s="2"/>
      <c r="BY3" s="2"/>
      <c r="BZ3" s="2"/>
      <c r="CA3" s="2"/>
      <c r="CB3" s="2"/>
      <c r="CC3" s="2"/>
      <c r="CD3" s="2"/>
      <c r="CE3" s="2"/>
      <c r="CF3" s="2"/>
      <c r="CG3" s="2"/>
      <c r="CH3" s="2"/>
      <c r="CI3" s="2"/>
      <c r="CJ3" s="2"/>
      <c r="CK3" s="2"/>
      <c r="CL3" s="2"/>
      <c r="CM3" s="2"/>
      <c r="CN3" s="2"/>
      <c r="CO3" s="2"/>
    </row>
    <row r="4" spans="1:93" s="3" customFormat="1" ht="29.25" customHeight="1" x14ac:dyDescent="0.25">
      <c r="A4" s="3585"/>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2734"/>
      <c r="BT4" s="1565" t="s">
        <v>5</v>
      </c>
      <c r="BU4" s="1566" t="s">
        <v>6</v>
      </c>
      <c r="BV4" s="2"/>
      <c r="BW4" s="2"/>
      <c r="BX4" s="2"/>
      <c r="BY4" s="2"/>
      <c r="BZ4" s="2"/>
      <c r="CA4" s="2"/>
      <c r="CB4" s="2"/>
      <c r="CC4" s="2"/>
      <c r="CD4" s="2"/>
      <c r="CE4" s="2"/>
      <c r="CF4" s="2"/>
      <c r="CG4" s="2"/>
      <c r="CH4" s="2"/>
      <c r="CI4" s="2"/>
      <c r="CJ4" s="2"/>
      <c r="CK4" s="2"/>
      <c r="CL4" s="2"/>
      <c r="CM4" s="2"/>
      <c r="CN4" s="2"/>
      <c r="CO4" s="2"/>
    </row>
    <row r="5" spans="1:93" s="3" customFormat="1" ht="27.75" customHeight="1" x14ac:dyDescent="0.25">
      <c r="A5" s="2370" t="s">
        <v>1973</v>
      </c>
      <c r="B5" s="2370"/>
      <c r="C5" s="2370"/>
      <c r="D5" s="2370"/>
      <c r="E5" s="2370"/>
      <c r="F5" s="2370"/>
      <c r="G5" s="2370"/>
      <c r="H5" s="2370"/>
      <c r="I5" s="2370"/>
      <c r="J5" s="2370"/>
      <c r="K5" s="2370"/>
      <c r="L5" s="2370"/>
      <c r="M5" s="2370"/>
      <c r="N5" s="2370"/>
      <c r="O5" s="2370"/>
      <c r="P5" s="2370"/>
      <c r="Q5" s="1483"/>
      <c r="R5" s="1483"/>
      <c r="S5" s="1483"/>
      <c r="T5" s="1483"/>
      <c r="U5" s="1483"/>
      <c r="V5" s="1483"/>
      <c r="W5" s="1567"/>
      <c r="X5" s="1483"/>
      <c r="Y5" s="1483"/>
      <c r="Z5" s="1483"/>
      <c r="AA5" s="1483"/>
      <c r="AB5" s="1483"/>
      <c r="AC5" s="1483"/>
      <c r="AD5" s="1483"/>
      <c r="AE5" s="1483"/>
      <c r="AF5" s="1483"/>
      <c r="AG5" s="1483"/>
      <c r="AH5" s="1483"/>
      <c r="AI5" s="1483"/>
      <c r="AJ5" s="1483"/>
      <c r="AK5" s="1483"/>
      <c r="AL5" s="1483"/>
      <c r="AM5" s="1483"/>
      <c r="AN5" s="1483"/>
      <c r="AO5" s="1483"/>
      <c r="AP5" s="1483"/>
      <c r="AQ5" s="1483"/>
      <c r="AR5" s="1483"/>
      <c r="AS5" s="1483"/>
      <c r="AT5" s="1483"/>
      <c r="AU5" s="1483"/>
      <c r="AV5" s="1483"/>
      <c r="AW5" s="1483"/>
      <c r="AX5" s="1483"/>
      <c r="AY5" s="1483"/>
      <c r="AZ5" s="1483"/>
      <c r="BA5" s="1483"/>
      <c r="BB5" s="1483"/>
      <c r="BC5" s="1483"/>
      <c r="BD5" s="1483"/>
      <c r="BE5" s="1483"/>
      <c r="BF5" s="1483"/>
      <c r="BG5" s="1483"/>
      <c r="BH5" s="1483"/>
      <c r="BI5" s="1483"/>
      <c r="BJ5" s="1483"/>
      <c r="BK5" s="1483"/>
      <c r="BL5" s="1483"/>
      <c r="BM5" s="1483"/>
      <c r="BN5" s="1483"/>
      <c r="BO5" s="1483"/>
      <c r="BP5" s="1483"/>
      <c r="BQ5" s="1483"/>
      <c r="BR5" s="1483"/>
      <c r="BS5" s="1483"/>
      <c r="BT5" s="1483"/>
      <c r="BU5" s="1479"/>
      <c r="BV5" s="2"/>
      <c r="BW5" s="2"/>
      <c r="BX5" s="2"/>
      <c r="BY5" s="2"/>
      <c r="BZ5" s="2"/>
      <c r="CA5" s="2"/>
      <c r="CB5" s="2"/>
      <c r="CC5" s="2"/>
      <c r="CD5" s="2"/>
      <c r="CE5" s="2"/>
      <c r="CF5" s="2"/>
      <c r="CG5" s="2"/>
      <c r="CH5" s="2"/>
      <c r="CI5" s="2"/>
      <c r="CJ5" s="2"/>
      <c r="CK5" s="2"/>
      <c r="CL5" s="2"/>
      <c r="CM5" s="2"/>
      <c r="CN5" s="2"/>
      <c r="CO5" s="2"/>
    </row>
    <row r="6" spans="1:93" s="3" customFormat="1" ht="23.25" customHeight="1" x14ac:dyDescent="0.25">
      <c r="A6" s="2370"/>
      <c r="B6" s="2370"/>
      <c r="C6" s="2370"/>
      <c r="D6" s="2370"/>
      <c r="E6" s="2370"/>
      <c r="F6" s="2370"/>
      <c r="G6" s="2370"/>
      <c r="H6" s="2370"/>
      <c r="I6" s="2370"/>
      <c r="J6" s="2370"/>
      <c r="K6" s="2370"/>
      <c r="L6" s="2370"/>
      <c r="M6" s="2370"/>
      <c r="N6" s="2370"/>
      <c r="O6" s="2370"/>
      <c r="P6" s="2370"/>
      <c r="Q6" s="1445"/>
      <c r="R6" s="1445"/>
      <c r="S6" s="1445"/>
      <c r="T6" s="1445"/>
      <c r="U6" s="1445"/>
      <c r="V6" s="1355"/>
      <c r="W6" s="1568"/>
      <c r="X6" s="1445"/>
      <c r="Y6" s="1445"/>
      <c r="Z6" s="1445"/>
      <c r="AA6" s="1436"/>
      <c r="AB6" s="1436"/>
      <c r="AC6" s="1436"/>
      <c r="AD6" s="3586" t="s">
        <v>8</v>
      </c>
      <c r="AE6" s="3587"/>
      <c r="AF6" s="3587"/>
      <c r="AG6" s="3587"/>
      <c r="AH6" s="3587"/>
      <c r="AI6" s="3587"/>
      <c r="AJ6" s="3587"/>
      <c r="AK6" s="3587"/>
      <c r="AL6" s="3587"/>
      <c r="AM6" s="3587"/>
      <c r="AN6" s="3587"/>
      <c r="AO6" s="3587"/>
      <c r="AP6" s="3587"/>
      <c r="AQ6" s="3587"/>
      <c r="AR6" s="3587"/>
      <c r="AS6" s="3587"/>
      <c r="AT6" s="3587"/>
      <c r="AU6" s="3587"/>
      <c r="AV6" s="3587"/>
      <c r="AW6" s="3587"/>
      <c r="AX6" s="3587"/>
      <c r="AY6" s="3587"/>
      <c r="AZ6" s="3587"/>
      <c r="BA6" s="3587"/>
      <c r="BB6" s="3587"/>
      <c r="BC6" s="3587"/>
      <c r="BD6" s="3587"/>
      <c r="BE6" s="3587"/>
      <c r="BF6" s="3587"/>
      <c r="BG6" s="3587"/>
      <c r="BH6" s="3587"/>
      <c r="BI6" s="1436"/>
      <c r="BJ6" s="1436"/>
      <c r="BK6" s="1436"/>
      <c r="BL6" s="1436"/>
      <c r="BM6" s="1436"/>
      <c r="BN6" s="1436"/>
      <c r="BO6" s="1436"/>
      <c r="BP6" s="1436"/>
      <c r="BQ6" s="1569"/>
      <c r="BR6" s="1569"/>
      <c r="BS6" s="1569"/>
      <c r="BT6" s="1569"/>
      <c r="BU6" s="1437"/>
      <c r="BV6" s="2"/>
      <c r="BW6" s="2"/>
      <c r="BX6" s="2"/>
      <c r="BY6" s="2"/>
      <c r="BZ6" s="2"/>
      <c r="CA6" s="2"/>
      <c r="CB6" s="2"/>
      <c r="CC6" s="2"/>
      <c r="CD6" s="2"/>
      <c r="CE6" s="2"/>
      <c r="CF6" s="2"/>
      <c r="CG6" s="2"/>
      <c r="CH6" s="2"/>
      <c r="CI6" s="2"/>
      <c r="CJ6" s="2"/>
      <c r="CK6" s="2"/>
      <c r="CL6" s="2"/>
      <c r="CM6" s="2"/>
      <c r="CN6" s="2"/>
      <c r="CO6" s="2"/>
    </row>
    <row r="7" spans="1:93" s="3" customFormat="1" ht="31.5" customHeight="1" x14ac:dyDescent="0.25">
      <c r="A7" s="4210" t="s">
        <v>9</v>
      </c>
      <c r="B7" s="2526"/>
      <c r="C7" s="2525" t="s">
        <v>10</v>
      </c>
      <c r="D7" s="4210"/>
      <c r="E7" s="2525" t="s">
        <v>11</v>
      </c>
      <c r="F7" s="2526"/>
      <c r="G7" s="2525" t="s">
        <v>12</v>
      </c>
      <c r="H7" s="4210"/>
      <c r="I7" s="4210"/>
      <c r="J7" s="4210"/>
      <c r="K7" s="2525" t="s">
        <v>13</v>
      </c>
      <c r="L7" s="4210"/>
      <c r="M7" s="4210"/>
      <c r="N7" s="4210"/>
      <c r="O7" s="4212" t="s">
        <v>14</v>
      </c>
      <c r="P7" s="4212"/>
      <c r="Q7" s="4221"/>
      <c r="R7" s="4221"/>
      <c r="S7" s="4221"/>
      <c r="T7" s="4221"/>
      <c r="U7" s="4221"/>
      <c r="V7" s="4221"/>
      <c r="W7" s="4221"/>
      <c r="X7" s="3590"/>
      <c r="Y7" s="4221"/>
      <c r="Z7" s="4221"/>
      <c r="AA7" s="4222" t="s">
        <v>15</v>
      </c>
      <c r="AB7" s="4222"/>
      <c r="AC7" s="4223"/>
      <c r="AD7" s="4224" t="s">
        <v>16</v>
      </c>
      <c r="AE7" s="4225"/>
      <c r="AF7" s="4225"/>
      <c r="AG7" s="4226"/>
      <c r="AH7" s="4227" t="s">
        <v>17</v>
      </c>
      <c r="AI7" s="4228"/>
      <c r="AJ7" s="4228"/>
      <c r="AK7" s="4228"/>
      <c r="AL7" s="4228"/>
      <c r="AM7" s="4229"/>
      <c r="AN7" s="4230" t="s">
        <v>18</v>
      </c>
      <c r="AO7" s="4231"/>
      <c r="AP7" s="4231"/>
      <c r="AQ7" s="4231"/>
      <c r="AR7" s="4231"/>
      <c r="AS7" s="4231"/>
      <c r="AT7" s="4231"/>
      <c r="AU7" s="4231"/>
      <c r="AV7" s="4231"/>
      <c r="AW7" s="4231"/>
      <c r="AX7" s="4231"/>
      <c r="AY7" s="4231"/>
      <c r="AZ7" s="4231"/>
      <c r="BA7" s="4232"/>
      <c r="BB7" s="4233" t="s">
        <v>19</v>
      </c>
      <c r="BC7" s="4233"/>
      <c r="BD7" s="4233"/>
      <c r="BE7" s="4233"/>
      <c r="BF7" s="4233"/>
      <c r="BG7" s="4233"/>
      <c r="BH7" s="4234" t="s">
        <v>20</v>
      </c>
      <c r="BI7" s="4235"/>
      <c r="BJ7" s="4238" t="s">
        <v>21</v>
      </c>
      <c r="BK7" s="4239"/>
      <c r="BL7" s="4239"/>
      <c r="BM7" s="4239"/>
      <c r="BN7" s="4239"/>
      <c r="BO7" s="4239"/>
      <c r="BP7" s="4240"/>
      <c r="BQ7" s="4213" t="s">
        <v>1031</v>
      </c>
      <c r="BR7" s="4214"/>
      <c r="BS7" s="4217" t="s">
        <v>1032</v>
      </c>
      <c r="BT7" s="4214"/>
      <c r="BU7" s="2380" t="s">
        <v>24</v>
      </c>
      <c r="BV7" s="2"/>
      <c r="BW7" s="2"/>
      <c r="BX7" s="2"/>
      <c r="BY7" s="2"/>
      <c r="BZ7" s="2"/>
      <c r="CA7" s="2"/>
      <c r="CB7" s="2"/>
      <c r="CC7" s="2"/>
      <c r="CD7" s="2"/>
      <c r="CE7" s="2"/>
      <c r="CF7" s="2"/>
      <c r="CG7" s="2"/>
      <c r="CH7" s="2"/>
      <c r="CI7" s="2"/>
      <c r="CJ7" s="2"/>
      <c r="CK7" s="2"/>
      <c r="CL7" s="2"/>
      <c r="CM7" s="2"/>
      <c r="CN7" s="2"/>
      <c r="CO7" s="2"/>
    </row>
    <row r="8" spans="1:93" s="3" customFormat="1" ht="142.5" customHeight="1" x14ac:dyDescent="0.25">
      <c r="A8" s="2536" t="s">
        <v>25</v>
      </c>
      <c r="B8" s="2505"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3363" t="s">
        <v>130</v>
      </c>
      <c r="P8" s="3363"/>
      <c r="Q8" s="3356" t="s">
        <v>35</v>
      </c>
      <c r="R8" s="3356" t="s">
        <v>36</v>
      </c>
      <c r="S8" s="3365" t="s">
        <v>37</v>
      </c>
      <c r="T8" s="3366" t="s">
        <v>38</v>
      </c>
      <c r="U8" s="3356" t="s">
        <v>39</v>
      </c>
      <c r="V8" s="3356" t="s">
        <v>40</v>
      </c>
      <c r="W8" s="4241" t="s">
        <v>41</v>
      </c>
      <c r="X8" s="4242" t="s">
        <v>1974</v>
      </c>
      <c r="Y8" s="4242"/>
      <c r="Z8" s="4243"/>
      <c r="AA8" s="2505" t="s">
        <v>1034</v>
      </c>
      <c r="AB8" s="2343" t="s">
        <v>44</v>
      </c>
      <c r="AC8" s="3356" t="s">
        <v>26</v>
      </c>
      <c r="AD8" s="2358" t="s">
        <v>45</v>
      </c>
      <c r="AE8" s="2359"/>
      <c r="AF8" s="2341" t="s">
        <v>46</v>
      </c>
      <c r="AG8" s="2342"/>
      <c r="AH8" s="4244" t="s">
        <v>47</v>
      </c>
      <c r="AI8" s="4245"/>
      <c r="AJ8" s="2358" t="s">
        <v>48</v>
      </c>
      <c r="AK8" s="2359"/>
      <c r="AL8" s="2358" t="s">
        <v>49</v>
      </c>
      <c r="AM8" s="2359"/>
      <c r="AN8" s="2358" t="s">
        <v>50</v>
      </c>
      <c r="AO8" s="2359"/>
      <c r="AP8" s="2358" t="s">
        <v>51</v>
      </c>
      <c r="AQ8" s="2359"/>
      <c r="AR8" s="2358" t="s">
        <v>52</v>
      </c>
      <c r="AS8" s="2359"/>
      <c r="AT8" s="2358" t="s">
        <v>53</v>
      </c>
      <c r="AU8" s="2359"/>
      <c r="AV8" s="2358" t="s">
        <v>54</v>
      </c>
      <c r="AW8" s="2359"/>
      <c r="AX8" s="2358" t="s">
        <v>55</v>
      </c>
      <c r="AY8" s="2359"/>
      <c r="AZ8" s="2358" t="s">
        <v>56</v>
      </c>
      <c r="BA8" s="2359"/>
      <c r="BB8" s="3368" t="s">
        <v>57</v>
      </c>
      <c r="BC8" s="3369"/>
      <c r="BD8" s="3368" t="s">
        <v>58</v>
      </c>
      <c r="BE8" s="3369"/>
      <c r="BF8" s="3370" t="s">
        <v>59</v>
      </c>
      <c r="BG8" s="3371"/>
      <c r="BH8" s="4236"/>
      <c r="BI8" s="4237"/>
      <c r="BJ8" s="2336" t="s">
        <v>60</v>
      </c>
      <c r="BK8" s="2499" t="s">
        <v>136</v>
      </c>
      <c r="BL8" s="2336" t="s">
        <v>137</v>
      </c>
      <c r="BM8" s="2501" t="s">
        <v>63</v>
      </c>
      <c r="BN8" s="2334" t="s">
        <v>64</v>
      </c>
      <c r="BO8" s="2335"/>
      <c r="BP8" s="2336" t="s">
        <v>65</v>
      </c>
      <c r="BQ8" s="4215"/>
      <c r="BR8" s="4216"/>
      <c r="BS8" s="4218"/>
      <c r="BT8" s="4216"/>
      <c r="BU8" s="2381"/>
      <c r="BV8" s="2"/>
      <c r="BW8" s="2"/>
      <c r="BX8" s="2"/>
      <c r="BY8" s="2"/>
      <c r="BZ8" s="2"/>
      <c r="CA8" s="2"/>
      <c r="CB8" s="2"/>
      <c r="CC8" s="2"/>
      <c r="CD8" s="2"/>
      <c r="CE8" s="2"/>
      <c r="CF8" s="2"/>
      <c r="CG8" s="2"/>
      <c r="CH8" s="2"/>
      <c r="CI8" s="2"/>
      <c r="CJ8" s="2"/>
      <c r="CK8" s="2"/>
      <c r="CL8" s="2"/>
      <c r="CM8" s="2"/>
      <c r="CN8" s="2"/>
      <c r="CO8" s="2"/>
    </row>
    <row r="9" spans="1:93" s="3" customFormat="1" ht="45" customHeight="1" x14ac:dyDescent="0.25">
      <c r="A9" s="2537"/>
      <c r="B9" s="2506"/>
      <c r="C9" s="2343"/>
      <c r="D9" s="3356"/>
      <c r="E9" s="3356"/>
      <c r="F9" s="3356"/>
      <c r="G9" s="3356"/>
      <c r="H9" s="3356"/>
      <c r="I9" s="3356"/>
      <c r="J9" s="3356"/>
      <c r="K9" s="3356"/>
      <c r="L9" s="3356"/>
      <c r="M9" s="3356"/>
      <c r="N9" s="3356"/>
      <c r="O9" s="1468" t="s">
        <v>138</v>
      </c>
      <c r="P9" s="1482" t="s">
        <v>139</v>
      </c>
      <c r="Q9" s="3356"/>
      <c r="R9" s="3356"/>
      <c r="S9" s="3365"/>
      <c r="T9" s="3366"/>
      <c r="U9" s="3356"/>
      <c r="V9" s="3356"/>
      <c r="W9" s="4241"/>
      <c r="X9" s="1570" t="s">
        <v>68</v>
      </c>
      <c r="Y9" s="775" t="s">
        <v>69</v>
      </c>
      <c r="Z9" s="775" t="s">
        <v>70</v>
      </c>
      <c r="AA9" s="2506"/>
      <c r="AB9" s="2343"/>
      <c r="AC9" s="3356"/>
      <c r="AD9" s="774" t="s">
        <v>66</v>
      </c>
      <c r="AE9" s="775" t="s">
        <v>67</v>
      </c>
      <c r="AF9" s="775" t="s">
        <v>66</v>
      </c>
      <c r="AG9" s="775" t="s">
        <v>67</v>
      </c>
      <c r="AH9" s="775" t="s">
        <v>66</v>
      </c>
      <c r="AI9" s="775" t="s">
        <v>67</v>
      </c>
      <c r="AJ9" s="775" t="s">
        <v>66</v>
      </c>
      <c r="AK9" s="775" t="s">
        <v>67</v>
      </c>
      <c r="AL9" s="775" t="s">
        <v>66</v>
      </c>
      <c r="AM9" s="775" t="s">
        <v>67</v>
      </c>
      <c r="AN9" s="775" t="s">
        <v>66</v>
      </c>
      <c r="AO9" s="775" t="s">
        <v>67</v>
      </c>
      <c r="AP9" s="775" t="s">
        <v>66</v>
      </c>
      <c r="AQ9" s="775" t="s">
        <v>67</v>
      </c>
      <c r="AR9" s="775" t="s">
        <v>66</v>
      </c>
      <c r="AS9" s="775" t="s">
        <v>67</v>
      </c>
      <c r="AT9" s="775" t="s">
        <v>66</v>
      </c>
      <c r="AU9" s="775" t="s">
        <v>67</v>
      </c>
      <c r="AV9" s="775" t="s">
        <v>66</v>
      </c>
      <c r="AW9" s="775" t="s">
        <v>67</v>
      </c>
      <c r="AX9" s="775" t="s">
        <v>66</v>
      </c>
      <c r="AY9" s="775" t="s">
        <v>67</v>
      </c>
      <c r="AZ9" s="775" t="s">
        <v>66</v>
      </c>
      <c r="BA9" s="775" t="s">
        <v>67</v>
      </c>
      <c r="BB9" s="775" t="s">
        <v>66</v>
      </c>
      <c r="BC9" s="775" t="s">
        <v>67</v>
      </c>
      <c r="BD9" s="775" t="s">
        <v>66</v>
      </c>
      <c r="BE9" s="775" t="s">
        <v>67</v>
      </c>
      <c r="BF9" s="775" t="s">
        <v>66</v>
      </c>
      <c r="BG9" s="775" t="s">
        <v>67</v>
      </c>
      <c r="BH9" s="775" t="s">
        <v>66</v>
      </c>
      <c r="BI9" s="775" t="s">
        <v>67</v>
      </c>
      <c r="BJ9" s="2337"/>
      <c r="BK9" s="2500"/>
      <c r="BL9" s="2337"/>
      <c r="BM9" s="2502"/>
      <c r="BN9" s="15" t="s">
        <v>25</v>
      </c>
      <c r="BO9" s="1439" t="s">
        <v>26</v>
      </c>
      <c r="BP9" s="2337"/>
      <c r="BQ9" s="776" t="s">
        <v>66</v>
      </c>
      <c r="BR9" s="777" t="s">
        <v>67</v>
      </c>
      <c r="BS9" s="777" t="s">
        <v>66</v>
      </c>
      <c r="BT9" s="777" t="s">
        <v>67</v>
      </c>
      <c r="BU9" s="1571"/>
      <c r="BV9" s="2"/>
      <c r="BW9" s="2"/>
      <c r="BX9" s="2"/>
      <c r="BY9" s="2"/>
      <c r="BZ9" s="2"/>
      <c r="CA9" s="2"/>
      <c r="CB9" s="2"/>
      <c r="CC9" s="2"/>
      <c r="CD9" s="2"/>
      <c r="CE9" s="2"/>
      <c r="CF9" s="2"/>
      <c r="CG9" s="2"/>
      <c r="CH9" s="2"/>
      <c r="CI9" s="2"/>
      <c r="CJ9" s="2"/>
      <c r="CK9" s="2"/>
      <c r="CL9" s="2"/>
      <c r="CM9" s="2"/>
      <c r="CN9" s="2"/>
      <c r="CO9" s="2"/>
    </row>
    <row r="10" spans="1:93" s="3" customFormat="1" ht="27" customHeight="1" x14ac:dyDescent="0.25">
      <c r="A10" s="1572">
        <v>1</v>
      </c>
      <c r="B10" s="4204" t="s">
        <v>1975</v>
      </c>
      <c r="C10" s="3594"/>
      <c r="D10" s="3594"/>
      <c r="E10" s="3594"/>
      <c r="F10" s="3594"/>
      <c r="G10" s="3594"/>
      <c r="H10" s="1573"/>
      <c r="I10" s="820"/>
      <c r="J10" s="820"/>
      <c r="K10" s="823"/>
      <c r="L10" s="820"/>
      <c r="M10" s="820"/>
      <c r="N10" s="820"/>
      <c r="O10" s="820"/>
      <c r="P10" s="820"/>
      <c r="Q10" s="820"/>
      <c r="R10" s="820"/>
      <c r="S10" s="821"/>
      <c r="T10" s="822"/>
      <c r="U10" s="820"/>
      <c r="V10" s="820"/>
      <c r="W10" s="1573"/>
      <c r="X10" s="822"/>
      <c r="Y10" s="822"/>
      <c r="Z10" s="822"/>
      <c r="AA10" s="820"/>
      <c r="AB10" s="823"/>
      <c r="AC10" s="820"/>
      <c r="AD10" s="820"/>
      <c r="AE10" s="820"/>
      <c r="AF10" s="820"/>
      <c r="AG10" s="820"/>
      <c r="AH10" s="823"/>
      <c r="AI10" s="823"/>
      <c r="AJ10" s="820"/>
      <c r="AK10" s="820"/>
      <c r="AL10" s="820"/>
      <c r="AM10" s="820"/>
      <c r="AN10" s="820"/>
      <c r="AO10" s="820"/>
      <c r="AP10" s="820"/>
      <c r="AQ10" s="820"/>
      <c r="AR10" s="820"/>
      <c r="AS10" s="820"/>
      <c r="AT10" s="820"/>
      <c r="AU10" s="820"/>
      <c r="AV10" s="820"/>
      <c r="AW10" s="820"/>
      <c r="AX10" s="820"/>
      <c r="AY10" s="820"/>
      <c r="AZ10" s="820"/>
      <c r="BA10" s="820"/>
      <c r="BB10" s="820"/>
      <c r="BC10" s="820"/>
      <c r="BD10" s="820"/>
      <c r="BE10" s="820"/>
      <c r="BF10" s="820"/>
      <c r="BG10" s="820"/>
      <c r="BH10" s="820"/>
      <c r="BI10" s="820"/>
      <c r="BJ10" s="820"/>
      <c r="BK10" s="820"/>
      <c r="BL10" s="820"/>
      <c r="BM10" s="820"/>
      <c r="BN10" s="820"/>
      <c r="BO10" s="820"/>
      <c r="BP10" s="820"/>
      <c r="BQ10" s="1574"/>
      <c r="BR10" s="1574"/>
      <c r="BS10" s="1574"/>
      <c r="BT10" s="1574"/>
      <c r="BU10" s="825"/>
      <c r="BV10" s="2"/>
      <c r="BW10" s="2"/>
      <c r="BX10" s="2"/>
      <c r="BY10" s="2"/>
      <c r="BZ10" s="2"/>
      <c r="CA10" s="2"/>
      <c r="CB10" s="2"/>
      <c r="CC10" s="2"/>
      <c r="CD10" s="2"/>
      <c r="CE10" s="2"/>
      <c r="CF10" s="2"/>
      <c r="CG10" s="2"/>
      <c r="CH10" s="2"/>
      <c r="CI10" s="2"/>
      <c r="CJ10" s="2"/>
      <c r="CK10" s="2"/>
      <c r="CL10" s="2"/>
      <c r="CM10" s="2"/>
      <c r="CN10" s="2"/>
      <c r="CO10" s="2"/>
    </row>
    <row r="11" spans="1:93" s="3" customFormat="1" ht="27" customHeight="1" x14ac:dyDescent="0.25">
      <c r="A11" s="911"/>
      <c r="B11" s="1469"/>
      <c r="C11" s="31">
        <v>19</v>
      </c>
      <c r="D11" s="1273" t="s">
        <v>427</v>
      </c>
      <c r="E11" s="1575"/>
      <c r="F11" s="1575"/>
      <c r="G11" s="1575"/>
      <c r="H11" s="1575"/>
      <c r="I11" s="1575"/>
      <c r="J11" s="33"/>
      <c r="K11" s="38"/>
      <c r="L11" s="33"/>
      <c r="M11" s="33"/>
      <c r="N11" s="33"/>
      <c r="O11" s="33"/>
      <c r="P11" s="33"/>
      <c r="Q11" s="33"/>
      <c r="R11" s="33"/>
      <c r="S11" s="35"/>
      <c r="T11" s="37"/>
      <c r="U11" s="33"/>
      <c r="V11" s="33"/>
      <c r="W11" s="1576"/>
      <c r="X11" s="37"/>
      <c r="Y11" s="37"/>
      <c r="Z11" s="37"/>
      <c r="AA11" s="33"/>
      <c r="AB11" s="38"/>
      <c r="AC11" s="33"/>
      <c r="AD11" s="33"/>
      <c r="AE11" s="33"/>
      <c r="AF11" s="33"/>
      <c r="AG11" s="33"/>
      <c r="AH11" s="38"/>
      <c r="AI11" s="38"/>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1577"/>
      <c r="BR11" s="1577"/>
      <c r="BS11" s="1577"/>
      <c r="BT11" s="1577"/>
      <c r="BU11" s="386"/>
    </row>
    <row r="12" spans="1:93" s="3" customFormat="1" ht="27" customHeight="1" x14ac:dyDescent="0.25">
      <c r="A12" s="1578"/>
      <c r="B12" s="1579"/>
      <c r="C12" s="911"/>
      <c r="D12" s="912"/>
      <c r="E12" s="854">
        <v>1903</v>
      </c>
      <c r="F12" s="4246" t="s">
        <v>1976</v>
      </c>
      <c r="G12" s="3724"/>
      <c r="H12" s="3724"/>
      <c r="I12" s="3724"/>
      <c r="J12" s="3724"/>
      <c r="K12" s="3724"/>
      <c r="L12" s="848"/>
      <c r="M12" s="848"/>
      <c r="N12" s="848"/>
      <c r="O12" s="848"/>
      <c r="P12" s="848"/>
      <c r="Q12" s="848"/>
      <c r="R12" s="848"/>
      <c r="S12" s="849"/>
      <c r="T12" s="1486"/>
      <c r="U12" s="848"/>
      <c r="V12" s="848"/>
      <c r="W12" s="1580"/>
      <c r="X12" s="1486"/>
      <c r="Y12" s="1486"/>
      <c r="Z12" s="1486"/>
      <c r="AA12" s="57"/>
      <c r="AB12" s="852"/>
      <c r="AC12" s="848"/>
      <c r="AD12" s="848"/>
      <c r="AE12" s="848"/>
      <c r="AF12" s="848"/>
      <c r="AG12" s="848"/>
      <c r="AH12" s="852"/>
      <c r="AI12" s="852"/>
      <c r="AJ12" s="848"/>
      <c r="AK12" s="848"/>
      <c r="AL12" s="848"/>
      <c r="AM12" s="848"/>
      <c r="AN12" s="848"/>
      <c r="AO12" s="848"/>
      <c r="AP12" s="848"/>
      <c r="AQ12" s="848"/>
      <c r="AR12" s="848"/>
      <c r="AS12" s="848"/>
      <c r="AT12" s="848"/>
      <c r="AU12" s="848"/>
      <c r="AV12" s="848"/>
      <c r="AW12" s="848"/>
      <c r="AX12" s="848"/>
      <c r="AY12" s="848"/>
      <c r="AZ12" s="848"/>
      <c r="BA12" s="848"/>
      <c r="BB12" s="848"/>
      <c r="BC12" s="848"/>
      <c r="BD12" s="848"/>
      <c r="BE12" s="848"/>
      <c r="BF12" s="848"/>
      <c r="BG12" s="848"/>
      <c r="BH12" s="848"/>
      <c r="BI12" s="848"/>
      <c r="BJ12" s="848"/>
      <c r="BK12" s="848"/>
      <c r="BL12" s="848"/>
      <c r="BM12" s="848"/>
      <c r="BN12" s="848"/>
      <c r="BO12" s="848"/>
      <c r="BP12" s="848"/>
      <c r="BQ12" s="1581"/>
      <c r="BR12" s="1581"/>
      <c r="BS12" s="1581"/>
      <c r="BT12" s="1581"/>
      <c r="BU12" s="854"/>
    </row>
    <row r="13" spans="1:93" s="3" customFormat="1" ht="76.5" customHeight="1" x14ac:dyDescent="0.25">
      <c r="A13" s="1578"/>
      <c r="B13" s="1579"/>
      <c r="C13" s="410"/>
      <c r="D13" s="411"/>
      <c r="E13" s="1365"/>
      <c r="F13" s="1365"/>
      <c r="G13" s="3601">
        <v>1903009</v>
      </c>
      <c r="H13" s="2703" t="s">
        <v>1977</v>
      </c>
      <c r="I13" s="3601">
        <v>1903009</v>
      </c>
      <c r="J13" s="2703" t="s">
        <v>1978</v>
      </c>
      <c r="K13" s="3464">
        <v>190300900</v>
      </c>
      <c r="L13" s="2703" t="s">
        <v>1979</v>
      </c>
      <c r="M13" s="3464">
        <v>190300900</v>
      </c>
      <c r="N13" s="2703" t="s">
        <v>1980</v>
      </c>
      <c r="O13" s="3601">
        <v>600</v>
      </c>
      <c r="P13" s="4261">
        <v>465</v>
      </c>
      <c r="Q13" s="3601" t="s">
        <v>1981</v>
      </c>
      <c r="R13" s="2703" t="s">
        <v>1982</v>
      </c>
      <c r="S13" s="2464">
        <f>SUM(X13:X15)/T13</f>
        <v>2.249477175495207E-2</v>
      </c>
      <c r="T13" s="4253">
        <f>SUM(X13:X46)</f>
        <v>1689281421.21</v>
      </c>
      <c r="U13" s="2703" t="s">
        <v>1983</v>
      </c>
      <c r="V13" s="2783" t="s">
        <v>1984</v>
      </c>
      <c r="W13" s="1457" t="s">
        <v>1985</v>
      </c>
      <c r="X13" s="1582">
        <v>10000000</v>
      </c>
      <c r="Y13" s="1582">
        <v>5770000</v>
      </c>
      <c r="Z13" s="1582">
        <v>5770000</v>
      </c>
      <c r="AA13" s="1583" t="s">
        <v>1986</v>
      </c>
      <c r="AB13" s="1493">
        <v>61</v>
      </c>
      <c r="AC13" s="1450" t="s">
        <v>1987</v>
      </c>
      <c r="AD13" s="4251">
        <v>289394</v>
      </c>
      <c r="AE13" s="4251"/>
      <c r="AF13" s="4251">
        <v>279112</v>
      </c>
      <c r="AG13" s="4251"/>
      <c r="AH13" s="4251">
        <v>63164</v>
      </c>
      <c r="AI13" s="4251"/>
      <c r="AJ13" s="4251">
        <v>45607</v>
      </c>
      <c r="AK13" s="4251"/>
      <c r="AL13" s="4251">
        <v>365607</v>
      </c>
      <c r="AM13" s="4251"/>
      <c r="AN13" s="4251">
        <v>75612</v>
      </c>
      <c r="AO13" s="4251"/>
      <c r="AP13" s="4251">
        <v>2145</v>
      </c>
      <c r="AQ13" s="4251"/>
      <c r="AR13" s="4251">
        <v>12718</v>
      </c>
      <c r="AS13" s="4251"/>
      <c r="AT13" s="4251">
        <v>26</v>
      </c>
      <c r="AU13" s="4251"/>
      <c r="AV13" s="4251">
        <v>37</v>
      </c>
      <c r="AW13" s="4251"/>
      <c r="AX13" s="4251">
        <v>0</v>
      </c>
      <c r="AY13" s="4251"/>
      <c r="AZ13" s="4251">
        <v>0</v>
      </c>
      <c r="BA13" s="4251"/>
      <c r="BB13" s="4251">
        <v>78</v>
      </c>
      <c r="BC13" s="4251"/>
      <c r="BD13" s="4251">
        <v>16897</v>
      </c>
      <c r="BE13" s="4251"/>
      <c r="BF13" s="4251">
        <v>852</v>
      </c>
      <c r="BG13" s="4251"/>
      <c r="BH13" s="4251">
        <v>568506</v>
      </c>
      <c r="BI13" s="4251"/>
      <c r="BJ13" s="4251">
        <v>12</v>
      </c>
      <c r="BK13" s="4251">
        <f>SUM(Y13:Y46)</f>
        <v>336153642.32999998</v>
      </c>
      <c r="BL13" s="4251">
        <f>SUM(Z13:Z46)</f>
        <v>307663642.32999998</v>
      </c>
      <c r="BM13" s="4259">
        <f>BL13/BK13</f>
        <v>0.91524708819893863</v>
      </c>
      <c r="BN13" s="4251" t="s">
        <v>1988</v>
      </c>
      <c r="BO13" s="4251" t="s">
        <v>1989</v>
      </c>
      <c r="BP13" s="4251" t="s">
        <v>1990</v>
      </c>
      <c r="BQ13" s="4256">
        <v>44197</v>
      </c>
      <c r="BR13" s="4256">
        <v>44214</v>
      </c>
      <c r="BS13" s="4256">
        <v>44561</v>
      </c>
      <c r="BT13" s="4256">
        <v>44561</v>
      </c>
      <c r="BU13" s="3649" t="s">
        <v>1991</v>
      </c>
    </row>
    <row r="14" spans="1:93" s="3" customFormat="1" ht="52.5" customHeight="1" x14ac:dyDescent="0.25">
      <c r="A14" s="1578"/>
      <c r="B14" s="1579"/>
      <c r="C14" s="410"/>
      <c r="D14" s="411"/>
      <c r="E14" s="1365"/>
      <c r="F14" s="1365"/>
      <c r="G14" s="3385"/>
      <c r="H14" s="2476"/>
      <c r="I14" s="3385"/>
      <c r="J14" s="2476"/>
      <c r="K14" s="2728"/>
      <c r="L14" s="2476"/>
      <c r="M14" s="2728"/>
      <c r="N14" s="2476"/>
      <c r="O14" s="3385"/>
      <c r="P14" s="4248"/>
      <c r="Q14" s="3385"/>
      <c r="R14" s="2476"/>
      <c r="S14" s="3710"/>
      <c r="T14" s="4254"/>
      <c r="U14" s="2476"/>
      <c r="V14" s="2783"/>
      <c r="W14" s="1447" t="s">
        <v>1992</v>
      </c>
      <c r="X14" s="1584">
        <v>10000000</v>
      </c>
      <c r="Y14" s="1584">
        <v>5770000</v>
      </c>
      <c r="Z14" s="1584">
        <v>5770000</v>
      </c>
      <c r="AA14" s="1583" t="s">
        <v>1986</v>
      </c>
      <c r="AB14" s="1411">
        <v>61</v>
      </c>
      <c r="AC14" s="1450" t="s">
        <v>1987</v>
      </c>
      <c r="AD14" s="4251"/>
      <c r="AE14" s="4251"/>
      <c r="AF14" s="4251"/>
      <c r="AG14" s="4251"/>
      <c r="AH14" s="4251"/>
      <c r="AI14" s="4251"/>
      <c r="AJ14" s="4251"/>
      <c r="AK14" s="4251"/>
      <c r="AL14" s="4251"/>
      <c r="AM14" s="4251"/>
      <c r="AN14" s="4251"/>
      <c r="AO14" s="4251"/>
      <c r="AP14" s="4251"/>
      <c r="AQ14" s="4251"/>
      <c r="AR14" s="4251"/>
      <c r="AS14" s="4251"/>
      <c r="AT14" s="4251"/>
      <c r="AU14" s="4251"/>
      <c r="AV14" s="4251"/>
      <c r="AW14" s="4251"/>
      <c r="AX14" s="4251"/>
      <c r="AY14" s="4251"/>
      <c r="AZ14" s="4251"/>
      <c r="BA14" s="4251"/>
      <c r="BB14" s="4251"/>
      <c r="BC14" s="4251"/>
      <c r="BD14" s="4251"/>
      <c r="BE14" s="4251"/>
      <c r="BF14" s="4251"/>
      <c r="BG14" s="4251"/>
      <c r="BH14" s="4251"/>
      <c r="BI14" s="4251"/>
      <c r="BJ14" s="4251"/>
      <c r="BK14" s="4251"/>
      <c r="BL14" s="4251"/>
      <c r="BM14" s="4259"/>
      <c r="BN14" s="4251"/>
      <c r="BO14" s="4251"/>
      <c r="BP14" s="4251"/>
      <c r="BQ14" s="4256"/>
      <c r="BR14" s="4256"/>
      <c r="BS14" s="4256"/>
      <c r="BT14" s="4256"/>
      <c r="BU14" s="4255"/>
    </row>
    <row r="15" spans="1:93" s="3" customFormat="1" ht="77.25" customHeight="1" x14ac:dyDescent="0.25">
      <c r="A15" s="1578"/>
      <c r="B15" s="1579"/>
      <c r="C15" s="410"/>
      <c r="D15" s="411"/>
      <c r="E15" s="1365"/>
      <c r="F15" s="1477"/>
      <c r="G15" s="3385"/>
      <c r="H15" s="2476"/>
      <c r="I15" s="3385"/>
      <c r="J15" s="2476"/>
      <c r="K15" s="2728"/>
      <c r="L15" s="2476"/>
      <c r="M15" s="2728"/>
      <c r="N15" s="2476"/>
      <c r="O15" s="3385"/>
      <c r="P15" s="4249"/>
      <c r="Q15" s="3385"/>
      <c r="R15" s="2476"/>
      <c r="S15" s="3710"/>
      <c r="T15" s="4254"/>
      <c r="U15" s="2476"/>
      <c r="V15" s="2783"/>
      <c r="W15" s="1447" t="s">
        <v>1993</v>
      </c>
      <c r="X15" s="1584">
        <v>18000000</v>
      </c>
      <c r="Y15" s="1584">
        <v>11540000</v>
      </c>
      <c r="Z15" s="1584">
        <v>8655000</v>
      </c>
      <c r="AA15" s="1583" t="s">
        <v>1986</v>
      </c>
      <c r="AB15" s="1411">
        <v>61</v>
      </c>
      <c r="AC15" s="1450" t="s">
        <v>1987</v>
      </c>
      <c r="AD15" s="4251"/>
      <c r="AE15" s="4251"/>
      <c r="AF15" s="4251"/>
      <c r="AG15" s="4251"/>
      <c r="AH15" s="4251"/>
      <c r="AI15" s="4251"/>
      <c r="AJ15" s="4251"/>
      <c r="AK15" s="4251"/>
      <c r="AL15" s="4251"/>
      <c r="AM15" s="4251"/>
      <c r="AN15" s="4251"/>
      <c r="AO15" s="4251"/>
      <c r="AP15" s="4251"/>
      <c r="AQ15" s="4251"/>
      <c r="AR15" s="4251"/>
      <c r="AS15" s="4251"/>
      <c r="AT15" s="4251"/>
      <c r="AU15" s="4251"/>
      <c r="AV15" s="4251"/>
      <c r="AW15" s="4251"/>
      <c r="AX15" s="4251"/>
      <c r="AY15" s="4251"/>
      <c r="AZ15" s="4251"/>
      <c r="BA15" s="4251"/>
      <c r="BB15" s="4251"/>
      <c r="BC15" s="4251"/>
      <c r="BD15" s="4251"/>
      <c r="BE15" s="4251"/>
      <c r="BF15" s="4251"/>
      <c r="BG15" s="4251"/>
      <c r="BH15" s="4251"/>
      <c r="BI15" s="4251"/>
      <c r="BJ15" s="4251"/>
      <c r="BK15" s="4251"/>
      <c r="BL15" s="4251"/>
      <c r="BM15" s="4259"/>
      <c r="BN15" s="4251"/>
      <c r="BO15" s="4251"/>
      <c r="BP15" s="4251"/>
      <c r="BQ15" s="4256"/>
      <c r="BR15" s="4256"/>
      <c r="BS15" s="4256"/>
      <c r="BT15" s="4256"/>
      <c r="BU15" s="4255"/>
    </row>
    <row r="16" spans="1:93" s="3" customFormat="1" ht="42.75" customHeight="1" x14ac:dyDescent="0.25">
      <c r="A16" s="1578"/>
      <c r="B16" s="1579"/>
      <c r="C16" s="410"/>
      <c r="D16" s="411"/>
      <c r="E16" s="1365"/>
      <c r="F16" s="1365"/>
      <c r="G16" s="3408">
        <v>1903031</v>
      </c>
      <c r="H16" s="2701" t="s">
        <v>1994</v>
      </c>
      <c r="I16" s="3408">
        <v>1903031</v>
      </c>
      <c r="J16" s="2701" t="s">
        <v>1994</v>
      </c>
      <c r="K16" s="3662">
        <v>190303100</v>
      </c>
      <c r="L16" s="2701" t="s">
        <v>1995</v>
      </c>
      <c r="M16" s="3662">
        <v>190303100</v>
      </c>
      <c r="N16" s="2701" t="s">
        <v>1995</v>
      </c>
      <c r="O16" s="3408">
        <v>12</v>
      </c>
      <c r="P16" s="4247">
        <v>12</v>
      </c>
      <c r="Q16" s="3385"/>
      <c r="R16" s="2476"/>
      <c r="S16" s="3710">
        <f>SUM(X16:X18)/T13</f>
        <v>4.3805608154380345E-2</v>
      </c>
      <c r="T16" s="4254"/>
      <c r="U16" s="2476"/>
      <c r="V16" s="2783"/>
      <c r="W16" s="1447" t="s">
        <v>1996</v>
      </c>
      <c r="X16" s="1584">
        <v>28000000</v>
      </c>
      <c r="Y16" s="1584">
        <v>23080000</v>
      </c>
      <c r="Z16" s="1584">
        <v>5770000</v>
      </c>
      <c r="AA16" s="1583" t="s">
        <v>1997</v>
      </c>
      <c r="AB16" s="1411">
        <v>61</v>
      </c>
      <c r="AC16" s="1450" t="s">
        <v>1987</v>
      </c>
      <c r="AD16" s="4251"/>
      <c r="AE16" s="4251"/>
      <c r="AF16" s="4251"/>
      <c r="AG16" s="4251"/>
      <c r="AH16" s="4251"/>
      <c r="AI16" s="4251"/>
      <c r="AJ16" s="4251"/>
      <c r="AK16" s="4251"/>
      <c r="AL16" s="4251"/>
      <c r="AM16" s="4251"/>
      <c r="AN16" s="4251"/>
      <c r="AO16" s="4251"/>
      <c r="AP16" s="4251"/>
      <c r="AQ16" s="4251"/>
      <c r="AR16" s="4251"/>
      <c r="AS16" s="4251"/>
      <c r="AT16" s="4251"/>
      <c r="AU16" s="4251"/>
      <c r="AV16" s="4251"/>
      <c r="AW16" s="4251"/>
      <c r="AX16" s="4251"/>
      <c r="AY16" s="4251"/>
      <c r="AZ16" s="4251"/>
      <c r="BA16" s="4251"/>
      <c r="BB16" s="4251"/>
      <c r="BC16" s="4251"/>
      <c r="BD16" s="4251"/>
      <c r="BE16" s="4251"/>
      <c r="BF16" s="4251"/>
      <c r="BG16" s="4251"/>
      <c r="BH16" s="4251"/>
      <c r="BI16" s="4251"/>
      <c r="BJ16" s="4251"/>
      <c r="BK16" s="4251"/>
      <c r="BL16" s="4251"/>
      <c r="BM16" s="4259"/>
      <c r="BN16" s="4251"/>
      <c r="BO16" s="4251"/>
      <c r="BP16" s="4251"/>
      <c r="BQ16" s="4256"/>
      <c r="BR16" s="4256"/>
      <c r="BS16" s="4256"/>
      <c r="BT16" s="4256"/>
      <c r="BU16" s="4255"/>
    </row>
    <row r="17" spans="1:73" s="3" customFormat="1" ht="76.5" customHeight="1" x14ac:dyDescent="0.25">
      <c r="A17" s="1578"/>
      <c r="B17" s="1579"/>
      <c r="C17" s="410"/>
      <c r="D17" s="411"/>
      <c r="E17" s="1365"/>
      <c r="F17" s="1365"/>
      <c r="G17" s="3409"/>
      <c r="H17" s="2702"/>
      <c r="I17" s="3409"/>
      <c r="J17" s="2702"/>
      <c r="K17" s="3463"/>
      <c r="L17" s="2702"/>
      <c r="M17" s="3463"/>
      <c r="N17" s="2702"/>
      <c r="O17" s="3409"/>
      <c r="P17" s="4248"/>
      <c r="Q17" s="3385"/>
      <c r="R17" s="2476"/>
      <c r="S17" s="3710"/>
      <c r="T17" s="4254"/>
      <c r="U17" s="2476"/>
      <c r="V17" s="2783"/>
      <c r="W17" s="1447" t="s">
        <v>1998</v>
      </c>
      <c r="X17" s="1584">
        <v>32000000</v>
      </c>
      <c r="Y17" s="1584">
        <v>14140000</v>
      </c>
      <c r="Z17" s="1584">
        <f>6600000+5770000+1885000</f>
        <v>14255000</v>
      </c>
      <c r="AA17" s="1583" t="s">
        <v>1997</v>
      </c>
      <c r="AB17" s="1411">
        <v>61</v>
      </c>
      <c r="AC17" s="1450" t="s">
        <v>1987</v>
      </c>
      <c r="AD17" s="4251"/>
      <c r="AE17" s="4251"/>
      <c r="AF17" s="4251"/>
      <c r="AG17" s="4251"/>
      <c r="AH17" s="4251"/>
      <c r="AI17" s="4251"/>
      <c r="AJ17" s="4251"/>
      <c r="AK17" s="4251"/>
      <c r="AL17" s="4251"/>
      <c r="AM17" s="4251"/>
      <c r="AN17" s="4251"/>
      <c r="AO17" s="4251"/>
      <c r="AP17" s="4251"/>
      <c r="AQ17" s="4251"/>
      <c r="AR17" s="4251"/>
      <c r="AS17" s="4251"/>
      <c r="AT17" s="4251"/>
      <c r="AU17" s="4251"/>
      <c r="AV17" s="4251"/>
      <c r="AW17" s="4251"/>
      <c r="AX17" s="4251"/>
      <c r="AY17" s="4251"/>
      <c r="AZ17" s="4251"/>
      <c r="BA17" s="4251"/>
      <c r="BB17" s="4251"/>
      <c r="BC17" s="4251"/>
      <c r="BD17" s="4251"/>
      <c r="BE17" s="4251"/>
      <c r="BF17" s="4251"/>
      <c r="BG17" s="4251"/>
      <c r="BH17" s="4251"/>
      <c r="BI17" s="4251"/>
      <c r="BJ17" s="4251"/>
      <c r="BK17" s="4251"/>
      <c r="BL17" s="4251"/>
      <c r="BM17" s="4259"/>
      <c r="BN17" s="4251"/>
      <c r="BO17" s="4251"/>
      <c r="BP17" s="4251"/>
      <c r="BQ17" s="4256"/>
      <c r="BR17" s="4256"/>
      <c r="BS17" s="4256"/>
      <c r="BT17" s="4256"/>
      <c r="BU17" s="4255"/>
    </row>
    <row r="18" spans="1:73" s="3" customFormat="1" ht="42.75" customHeight="1" x14ac:dyDescent="0.25">
      <c r="A18" s="1578"/>
      <c r="B18" s="1579"/>
      <c r="C18" s="410"/>
      <c r="D18" s="411"/>
      <c r="E18" s="1365"/>
      <c r="F18" s="1365"/>
      <c r="G18" s="3601"/>
      <c r="H18" s="2703"/>
      <c r="I18" s="3601"/>
      <c r="J18" s="2703"/>
      <c r="K18" s="3464"/>
      <c r="L18" s="2703"/>
      <c r="M18" s="3464"/>
      <c r="N18" s="2703"/>
      <c r="O18" s="3601"/>
      <c r="P18" s="4249"/>
      <c r="Q18" s="3385"/>
      <c r="R18" s="2476"/>
      <c r="S18" s="3710"/>
      <c r="T18" s="4254"/>
      <c r="U18" s="2476"/>
      <c r="V18" s="2783"/>
      <c r="W18" s="1447" t="s">
        <v>1999</v>
      </c>
      <c r="X18" s="1584">
        <v>14000000</v>
      </c>
      <c r="Y18" s="1584"/>
      <c r="Z18" s="1584"/>
      <c r="AA18" s="1583" t="s">
        <v>1997</v>
      </c>
      <c r="AB18" s="1411">
        <v>61</v>
      </c>
      <c r="AC18" s="1450" t="s">
        <v>1987</v>
      </c>
      <c r="AD18" s="4251"/>
      <c r="AE18" s="4251"/>
      <c r="AF18" s="4251"/>
      <c r="AG18" s="4251"/>
      <c r="AH18" s="4251"/>
      <c r="AI18" s="4251"/>
      <c r="AJ18" s="4251"/>
      <c r="AK18" s="4251"/>
      <c r="AL18" s="4251"/>
      <c r="AM18" s="4251"/>
      <c r="AN18" s="4251"/>
      <c r="AO18" s="4251"/>
      <c r="AP18" s="4251"/>
      <c r="AQ18" s="4251"/>
      <c r="AR18" s="4251"/>
      <c r="AS18" s="4251"/>
      <c r="AT18" s="4251"/>
      <c r="AU18" s="4251"/>
      <c r="AV18" s="4251"/>
      <c r="AW18" s="4251"/>
      <c r="AX18" s="4251"/>
      <c r="AY18" s="4251"/>
      <c r="AZ18" s="4251"/>
      <c r="BA18" s="4251"/>
      <c r="BB18" s="4251"/>
      <c r="BC18" s="4251"/>
      <c r="BD18" s="4251"/>
      <c r="BE18" s="4251"/>
      <c r="BF18" s="4251"/>
      <c r="BG18" s="4251"/>
      <c r="BH18" s="4251"/>
      <c r="BI18" s="4251"/>
      <c r="BJ18" s="4251"/>
      <c r="BK18" s="4251"/>
      <c r="BL18" s="4251"/>
      <c r="BM18" s="4259"/>
      <c r="BN18" s="4251"/>
      <c r="BO18" s="4251"/>
      <c r="BP18" s="4251"/>
      <c r="BQ18" s="4256"/>
      <c r="BR18" s="4256"/>
      <c r="BS18" s="4256"/>
      <c r="BT18" s="4256"/>
      <c r="BU18" s="4255"/>
    </row>
    <row r="19" spans="1:73" s="3" customFormat="1" ht="41.25" customHeight="1" x14ac:dyDescent="0.25">
      <c r="A19" s="1578"/>
      <c r="B19" s="1579"/>
      <c r="C19" s="410"/>
      <c r="D19" s="411"/>
      <c r="E19" s="1365"/>
      <c r="F19" s="1365"/>
      <c r="G19" s="3385">
        <v>1903023</v>
      </c>
      <c r="H19" s="2476" t="s">
        <v>2000</v>
      </c>
      <c r="I19" s="3385">
        <v>1903023</v>
      </c>
      <c r="J19" s="2476" t="s">
        <v>2000</v>
      </c>
      <c r="K19" s="4250">
        <v>190302300</v>
      </c>
      <c r="L19" s="3312" t="s">
        <v>2001</v>
      </c>
      <c r="M19" s="4250">
        <v>190302300</v>
      </c>
      <c r="N19" s="3312" t="s">
        <v>2001</v>
      </c>
      <c r="O19" s="3385">
        <v>12</v>
      </c>
      <c r="P19" s="4247">
        <v>11</v>
      </c>
      <c r="Q19" s="3385"/>
      <c r="R19" s="2476"/>
      <c r="S19" s="3710">
        <f>SUM(X19:X21)/T13</f>
        <v>1.6575094977333105E-2</v>
      </c>
      <c r="T19" s="4254"/>
      <c r="U19" s="2476"/>
      <c r="V19" s="2783"/>
      <c r="W19" s="1447" t="s">
        <v>2002</v>
      </c>
      <c r="X19" s="1584">
        <v>14000000</v>
      </c>
      <c r="Y19" s="1584"/>
      <c r="Z19" s="1584"/>
      <c r="AA19" s="1583" t="s">
        <v>2003</v>
      </c>
      <c r="AB19" s="1411">
        <v>61</v>
      </c>
      <c r="AC19" s="1450" t="s">
        <v>1987</v>
      </c>
      <c r="AD19" s="4251"/>
      <c r="AE19" s="4251"/>
      <c r="AF19" s="4251"/>
      <c r="AG19" s="4251"/>
      <c r="AH19" s="4251"/>
      <c r="AI19" s="4251"/>
      <c r="AJ19" s="4251"/>
      <c r="AK19" s="4251"/>
      <c r="AL19" s="4251"/>
      <c r="AM19" s="4251"/>
      <c r="AN19" s="4251"/>
      <c r="AO19" s="4251"/>
      <c r="AP19" s="4251"/>
      <c r="AQ19" s="4251"/>
      <c r="AR19" s="4251"/>
      <c r="AS19" s="4251"/>
      <c r="AT19" s="4251"/>
      <c r="AU19" s="4251"/>
      <c r="AV19" s="4251"/>
      <c r="AW19" s="4251"/>
      <c r="AX19" s="4251"/>
      <c r="AY19" s="4251"/>
      <c r="AZ19" s="4251"/>
      <c r="BA19" s="4251"/>
      <c r="BB19" s="4251"/>
      <c r="BC19" s="4251"/>
      <c r="BD19" s="4251"/>
      <c r="BE19" s="4251"/>
      <c r="BF19" s="4251"/>
      <c r="BG19" s="4251"/>
      <c r="BH19" s="4251"/>
      <c r="BI19" s="4251"/>
      <c r="BJ19" s="4251"/>
      <c r="BK19" s="4251"/>
      <c r="BL19" s="4251"/>
      <c r="BM19" s="4259"/>
      <c r="BN19" s="4251"/>
      <c r="BO19" s="4251"/>
      <c r="BP19" s="4251"/>
      <c r="BQ19" s="4256"/>
      <c r="BR19" s="4256"/>
      <c r="BS19" s="4256"/>
      <c r="BT19" s="4256"/>
      <c r="BU19" s="4255"/>
    </row>
    <row r="20" spans="1:73" s="3" customFormat="1" ht="60" customHeight="1" x14ac:dyDescent="0.25">
      <c r="A20" s="1578"/>
      <c r="B20" s="1579"/>
      <c r="C20" s="410"/>
      <c r="D20" s="411"/>
      <c r="E20" s="1365"/>
      <c r="F20" s="1365"/>
      <c r="G20" s="3385"/>
      <c r="H20" s="2476"/>
      <c r="I20" s="3385"/>
      <c r="J20" s="2476"/>
      <c r="K20" s="4250"/>
      <c r="L20" s="3312"/>
      <c r="M20" s="4250"/>
      <c r="N20" s="3312"/>
      <c r="O20" s="3385"/>
      <c r="P20" s="4248"/>
      <c r="Q20" s="3385"/>
      <c r="R20" s="2476"/>
      <c r="S20" s="3710"/>
      <c r="T20" s="4254"/>
      <c r="U20" s="2476"/>
      <c r="V20" s="2783"/>
      <c r="W20" s="1447" t="s">
        <v>2004</v>
      </c>
      <c r="X20" s="1584">
        <v>7000000</v>
      </c>
      <c r="Y20" s="1584">
        <v>7000000</v>
      </c>
      <c r="Z20" s="1584">
        <v>7000000</v>
      </c>
      <c r="AA20" s="1583" t="s">
        <v>2003</v>
      </c>
      <c r="AB20" s="1411">
        <v>61</v>
      </c>
      <c r="AC20" s="1450" t="s">
        <v>1987</v>
      </c>
      <c r="AD20" s="4251"/>
      <c r="AE20" s="4251"/>
      <c r="AF20" s="4251"/>
      <c r="AG20" s="4251"/>
      <c r="AH20" s="4251"/>
      <c r="AI20" s="4251"/>
      <c r="AJ20" s="4251"/>
      <c r="AK20" s="4251"/>
      <c r="AL20" s="4251"/>
      <c r="AM20" s="4251"/>
      <c r="AN20" s="4251"/>
      <c r="AO20" s="4251"/>
      <c r="AP20" s="4251"/>
      <c r="AQ20" s="4251"/>
      <c r="AR20" s="4251"/>
      <c r="AS20" s="4251"/>
      <c r="AT20" s="4251"/>
      <c r="AU20" s="4251"/>
      <c r="AV20" s="4251"/>
      <c r="AW20" s="4251"/>
      <c r="AX20" s="4251"/>
      <c r="AY20" s="4251"/>
      <c r="AZ20" s="4251"/>
      <c r="BA20" s="4251"/>
      <c r="BB20" s="4251"/>
      <c r="BC20" s="4251"/>
      <c r="BD20" s="4251"/>
      <c r="BE20" s="4251"/>
      <c r="BF20" s="4251"/>
      <c r="BG20" s="4251"/>
      <c r="BH20" s="4251"/>
      <c r="BI20" s="4251"/>
      <c r="BJ20" s="4251"/>
      <c r="BK20" s="4251"/>
      <c r="BL20" s="4251"/>
      <c r="BM20" s="4259"/>
      <c r="BN20" s="4251"/>
      <c r="BO20" s="4251"/>
      <c r="BP20" s="4251"/>
      <c r="BQ20" s="4256"/>
      <c r="BR20" s="4256"/>
      <c r="BS20" s="4256"/>
      <c r="BT20" s="4256"/>
      <c r="BU20" s="4255"/>
    </row>
    <row r="21" spans="1:73" s="3" customFormat="1" ht="78.75" customHeight="1" x14ac:dyDescent="0.25">
      <c r="A21" s="1578"/>
      <c r="B21" s="1579"/>
      <c r="C21" s="410"/>
      <c r="D21" s="411"/>
      <c r="E21" s="1365"/>
      <c r="F21" s="1365"/>
      <c r="G21" s="3385"/>
      <c r="H21" s="2476"/>
      <c r="I21" s="3385"/>
      <c r="J21" s="2476"/>
      <c r="K21" s="4250"/>
      <c r="L21" s="3312"/>
      <c r="M21" s="4250"/>
      <c r="N21" s="3312"/>
      <c r="O21" s="3385"/>
      <c r="P21" s="4249"/>
      <c r="Q21" s="3385"/>
      <c r="R21" s="2476"/>
      <c r="S21" s="3710"/>
      <c r="T21" s="4254"/>
      <c r="U21" s="2476"/>
      <c r="V21" s="2783"/>
      <c r="W21" s="1447" t="s">
        <v>2005</v>
      </c>
      <c r="X21" s="1584">
        <v>7000000</v>
      </c>
      <c r="Y21" s="1584">
        <v>4540000</v>
      </c>
      <c r="Z21" s="1584">
        <v>4540000</v>
      </c>
      <c r="AA21" s="1583" t="s">
        <v>2003</v>
      </c>
      <c r="AB21" s="1411">
        <v>61</v>
      </c>
      <c r="AC21" s="1450" t="s">
        <v>1987</v>
      </c>
      <c r="AD21" s="4251"/>
      <c r="AE21" s="4251"/>
      <c r="AF21" s="4251"/>
      <c r="AG21" s="4251"/>
      <c r="AH21" s="4251"/>
      <c r="AI21" s="4251"/>
      <c r="AJ21" s="4251"/>
      <c r="AK21" s="4251"/>
      <c r="AL21" s="4251"/>
      <c r="AM21" s="4251"/>
      <c r="AN21" s="4251"/>
      <c r="AO21" s="4251"/>
      <c r="AP21" s="4251"/>
      <c r="AQ21" s="4251"/>
      <c r="AR21" s="4251"/>
      <c r="AS21" s="4251"/>
      <c r="AT21" s="4251"/>
      <c r="AU21" s="4251"/>
      <c r="AV21" s="4251"/>
      <c r="AW21" s="4251"/>
      <c r="AX21" s="4251"/>
      <c r="AY21" s="4251"/>
      <c r="AZ21" s="4251"/>
      <c r="BA21" s="4251"/>
      <c r="BB21" s="4251"/>
      <c r="BC21" s="4251"/>
      <c r="BD21" s="4251"/>
      <c r="BE21" s="4251"/>
      <c r="BF21" s="4251"/>
      <c r="BG21" s="4251"/>
      <c r="BH21" s="4251"/>
      <c r="BI21" s="4251"/>
      <c r="BJ21" s="4251"/>
      <c r="BK21" s="4251"/>
      <c r="BL21" s="4251"/>
      <c r="BM21" s="4259"/>
      <c r="BN21" s="4251"/>
      <c r="BO21" s="4251"/>
      <c r="BP21" s="4251"/>
      <c r="BQ21" s="4256"/>
      <c r="BR21" s="4256"/>
      <c r="BS21" s="4256"/>
      <c r="BT21" s="4256"/>
      <c r="BU21" s="4255"/>
    </row>
    <row r="22" spans="1:73" s="3" customFormat="1" ht="46.5" customHeight="1" x14ac:dyDescent="0.25">
      <c r="A22" s="1578"/>
      <c r="B22" s="1579"/>
      <c r="C22" s="410"/>
      <c r="D22" s="411"/>
      <c r="E22" s="1365"/>
      <c r="F22" s="1365"/>
      <c r="G22" s="3385" t="s">
        <v>74</v>
      </c>
      <c r="H22" s="2476" t="s">
        <v>2006</v>
      </c>
      <c r="I22" s="3385">
        <v>1903050</v>
      </c>
      <c r="J22" s="2476" t="s">
        <v>2007</v>
      </c>
      <c r="K22" s="2728" t="s">
        <v>74</v>
      </c>
      <c r="L22" s="2476" t="s">
        <v>2008</v>
      </c>
      <c r="M22" s="2728">
        <v>190305000</v>
      </c>
      <c r="N22" s="2476" t="s">
        <v>2009</v>
      </c>
      <c r="O22" s="3385">
        <v>12</v>
      </c>
      <c r="P22" s="4247">
        <v>12</v>
      </c>
      <c r="Q22" s="3385"/>
      <c r="R22" s="2476"/>
      <c r="S22" s="3710">
        <f>SUM(X22:X25)/T13</f>
        <v>1.6575094977333105E-2</v>
      </c>
      <c r="T22" s="4254"/>
      <c r="U22" s="2476"/>
      <c r="V22" s="2783"/>
      <c r="W22" s="1447" t="s">
        <v>2010</v>
      </c>
      <c r="X22" s="1585">
        <v>7000000</v>
      </c>
      <c r="Y22" s="1585">
        <v>6080000</v>
      </c>
      <c r="Z22" s="1585">
        <f>4540000+1540000</f>
        <v>6080000</v>
      </c>
      <c r="AA22" s="1583" t="s">
        <v>2011</v>
      </c>
      <c r="AB22" s="1411">
        <v>61</v>
      </c>
      <c r="AC22" s="1450" t="s">
        <v>1987</v>
      </c>
      <c r="AD22" s="4251"/>
      <c r="AE22" s="4251"/>
      <c r="AF22" s="4251"/>
      <c r="AG22" s="4251"/>
      <c r="AH22" s="4251"/>
      <c r="AI22" s="4251"/>
      <c r="AJ22" s="4251"/>
      <c r="AK22" s="4251"/>
      <c r="AL22" s="4251"/>
      <c r="AM22" s="4251"/>
      <c r="AN22" s="4251"/>
      <c r="AO22" s="4251"/>
      <c r="AP22" s="4251"/>
      <c r="AQ22" s="4251"/>
      <c r="AR22" s="4251"/>
      <c r="AS22" s="4251"/>
      <c r="AT22" s="4251"/>
      <c r="AU22" s="4251"/>
      <c r="AV22" s="4251"/>
      <c r="AW22" s="4251"/>
      <c r="AX22" s="4251"/>
      <c r="AY22" s="4251"/>
      <c r="AZ22" s="4251"/>
      <c r="BA22" s="4251"/>
      <c r="BB22" s="4251"/>
      <c r="BC22" s="4251"/>
      <c r="BD22" s="4251"/>
      <c r="BE22" s="4251"/>
      <c r="BF22" s="4251"/>
      <c r="BG22" s="4251"/>
      <c r="BH22" s="4251"/>
      <c r="BI22" s="4251"/>
      <c r="BJ22" s="4251"/>
      <c r="BK22" s="4251"/>
      <c r="BL22" s="4251"/>
      <c r="BM22" s="4259"/>
      <c r="BN22" s="4251"/>
      <c r="BO22" s="4251"/>
      <c r="BP22" s="4251"/>
      <c r="BQ22" s="4256"/>
      <c r="BR22" s="4256"/>
      <c r="BS22" s="4256"/>
      <c r="BT22" s="4256"/>
      <c r="BU22" s="4255"/>
    </row>
    <row r="23" spans="1:73" s="3" customFormat="1" ht="67.5" customHeight="1" x14ac:dyDescent="0.25">
      <c r="A23" s="1578"/>
      <c r="B23" s="1579"/>
      <c r="C23" s="410"/>
      <c r="D23" s="411"/>
      <c r="E23" s="1365"/>
      <c r="F23" s="1365"/>
      <c r="G23" s="3385"/>
      <c r="H23" s="2476"/>
      <c r="I23" s="3385"/>
      <c r="J23" s="2476"/>
      <c r="K23" s="2728"/>
      <c r="L23" s="2476"/>
      <c r="M23" s="2728"/>
      <c r="N23" s="2476"/>
      <c r="O23" s="3385"/>
      <c r="P23" s="4248"/>
      <c r="Q23" s="3385"/>
      <c r="R23" s="2476"/>
      <c r="S23" s="3710"/>
      <c r="T23" s="4254"/>
      <c r="U23" s="2476"/>
      <c r="V23" s="2783"/>
      <c r="W23" s="1586" t="s">
        <v>2012</v>
      </c>
      <c r="X23" s="1587">
        <v>7000000</v>
      </c>
      <c r="Y23" s="1587"/>
      <c r="Z23" s="1587"/>
      <c r="AA23" s="1583" t="s">
        <v>2011</v>
      </c>
      <c r="AB23" s="1411">
        <v>61</v>
      </c>
      <c r="AC23" s="1450" t="s">
        <v>1987</v>
      </c>
      <c r="AD23" s="4251"/>
      <c r="AE23" s="4251"/>
      <c r="AF23" s="4251"/>
      <c r="AG23" s="4251"/>
      <c r="AH23" s="4251"/>
      <c r="AI23" s="4251"/>
      <c r="AJ23" s="4251"/>
      <c r="AK23" s="4251"/>
      <c r="AL23" s="4251"/>
      <c r="AM23" s="4251"/>
      <c r="AN23" s="4251"/>
      <c r="AO23" s="4251"/>
      <c r="AP23" s="4251"/>
      <c r="AQ23" s="4251"/>
      <c r="AR23" s="4251"/>
      <c r="AS23" s="4251"/>
      <c r="AT23" s="4251"/>
      <c r="AU23" s="4251"/>
      <c r="AV23" s="4251"/>
      <c r="AW23" s="4251"/>
      <c r="AX23" s="4251"/>
      <c r="AY23" s="4251"/>
      <c r="AZ23" s="4251"/>
      <c r="BA23" s="4251"/>
      <c r="BB23" s="4251"/>
      <c r="BC23" s="4251"/>
      <c r="BD23" s="4251"/>
      <c r="BE23" s="4251"/>
      <c r="BF23" s="4251"/>
      <c r="BG23" s="4251"/>
      <c r="BH23" s="4251"/>
      <c r="BI23" s="4251"/>
      <c r="BJ23" s="4251"/>
      <c r="BK23" s="4251"/>
      <c r="BL23" s="4251"/>
      <c r="BM23" s="4259"/>
      <c r="BN23" s="4251"/>
      <c r="BO23" s="4251"/>
      <c r="BP23" s="4251"/>
      <c r="BQ23" s="4256"/>
      <c r="BR23" s="4256"/>
      <c r="BS23" s="4256"/>
      <c r="BT23" s="4256"/>
      <c r="BU23" s="4255"/>
    </row>
    <row r="24" spans="1:73" s="3" customFormat="1" ht="67.5" customHeight="1" x14ac:dyDescent="0.25">
      <c r="A24" s="1578"/>
      <c r="B24" s="1579"/>
      <c r="C24" s="410"/>
      <c r="D24" s="411"/>
      <c r="E24" s="1365"/>
      <c r="F24" s="1365"/>
      <c r="G24" s="3385"/>
      <c r="H24" s="2476"/>
      <c r="I24" s="3385"/>
      <c r="J24" s="2476"/>
      <c r="K24" s="2728"/>
      <c r="L24" s="2476"/>
      <c r="M24" s="2728"/>
      <c r="N24" s="2476"/>
      <c r="O24" s="3385"/>
      <c r="P24" s="4248"/>
      <c r="Q24" s="3385"/>
      <c r="R24" s="2476"/>
      <c r="S24" s="3710"/>
      <c r="T24" s="4254"/>
      <c r="U24" s="2476"/>
      <c r="V24" s="2783"/>
      <c r="W24" s="1586" t="s">
        <v>2013</v>
      </c>
      <c r="X24" s="1587">
        <v>7000000</v>
      </c>
      <c r="Y24" s="1588"/>
      <c r="Z24" s="1588"/>
      <c r="AA24" s="1583" t="s">
        <v>2011</v>
      </c>
      <c r="AB24" s="1411">
        <v>61</v>
      </c>
      <c r="AC24" s="1450" t="s">
        <v>1987</v>
      </c>
      <c r="AD24" s="4251"/>
      <c r="AE24" s="4251"/>
      <c r="AF24" s="4251"/>
      <c r="AG24" s="4251"/>
      <c r="AH24" s="4251"/>
      <c r="AI24" s="4251"/>
      <c r="AJ24" s="4251"/>
      <c r="AK24" s="4251"/>
      <c r="AL24" s="4251"/>
      <c r="AM24" s="4251"/>
      <c r="AN24" s="4251"/>
      <c r="AO24" s="4251"/>
      <c r="AP24" s="4251"/>
      <c r="AQ24" s="4251"/>
      <c r="AR24" s="4251"/>
      <c r="AS24" s="4251"/>
      <c r="AT24" s="4251"/>
      <c r="AU24" s="4251"/>
      <c r="AV24" s="4251"/>
      <c r="AW24" s="4251"/>
      <c r="AX24" s="4251"/>
      <c r="AY24" s="4251"/>
      <c r="AZ24" s="4251"/>
      <c r="BA24" s="4251"/>
      <c r="BB24" s="4251"/>
      <c r="BC24" s="4251"/>
      <c r="BD24" s="4251"/>
      <c r="BE24" s="4251"/>
      <c r="BF24" s="4251"/>
      <c r="BG24" s="4251"/>
      <c r="BH24" s="4251"/>
      <c r="BI24" s="4251"/>
      <c r="BJ24" s="4251"/>
      <c r="BK24" s="4251"/>
      <c r="BL24" s="4251"/>
      <c r="BM24" s="4259"/>
      <c r="BN24" s="4251"/>
      <c r="BO24" s="4251"/>
      <c r="BP24" s="4251"/>
      <c r="BQ24" s="4256"/>
      <c r="BR24" s="4256"/>
      <c r="BS24" s="4256"/>
      <c r="BT24" s="4256"/>
      <c r="BU24" s="4255"/>
    </row>
    <row r="25" spans="1:73" s="3" customFormat="1" ht="99.75" customHeight="1" x14ac:dyDescent="0.25">
      <c r="A25" s="1578"/>
      <c r="B25" s="1579"/>
      <c r="C25" s="410"/>
      <c r="D25" s="411"/>
      <c r="E25" s="1365"/>
      <c r="F25" s="1365"/>
      <c r="G25" s="3385"/>
      <c r="H25" s="2476"/>
      <c r="I25" s="3385"/>
      <c r="J25" s="2476"/>
      <c r="K25" s="2728"/>
      <c r="L25" s="2476"/>
      <c r="M25" s="2728"/>
      <c r="N25" s="2476"/>
      <c r="O25" s="3385"/>
      <c r="P25" s="4249"/>
      <c r="Q25" s="3385"/>
      <c r="R25" s="2476"/>
      <c r="S25" s="3710"/>
      <c r="T25" s="4254"/>
      <c r="U25" s="2476"/>
      <c r="V25" s="2719"/>
      <c r="W25" s="1447" t="s">
        <v>2014</v>
      </c>
      <c r="X25" s="1582">
        <v>7000000</v>
      </c>
      <c r="Y25" s="1582">
        <v>7000000</v>
      </c>
      <c r="Z25" s="1582">
        <v>7000000</v>
      </c>
      <c r="AA25" s="1583" t="s">
        <v>2011</v>
      </c>
      <c r="AB25" s="1411">
        <v>61</v>
      </c>
      <c r="AC25" s="1450" t="s">
        <v>1987</v>
      </c>
      <c r="AD25" s="4251"/>
      <c r="AE25" s="4251"/>
      <c r="AF25" s="4251"/>
      <c r="AG25" s="4251"/>
      <c r="AH25" s="4251"/>
      <c r="AI25" s="4251"/>
      <c r="AJ25" s="4251"/>
      <c r="AK25" s="4251"/>
      <c r="AL25" s="4251"/>
      <c r="AM25" s="4251"/>
      <c r="AN25" s="4251"/>
      <c r="AO25" s="4251"/>
      <c r="AP25" s="4251"/>
      <c r="AQ25" s="4251"/>
      <c r="AR25" s="4251"/>
      <c r="AS25" s="4251"/>
      <c r="AT25" s="4251"/>
      <c r="AU25" s="4251"/>
      <c r="AV25" s="4251"/>
      <c r="AW25" s="4251"/>
      <c r="AX25" s="4251"/>
      <c r="AY25" s="4251"/>
      <c r="AZ25" s="4251"/>
      <c r="BA25" s="4251"/>
      <c r="BB25" s="4251"/>
      <c r="BC25" s="4251"/>
      <c r="BD25" s="4251"/>
      <c r="BE25" s="4251"/>
      <c r="BF25" s="4251"/>
      <c r="BG25" s="4251"/>
      <c r="BH25" s="4251"/>
      <c r="BI25" s="4251"/>
      <c r="BJ25" s="4251"/>
      <c r="BK25" s="4251"/>
      <c r="BL25" s="4251"/>
      <c r="BM25" s="4259"/>
      <c r="BN25" s="4251"/>
      <c r="BO25" s="4251"/>
      <c r="BP25" s="4251"/>
      <c r="BQ25" s="4256"/>
      <c r="BR25" s="4256"/>
      <c r="BS25" s="4256"/>
      <c r="BT25" s="4256"/>
      <c r="BU25" s="4255"/>
    </row>
    <row r="26" spans="1:73" s="3" customFormat="1" ht="61.5" customHeight="1" x14ac:dyDescent="0.25">
      <c r="A26" s="1578"/>
      <c r="B26" s="1579"/>
      <c r="C26" s="410"/>
      <c r="D26" s="411"/>
      <c r="E26" s="1365"/>
      <c r="F26" s="1365"/>
      <c r="G26" s="2664" t="s">
        <v>74</v>
      </c>
      <c r="H26" s="2475" t="s">
        <v>2015</v>
      </c>
      <c r="I26" s="2664">
        <v>1903038</v>
      </c>
      <c r="J26" s="2475" t="s">
        <v>2016</v>
      </c>
      <c r="K26" s="3606" t="s">
        <v>74</v>
      </c>
      <c r="L26" s="2475" t="s">
        <v>2017</v>
      </c>
      <c r="M26" s="3606">
        <v>190303801</v>
      </c>
      <c r="N26" s="2475" t="s">
        <v>2018</v>
      </c>
      <c r="O26" s="3408">
        <v>1</v>
      </c>
      <c r="P26" s="4247">
        <v>0</v>
      </c>
      <c r="Q26" s="3385"/>
      <c r="R26" s="2476"/>
      <c r="S26" s="3474">
        <f>SUM(X26:X42)/T13</f>
        <v>0.86680727250357326</v>
      </c>
      <c r="T26" s="4254"/>
      <c r="U26" s="2476"/>
      <c r="V26" s="2718" t="s">
        <v>2019</v>
      </c>
      <c r="W26" s="1447" t="s">
        <v>2020</v>
      </c>
      <c r="X26" s="1584">
        <v>24000000</v>
      </c>
      <c r="Y26" s="1584"/>
      <c r="Z26" s="1584"/>
      <c r="AA26" s="1583" t="s">
        <v>2021</v>
      </c>
      <c r="AB26" s="1411">
        <v>61</v>
      </c>
      <c r="AC26" s="1450" t="s">
        <v>1987</v>
      </c>
      <c r="AD26" s="4251"/>
      <c r="AE26" s="4251"/>
      <c r="AF26" s="4251"/>
      <c r="AG26" s="4251"/>
      <c r="AH26" s="4251"/>
      <c r="AI26" s="4251"/>
      <c r="AJ26" s="4251"/>
      <c r="AK26" s="4251"/>
      <c r="AL26" s="4251"/>
      <c r="AM26" s="4251"/>
      <c r="AN26" s="4251"/>
      <c r="AO26" s="4251"/>
      <c r="AP26" s="4251"/>
      <c r="AQ26" s="4251"/>
      <c r="AR26" s="4251"/>
      <c r="AS26" s="4251"/>
      <c r="AT26" s="4251"/>
      <c r="AU26" s="4251"/>
      <c r="AV26" s="4251"/>
      <c r="AW26" s="4251"/>
      <c r="AX26" s="4251"/>
      <c r="AY26" s="4251"/>
      <c r="AZ26" s="4251"/>
      <c r="BA26" s="4251"/>
      <c r="BB26" s="4251"/>
      <c r="BC26" s="4251"/>
      <c r="BD26" s="4251"/>
      <c r="BE26" s="4251"/>
      <c r="BF26" s="4251"/>
      <c r="BG26" s="4251"/>
      <c r="BH26" s="4251"/>
      <c r="BI26" s="4251"/>
      <c r="BJ26" s="4251"/>
      <c r="BK26" s="4251"/>
      <c r="BL26" s="4251"/>
      <c r="BM26" s="4259"/>
      <c r="BN26" s="4251"/>
      <c r="BO26" s="4251"/>
      <c r="BP26" s="4251"/>
      <c r="BQ26" s="4256"/>
      <c r="BR26" s="4256"/>
      <c r="BS26" s="4256"/>
      <c r="BT26" s="4256"/>
      <c r="BU26" s="4255"/>
    </row>
    <row r="27" spans="1:73" s="3" customFormat="1" ht="61.5" customHeight="1" x14ac:dyDescent="0.25">
      <c r="A27" s="1578"/>
      <c r="B27" s="1579"/>
      <c r="C27" s="410"/>
      <c r="D27" s="411"/>
      <c r="E27" s="1365"/>
      <c r="F27" s="1365"/>
      <c r="G27" s="2664"/>
      <c r="H27" s="2475"/>
      <c r="I27" s="2664"/>
      <c r="J27" s="2475"/>
      <c r="K27" s="3606"/>
      <c r="L27" s="2475"/>
      <c r="M27" s="3606"/>
      <c r="N27" s="2475"/>
      <c r="O27" s="3409"/>
      <c r="P27" s="4248"/>
      <c r="Q27" s="3385"/>
      <c r="R27" s="2476"/>
      <c r="S27" s="2463"/>
      <c r="T27" s="4254"/>
      <c r="U27" s="2476"/>
      <c r="V27" s="2783"/>
      <c r="W27" s="1447" t="s">
        <v>2022</v>
      </c>
      <c r="X27" s="1584">
        <v>24000000</v>
      </c>
      <c r="Y27" s="1584"/>
      <c r="Z27" s="1584"/>
      <c r="AA27" s="1589" t="s">
        <v>2021</v>
      </c>
      <c r="AB27" s="1411">
        <v>61</v>
      </c>
      <c r="AC27" s="1450" t="s">
        <v>1987</v>
      </c>
      <c r="AD27" s="4251"/>
      <c r="AE27" s="4251"/>
      <c r="AF27" s="4251"/>
      <c r="AG27" s="4251"/>
      <c r="AH27" s="4251"/>
      <c r="AI27" s="4251"/>
      <c r="AJ27" s="4251"/>
      <c r="AK27" s="4251"/>
      <c r="AL27" s="4251"/>
      <c r="AM27" s="4251"/>
      <c r="AN27" s="4251"/>
      <c r="AO27" s="4251"/>
      <c r="AP27" s="4251"/>
      <c r="AQ27" s="4251"/>
      <c r="AR27" s="4251"/>
      <c r="AS27" s="4251"/>
      <c r="AT27" s="4251"/>
      <c r="AU27" s="4251"/>
      <c r="AV27" s="4251"/>
      <c r="AW27" s="4251"/>
      <c r="AX27" s="4251"/>
      <c r="AY27" s="4251"/>
      <c r="AZ27" s="4251"/>
      <c r="BA27" s="4251"/>
      <c r="BB27" s="4251"/>
      <c r="BC27" s="4251"/>
      <c r="BD27" s="4251"/>
      <c r="BE27" s="4251"/>
      <c r="BF27" s="4251"/>
      <c r="BG27" s="4251"/>
      <c r="BH27" s="4251"/>
      <c r="BI27" s="4251"/>
      <c r="BJ27" s="4251"/>
      <c r="BK27" s="4251"/>
      <c r="BL27" s="4251"/>
      <c r="BM27" s="4259"/>
      <c r="BN27" s="4251"/>
      <c r="BO27" s="4251"/>
      <c r="BP27" s="4251"/>
      <c r="BQ27" s="4256"/>
      <c r="BR27" s="4256"/>
      <c r="BS27" s="4256"/>
      <c r="BT27" s="4256"/>
      <c r="BU27" s="4255"/>
    </row>
    <row r="28" spans="1:73" s="3" customFormat="1" ht="73.5" customHeight="1" x14ac:dyDescent="0.25">
      <c r="A28" s="1578"/>
      <c r="B28" s="1579"/>
      <c r="C28" s="410"/>
      <c r="D28" s="411"/>
      <c r="E28" s="1365"/>
      <c r="F28" s="1365"/>
      <c r="G28" s="2664"/>
      <c r="H28" s="2475"/>
      <c r="I28" s="2664"/>
      <c r="J28" s="2475"/>
      <c r="K28" s="3606"/>
      <c r="L28" s="2475"/>
      <c r="M28" s="3606"/>
      <c r="N28" s="2475"/>
      <c r="O28" s="3409"/>
      <c r="P28" s="4248"/>
      <c r="Q28" s="3385"/>
      <c r="R28" s="2476"/>
      <c r="S28" s="2463"/>
      <c r="T28" s="4254"/>
      <c r="U28" s="2476"/>
      <c r="V28" s="2783"/>
      <c r="W28" s="2701" t="s">
        <v>2023</v>
      </c>
      <c r="X28" s="1584">
        <v>12000000</v>
      </c>
      <c r="Y28" s="1584">
        <f>5900000+1200000</f>
        <v>7100000</v>
      </c>
      <c r="Z28" s="1584">
        <f>4425000+761538</f>
        <v>5186538</v>
      </c>
      <c r="AA28" s="1583" t="s">
        <v>2024</v>
      </c>
      <c r="AB28" s="1411">
        <v>63</v>
      </c>
      <c r="AC28" s="1441" t="s">
        <v>2025</v>
      </c>
      <c r="AD28" s="4251"/>
      <c r="AE28" s="4251"/>
      <c r="AF28" s="4251"/>
      <c r="AG28" s="4251"/>
      <c r="AH28" s="4251"/>
      <c r="AI28" s="4251"/>
      <c r="AJ28" s="4251"/>
      <c r="AK28" s="4251"/>
      <c r="AL28" s="4251"/>
      <c r="AM28" s="4251"/>
      <c r="AN28" s="4251"/>
      <c r="AO28" s="4251"/>
      <c r="AP28" s="4251"/>
      <c r="AQ28" s="4251"/>
      <c r="AR28" s="4251"/>
      <c r="AS28" s="4251"/>
      <c r="AT28" s="4251"/>
      <c r="AU28" s="4251"/>
      <c r="AV28" s="4251"/>
      <c r="AW28" s="4251"/>
      <c r="AX28" s="4251"/>
      <c r="AY28" s="4251"/>
      <c r="AZ28" s="4251"/>
      <c r="BA28" s="4251"/>
      <c r="BB28" s="4251"/>
      <c r="BC28" s="4251"/>
      <c r="BD28" s="4251"/>
      <c r="BE28" s="4251"/>
      <c r="BF28" s="4251"/>
      <c r="BG28" s="4251"/>
      <c r="BH28" s="4251"/>
      <c r="BI28" s="4251"/>
      <c r="BJ28" s="4251"/>
      <c r="BK28" s="4251"/>
      <c r="BL28" s="4251"/>
      <c r="BM28" s="4259"/>
      <c r="BN28" s="4251"/>
      <c r="BO28" s="4251"/>
      <c r="BP28" s="4251"/>
      <c r="BQ28" s="4256"/>
      <c r="BR28" s="4256"/>
      <c r="BS28" s="4256"/>
      <c r="BT28" s="4256"/>
      <c r="BU28" s="4255"/>
    </row>
    <row r="29" spans="1:73" s="3" customFormat="1" ht="73.5" customHeight="1" x14ac:dyDescent="0.25">
      <c r="A29" s="1578"/>
      <c r="B29" s="1579"/>
      <c r="C29" s="410"/>
      <c r="D29" s="411"/>
      <c r="E29" s="1365"/>
      <c r="F29" s="1365"/>
      <c r="G29" s="2664"/>
      <c r="H29" s="2475"/>
      <c r="I29" s="2664"/>
      <c r="J29" s="2475"/>
      <c r="K29" s="3606"/>
      <c r="L29" s="2475"/>
      <c r="M29" s="3606"/>
      <c r="N29" s="2475"/>
      <c r="O29" s="3409"/>
      <c r="P29" s="4248"/>
      <c r="Q29" s="3385"/>
      <c r="R29" s="2476"/>
      <c r="S29" s="2463"/>
      <c r="T29" s="4254"/>
      <c r="U29" s="2476"/>
      <c r="V29" s="2783"/>
      <c r="W29" s="2703"/>
      <c r="X29" s="1584">
        <v>128231421.20999999</v>
      </c>
      <c r="Y29" s="1584"/>
      <c r="Z29" s="1584"/>
      <c r="AA29" s="1583" t="s">
        <v>2026</v>
      </c>
      <c r="AB29" s="1411"/>
      <c r="AC29" s="1441"/>
      <c r="AD29" s="4251"/>
      <c r="AE29" s="4251"/>
      <c r="AF29" s="4251"/>
      <c r="AG29" s="4251"/>
      <c r="AH29" s="4251"/>
      <c r="AI29" s="4251"/>
      <c r="AJ29" s="4251"/>
      <c r="AK29" s="4251"/>
      <c r="AL29" s="4251"/>
      <c r="AM29" s="4251"/>
      <c r="AN29" s="4251"/>
      <c r="AO29" s="4251"/>
      <c r="AP29" s="4251"/>
      <c r="AQ29" s="4251"/>
      <c r="AR29" s="4251"/>
      <c r="AS29" s="4251"/>
      <c r="AT29" s="4251"/>
      <c r="AU29" s="4251"/>
      <c r="AV29" s="4251"/>
      <c r="AW29" s="4251"/>
      <c r="AX29" s="4251"/>
      <c r="AY29" s="4251"/>
      <c r="AZ29" s="4251"/>
      <c r="BA29" s="4251"/>
      <c r="BB29" s="4251"/>
      <c r="BC29" s="4251"/>
      <c r="BD29" s="4251"/>
      <c r="BE29" s="4251"/>
      <c r="BF29" s="4251"/>
      <c r="BG29" s="4251"/>
      <c r="BH29" s="4251"/>
      <c r="BI29" s="4251"/>
      <c r="BJ29" s="4251"/>
      <c r="BK29" s="4251"/>
      <c r="BL29" s="4251"/>
      <c r="BM29" s="4259"/>
      <c r="BN29" s="4251"/>
      <c r="BO29" s="4251"/>
      <c r="BP29" s="4251"/>
      <c r="BQ29" s="4256"/>
      <c r="BR29" s="4256"/>
      <c r="BS29" s="4256"/>
      <c r="BT29" s="4256"/>
      <c r="BU29" s="4255"/>
    </row>
    <row r="30" spans="1:73" s="3" customFormat="1" ht="48.75" customHeight="1" x14ac:dyDescent="0.25">
      <c r="A30" s="1578"/>
      <c r="B30" s="1579"/>
      <c r="C30" s="410"/>
      <c r="D30" s="411"/>
      <c r="E30" s="1365"/>
      <c r="F30" s="1365"/>
      <c r="G30" s="2664"/>
      <c r="H30" s="2475"/>
      <c r="I30" s="2664"/>
      <c r="J30" s="2475"/>
      <c r="K30" s="3606"/>
      <c r="L30" s="2475"/>
      <c r="M30" s="3606"/>
      <c r="N30" s="2475"/>
      <c r="O30" s="3409"/>
      <c r="P30" s="4248"/>
      <c r="Q30" s="3385"/>
      <c r="R30" s="2476"/>
      <c r="S30" s="2463"/>
      <c r="T30" s="4254"/>
      <c r="U30" s="2476"/>
      <c r="V30" s="2783"/>
      <c r="W30" s="2701" t="s">
        <v>2027</v>
      </c>
      <c r="X30" s="1584">
        <v>100000000</v>
      </c>
      <c r="Y30" s="1584">
        <f>53019992.33+12000000</f>
        <v>65019992.329999998</v>
      </c>
      <c r="Z30" s="1584">
        <f>53019992.33+9138462</f>
        <v>62158454.329999998</v>
      </c>
      <c r="AA30" s="1583" t="s">
        <v>2024</v>
      </c>
      <c r="AB30" s="1411">
        <v>63</v>
      </c>
      <c r="AC30" s="1441" t="s">
        <v>2025</v>
      </c>
      <c r="AD30" s="4251"/>
      <c r="AE30" s="4251"/>
      <c r="AF30" s="4251"/>
      <c r="AG30" s="4251"/>
      <c r="AH30" s="4251"/>
      <c r="AI30" s="4251"/>
      <c r="AJ30" s="4251"/>
      <c r="AK30" s="4251"/>
      <c r="AL30" s="4251"/>
      <c r="AM30" s="4251"/>
      <c r="AN30" s="4251"/>
      <c r="AO30" s="4251"/>
      <c r="AP30" s="4251"/>
      <c r="AQ30" s="4251"/>
      <c r="AR30" s="4251"/>
      <c r="AS30" s="4251"/>
      <c r="AT30" s="4251"/>
      <c r="AU30" s="4251"/>
      <c r="AV30" s="4251"/>
      <c r="AW30" s="4251"/>
      <c r="AX30" s="4251"/>
      <c r="AY30" s="4251"/>
      <c r="AZ30" s="4251"/>
      <c r="BA30" s="4251"/>
      <c r="BB30" s="4251"/>
      <c r="BC30" s="4251"/>
      <c r="BD30" s="4251"/>
      <c r="BE30" s="4251"/>
      <c r="BF30" s="4251"/>
      <c r="BG30" s="4251"/>
      <c r="BH30" s="4251"/>
      <c r="BI30" s="4251"/>
      <c r="BJ30" s="4251"/>
      <c r="BK30" s="4251"/>
      <c r="BL30" s="4251"/>
      <c r="BM30" s="4259"/>
      <c r="BN30" s="4251"/>
      <c r="BO30" s="4251"/>
      <c r="BP30" s="4251"/>
      <c r="BQ30" s="4256"/>
      <c r="BR30" s="4256"/>
      <c r="BS30" s="4256"/>
      <c r="BT30" s="4256"/>
      <c r="BU30" s="4255"/>
    </row>
    <row r="31" spans="1:73" s="3" customFormat="1" ht="48.75" customHeight="1" x14ac:dyDescent="0.25">
      <c r="A31" s="1578"/>
      <c r="B31" s="1579"/>
      <c r="C31" s="410"/>
      <c r="D31" s="411"/>
      <c r="E31" s="1365"/>
      <c r="F31" s="1365"/>
      <c r="G31" s="2664"/>
      <c r="H31" s="2475"/>
      <c r="I31" s="2664"/>
      <c r="J31" s="2475"/>
      <c r="K31" s="3606"/>
      <c r="L31" s="2475"/>
      <c r="M31" s="3606"/>
      <c r="N31" s="2475"/>
      <c r="O31" s="3409"/>
      <c r="P31" s="4248"/>
      <c r="Q31" s="3385"/>
      <c r="R31" s="2476"/>
      <c r="S31" s="2463"/>
      <c r="T31" s="4254"/>
      <c r="U31" s="2476"/>
      <c r="V31" s="2783"/>
      <c r="W31" s="2703"/>
      <c r="X31" s="1584">
        <v>66600000</v>
      </c>
      <c r="Y31" s="1584"/>
      <c r="Z31" s="1584"/>
      <c r="AA31" s="1583" t="s">
        <v>2028</v>
      </c>
      <c r="AB31" s="1411"/>
      <c r="AC31" s="1441"/>
      <c r="AD31" s="4251"/>
      <c r="AE31" s="4251"/>
      <c r="AF31" s="4251"/>
      <c r="AG31" s="4251"/>
      <c r="AH31" s="4251"/>
      <c r="AI31" s="4251"/>
      <c r="AJ31" s="4251"/>
      <c r="AK31" s="4251"/>
      <c r="AL31" s="4251"/>
      <c r="AM31" s="4251"/>
      <c r="AN31" s="4251"/>
      <c r="AO31" s="4251"/>
      <c r="AP31" s="4251"/>
      <c r="AQ31" s="4251"/>
      <c r="AR31" s="4251"/>
      <c r="AS31" s="4251"/>
      <c r="AT31" s="4251"/>
      <c r="AU31" s="4251"/>
      <c r="AV31" s="4251"/>
      <c r="AW31" s="4251"/>
      <c r="AX31" s="4251"/>
      <c r="AY31" s="4251"/>
      <c r="AZ31" s="4251"/>
      <c r="BA31" s="4251"/>
      <c r="BB31" s="4251"/>
      <c r="BC31" s="4251"/>
      <c r="BD31" s="4251"/>
      <c r="BE31" s="4251"/>
      <c r="BF31" s="4251"/>
      <c r="BG31" s="4251"/>
      <c r="BH31" s="4251"/>
      <c r="BI31" s="4251"/>
      <c r="BJ31" s="4251"/>
      <c r="BK31" s="4251"/>
      <c r="BL31" s="4251"/>
      <c r="BM31" s="4259"/>
      <c r="BN31" s="4251"/>
      <c r="BO31" s="4251"/>
      <c r="BP31" s="4251"/>
      <c r="BQ31" s="4256"/>
      <c r="BR31" s="4256"/>
      <c r="BS31" s="4256"/>
      <c r="BT31" s="4256"/>
      <c r="BU31" s="4255"/>
    </row>
    <row r="32" spans="1:73" s="3" customFormat="1" ht="61.5" customHeight="1" x14ac:dyDescent="0.25">
      <c r="A32" s="1578"/>
      <c r="B32" s="1579"/>
      <c r="C32" s="410"/>
      <c r="D32" s="411"/>
      <c r="E32" s="1365"/>
      <c r="F32" s="1365"/>
      <c r="G32" s="2664"/>
      <c r="H32" s="2475"/>
      <c r="I32" s="2664"/>
      <c r="J32" s="2475"/>
      <c r="K32" s="3606"/>
      <c r="L32" s="2475"/>
      <c r="M32" s="3606"/>
      <c r="N32" s="2475"/>
      <c r="O32" s="3409"/>
      <c r="P32" s="4248"/>
      <c r="Q32" s="3385"/>
      <c r="R32" s="2476"/>
      <c r="S32" s="2463"/>
      <c r="T32" s="4254"/>
      <c r="U32" s="2476"/>
      <c r="V32" s="2783"/>
      <c r="W32" s="1447" t="s">
        <v>2029</v>
      </c>
      <c r="X32" s="1584">
        <v>22000000</v>
      </c>
      <c r="Y32" s="1584"/>
      <c r="Z32" s="1584"/>
      <c r="AA32" s="1583" t="s">
        <v>2030</v>
      </c>
      <c r="AB32" s="1411">
        <v>63</v>
      </c>
      <c r="AC32" s="1441" t="s">
        <v>2025</v>
      </c>
      <c r="AD32" s="4251"/>
      <c r="AE32" s="4251"/>
      <c r="AF32" s="4251"/>
      <c r="AG32" s="4251"/>
      <c r="AH32" s="4251"/>
      <c r="AI32" s="4251"/>
      <c r="AJ32" s="4251"/>
      <c r="AK32" s="4251"/>
      <c r="AL32" s="4251"/>
      <c r="AM32" s="4251"/>
      <c r="AN32" s="4251"/>
      <c r="AO32" s="4251"/>
      <c r="AP32" s="4251"/>
      <c r="AQ32" s="4251"/>
      <c r="AR32" s="4251"/>
      <c r="AS32" s="4251"/>
      <c r="AT32" s="4251"/>
      <c r="AU32" s="4251"/>
      <c r="AV32" s="4251"/>
      <c r="AW32" s="4251"/>
      <c r="AX32" s="4251"/>
      <c r="AY32" s="4251"/>
      <c r="AZ32" s="4251"/>
      <c r="BA32" s="4251"/>
      <c r="BB32" s="4251"/>
      <c r="BC32" s="4251"/>
      <c r="BD32" s="4251"/>
      <c r="BE32" s="4251"/>
      <c r="BF32" s="4251"/>
      <c r="BG32" s="4251"/>
      <c r="BH32" s="4251"/>
      <c r="BI32" s="4251"/>
      <c r="BJ32" s="4251"/>
      <c r="BK32" s="4251"/>
      <c r="BL32" s="4251"/>
      <c r="BM32" s="4259"/>
      <c r="BN32" s="4251"/>
      <c r="BO32" s="4251"/>
      <c r="BP32" s="4251"/>
      <c r="BQ32" s="4256"/>
      <c r="BR32" s="4256"/>
      <c r="BS32" s="4256"/>
      <c r="BT32" s="4256"/>
      <c r="BU32" s="4255"/>
    </row>
    <row r="33" spans="1:73" s="3" customFormat="1" ht="67.5" customHeight="1" x14ac:dyDescent="0.25">
      <c r="A33" s="1578"/>
      <c r="B33" s="1579"/>
      <c r="C33" s="410"/>
      <c r="D33" s="411"/>
      <c r="E33" s="1365"/>
      <c r="F33" s="1365"/>
      <c r="G33" s="2664"/>
      <c r="H33" s="2475"/>
      <c r="I33" s="2664"/>
      <c r="J33" s="2475"/>
      <c r="K33" s="3606"/>
      <c r="L33" s="2475"/>
      <c r="M33" s="3606"/>
      <c r="N33" s="2475"/>
      <c r="O33" s="3409"/>
      <c r="P33" s="4248"/>
      <c r="Q33" s="3385"/>
      <c r="R33" s="2476"/>
      <c r="S33" s="2463"/>
      <c r="T33" s="4254"/>
      <c r="U33" s="2476"/>
      <c r="V33" s="2783"/>
      <c r="W33" s="2701" t="s">
        <v>2031</v>
      </c>
      <c r="X33" s="1584">
        <v>10000000</v>
      </c>
      <c r="Y33" s="1584"/>
      <c r="Z33" s="1584"/>
      <c r="AA33" s="1583" t="s">
        <v>2024</v>
      </c>
      <c r="AB33" s="1411">
        <v>63</v>
      </c>
      <c r="AC33" s="1441" t="s">
        <v>2025</v>
      </c>
      <c r="AD33" s="4251"/>
      <c r="AE33" s="4251"/>
      <c r="AF33" s="4251"/>
      <c r="AG33" s="4251"/>
      <c r="AH33" s="4251"/>
      <c r="AI33" s="4251"/>
      <c r="AJ33" s="4251"/>
      <c r="AK33" s="4251"/>
      <c r="AL33" s="4251"/>
      <c r="AM33" s="4251"/>
      <c r="AN33" s="4251"/>
      <c r="AO33" s="4251"/>
      <c r="AP33" s="4251"/>
      <c r="AQ33" s="4251"/>
      <c r="AR33" s="4251"/>
      <c r="AS33" s="4251"/>
      <c r="AT33" s="4251"/>
      <c r="AU33" s="4251"/>
      <c r="AV33" s="4251"/>
      <c r="AW33" s="4251"/>
      <c r="AX33" s="4251"/>
      <c r="AY33" s="4251"/>
      <c r="AZ33" s="4251"/>
      <c r="BA33" s="4251"/>
      <c r="BB33" s="4251"/>
      <c r="BC33" s="4251"/>
      <c r="BD33" s="4251"/>
      <c r="BE33" s="4251"/>
      <c r="BF33" s="4251"/>
      <c r="BG33" s="4251"/>
      <c r="BH33" s="4251"/>
      <c r="BI33" s="4251"/>
      <c r="BJ33" s="4251"/>
      <c r="BK33" s="4251"/>
      <c r="BL33" s="4251"/>
      <c r="BM33" s="4259"/>
      <c r="BN33" s="4251"/>
      <c r="BO33" s="4251"/>
      <c r="BP33" s="4251"/>
      <c r="BQ33" s="4256"/>
      <c r="BR33" s="4256"/>
      <c r="BS33" s="4256"/>
      <c r="BT33" s="4256"/>
      <c r="BU33" s="4255"/>
    </row>
    <row r="34" spans="1:73" s="3" customFormat="1" ht="67.5" customHeight="1" x14ac:dyDescent="0.25">
      <c r="A34" s="1578"/>
      <c r="B34" s="1579"/>
      <c r="C34" s="410"/>
      <c r="D34" s="411"/>
      <c r="E34" s="1365"/>
      <c r="F34" s="1365"/>
      <c r="G34" s="2664"/>
      <c r="H34" s="2475"/>
      <c r="I34" s="2664"/>
      <c r="J34" s="2475"/>
      <c r="K34" s="3606"/>
      <c r="L34" s="2475"/>
      <c r="M34" s="3606"/>
      <c r="N34" s="2475"/>
      <c r="O34" s="3409"/>
      <c r="P34" s="4248"/>
      <c r="Q34" s="3385"/>
      <c r="R34" s="2476"/>
      <c r="S34" s="2463"/>
      <c r="T34" s="4254"/>
      <c r="U34" s="2476"/>
      <c r="V34" s="2783"/>
      <c r="W34" s="2703"/>
      <c r="X34" s="1584">
        <v>28700000</v>
      </c>
      <c r="Y34" s="1584"/>
      <c r="Z34" s="1584"/>
      <c r="AA34" s="1583" t="s">
        <v>2028</v>
      </c>
      <c r="AB34" s="1411"/>
      <c r="AC34" s="1441"/>
      <c r="AD34" s="4251"/>
      <c r="AE34" s="4251"/>
      <c r="AF34" s="4251"/>
      <c r="AG34" s="4251"/>
      <c r="AH34" s="4251"/>
      <c r="AI34" s="4251"/>
      <c r="AJ34" s="4251"/>
      <c r="AK34" s="4251"/>
      <c r="AL34" s="4251"/>
      <c r="AM34" s="4251"/>
      <c r="AN34" s="4251"/>
      <c r="AO34" s="4251"/>
      <c r="AP34" s="4251"/>
      <c r="AQ34" s="4251"/>
      <c r="AR34" s="4251"/>
      <c r="AS34" s="4251"/>
      <c r="AT34" s="4251"/>
      <c r="AU34" s="4251"/>
      <c r="AV34" s="4251"/>
      <c r="AW34" s="4251"/>
      <c r="AX34" s="4251"/>
      <c r="AY34" s="4251"/>
      <c r="AZ34" s="4251"/>
      <c r="BA34" s="4251"/>
      <c r="BB34" s="4251"/>
      <c r="BC34" s="4251"/>
      <c r="BD34" s="4251"/>
      <c r="BE34" s="4251"/>
      <c r="BF34" s="4251"/>
      <c r="BG34" s="4251"/>
      <c r="BH34" s="4251"/>
      <c r="BI34" s="4251"/>
      <c r="BJ34" s="4251"/>
      <c r="BK34" s="4251"/>
      <c r="BL34" s="4251"/>
      <c r="BM34" s="4259"/>
      <c r="BN34" s="4251"/>
      <c r="BO34" s="4251"/>
      <c r="BP34" s="4251"/>
      <c r="BQ34" s="4256"/>
      <c r="BR34" s="4256"/>
      <c r="BS34" s="4256"/>
      <c r="BT34" s="4256"/>
      <c r="BU34" s="4255"/>
    </row>
    <row r="35" spans="1:73" s="3" customFormat="1" ht="69" customHeight="1" x14ac:dyDescent="0.25">
      <c r="A35" s="1578"/>
      <c r="B35" s="1579"/>
      <c r="C35" s="410"/>
      <c r="D35" s="411"/>
      <c r="E35" s="1365"/>
      <c r="F35" s="1365"/>
      <c r="G35" s="2664"/>
      <c r="H35" s="2475"/>
      <c r="I35" s="2664"/>
      <c r="J35" s="2475"/>
      <c r="K35" s="3606"/>
      <c r="L35" s="2475"/>
      <c r="M35" s="3606"/>
      <c r="N35" s="2475"/>
      <c r="O35" s="3409"/>
      <c r="P35" s="4248"/>
      <c r="Q35" s="3385"/>
      <c r="R35" s="2476"/>
      <c r="S35" s="2463"/>
      <c r="T35" s="4254"/>
      <c r="U35" s="2476"/>
      <c r="V35" s="2783"/>
      <c r="W35" s="2701" t="s">
        <v>2032</v>
      </c>
      <c r="X35" s="1584">
        <v>10000000</v>
      </c>
      <c r="Y35" s="1584">
        <v>3000000</v>
      </c>
      <c r="Z35" s="1584">
        <v>2250000</v>
      </c>
      <c r="AA35" s="1583" t="s">
        <v>2024</v>
      </c>
      <c r="AB35" s="1411">
        <v>63</v>
      </c>
      <c r="AC35" s="1441" t="s">
        <v>2025</v>
      </c>
      <c r="AD35" s="4251"/>
      <c r="AE35" s="4251"/>
      <c r="AF35" s="4251"/>
      <c r="AG35" s="4251"/>
      <c r="AH35" s="4251"/>
      <c r="AI35" s="4251"/>
      <c r="AJ35" s="4251"/>
      <c r="AK35" s="4251"/>
      <c r="AL35" s="4251"/>
      <c r="AM35" s="4251"/>
      <c r="AN35" s="4251"/>
      <c r="AO35" s="4251"/>
      <c r="AP35" s="4251"/>
      <c r="AQ35" s="4251"/>
      <c r="AR35" s="4251"/>
      <c r="AS35" s="4251"/>
      <c r="AT35" s="4251"/>
      <c r="AU35" s="4251"/>
      <c r="AV35" s="4251"/>
      <c r="AW35" s="4251"/>
      <c r="AX35" s="4251"/>
      <c r="AY35" s="4251"/>
      <c r="AZ35" s="4251"/>
      <c r="BA35" s="4251"/>
      <c r="BB35" s="4251"/>
      <c r="BC35" s="4251"/>
      <c r="BD35" s="4251"/>
      <c r="BE35" s="4251"/>
      <c r="BF35" s="4251"/>
      <c r="BG35" s="4251"/>
      <c r="BH35" s="4251"/>
      <c r="BI35" s="4251"/>
      <c r="BJ35" s="4251"/>
      <c r="BK35" s="4251"/>
      <c r="BL35" s="4251"/>
      <c r="BM35" s="4259"/>
      <c r="BN35" s="4251"/>
      <c r="BO35" s="4251"/>
      <c r="BP35" s="4251"/>
      <c r="BQ35" s="4256"/>
      <c r="BR35" s="4256"/>
      <c r="BS35" s="4256"/>
      <c r="BT35" s="4256"/>
      <c r="BU35" s="4255"/>
    </row>
    <row r="36" spans="1:73" s="3" customFormat="1" ht="69" customHeight="1" x14ac:dyDescent="0.25">
      <c r="A36" s="1578"/>
      <c r="B36" s="1579"/>
      <c r="C36" s="410"/>
      <c r="D36" s="411"/>
      <c r="E36" s="1365"/>
      <c r="F36" s="1365"/>
      <c r="G36" s="2664"/>
      <c r="H36" s="2475"/>
      <c r="I36" s="2664"/>
      <c r="J36" s="2475"/>
      <c r="K36" s="3606"/>
      <c r="L36" s="2475"/>
      <c r="M36" s="3606"/>
      <c r="N36" s="2475"/>
      <c r="O36" s="3409"/>
      <c r="P36" s="4248"/>
      <c r="Q36" s="3385"/>
      <c r="R36" s="2476"/>
      <c r="S36" s="2463"/>
      <c r="T36" s="4254"/>
      <c r="U36" s="2476"/>
      <c r="V36" s="2783"/>
      <c r="W36" s="2703"/>
      <c r="X36" s="1584">
        <v>28700000</v>
      </c>
      <c r="Y36" s="1584"/>
      <c r="Z36" s="1584"/>
      <c r="AA36" s="1583" t="s">
        <v>2028</v>
      </c>
      <c r="AB36" s="1411"/>
      <c r="AC36" s="1441"/>
      <c r="AD36" s="4251"/>
      <c r="AE36" s="4251"/>
      <c r="AF36" s="4251"/>
      <c r="AG36" s="4251"/>
      <c r="AH36" s="4251"/>
      <c r="AI36" s="4251"/>
      <c r="AJ36" s="4251"/>
      <c r="AK36" s="4251"/>
      <c r="AL36" s="4251"/>
      <c r="AM36" s="4251"/>
      <c r="AN36" s="4251"/>
      <c r="AO36" s="4251"/>
      <c r="AP36" s="4251"/>
      <c r="AQ36" s="4251"/>
      <c r="AR36" s="4251"/>
      <c r="AS36" s="4251"/>
      <c r="AT36" s="4251"/>
      <c r="AU36" s="4251"/>
      <c r="AV36" s="4251"/>
      <c r="AW36" s="4251"/>
      <c r="AX36" s="4251"/>
      <c r="AY36" s="4251"/>
      <c r="AZ36" s="4251"/>
      <c r="BA36" s="4251"/>
      <c r="BB36" s="4251"/>
      <c r="BC36" s="4251"/>
      <c r="BD36" s="4251"/>
      <c r="BE36" s="4251"/>
      <c r="BF36" s="4251"/>
      <c r="BG36" s="4251"/>
      <c r="BH36" s="4251"/>
      <c r="BI36" s="4251"/>
      <c r="BJ36" s="4251"/>
      <c r="BK36" s="4251"/>
      <c r="BL36" s="4251"/>
      <c r="BM36" s="4259"/>
      <c r="BN36" s="4251"/>
      <c r="BO36" s="4251"/>
      <c r="BP36" s="4251"/>
      <c r="BQ36" s="4256"/>
      <c r="BR36" s="4256"/>
      <c r="BS36" s="4256"/>
      <c r="BT36" s="4256"/>
      <c r="BU36" s="4255"/>
    </row>
    <row r="37" spans="1:73" s="3" customFormat="1" ht="48.75" customHeight="1" x14ac:dyDescent="0.25">
      <c r="A37" s="1578"/>
      <c r="B37" s="1579"/>
      <c r="C37" s="410"/>
      <c r="D37" s="411"/>
      <c r="E37" s="1365"/>
      <c r="F37" s="1365"/>
      <c r="G37" s="2664"/>
      <c r="H37" s="2475"/>
      <c r="I37" s="2664"/>
      <c r="J37" s="2475"/>
      <c r="K37" s="3606"/>
      <c r="L37" s="2475"/>
      <c r="M37" s="3606"/>
      <c r="N37" s="2475"/>
      <c r="O37" s="3409"/>
      <c r="P37" s="4248"/>
      <c r="Q37" s="3385"/>
      <c r="R37" s="2476"/>
      <c r="S37" s="2463"/>
      <c r="T37" s="4254"/>
      <c r="U37" s="2476"/>
      <c r="V37" s="2783"/>
      <c r="W37" s="2701" t="s">
        <v>2033</v>
      </c>
      <c r="X37" s="1584">
        <v>4000000</v>
      </c>
      <c r="Y37" s="1584"/>
      <c r="Z37" s="1584"/>
      <c r="AA37" s="1583" t="s">
        <v>2030</v>
      </c>
      <c r="AB37" s="1411">
        <v>63</v>
      </c>
      <c r="AC37" s="1441" t="s">
        <v>2025</v>
      </c>
      <c r="AD37" s="4251"/>
      <c r="AE37" s="4251"/>
      <c r="AF37" s="4251"/>
      <c r="AG37" s="4251"/>
      <c r="AH37" s="4251"/>
      <c r="AI37" s="4251"/>
      <c r="AJ37" s="4251"/>
      <c r="AK37" s="4251"/>
      <c r="AL37" s="4251"/>
      <c r="AM37" s="4251"/>
      <c r="AN37" s="4251"/>
      <c r="AO37" s="4251"/>
      <c r="AP37" s="4251"/>
      <c r="AQ37" s="4251"/>
      <c r="AR37" s="4251"/>
      <c r="AS37" s="4251"/>
      <c r="AT37" s="4251"/>
      <c r="AU37" s="4251"/>
      <c r="AV37" s="4251"/>
      <c r="AW37" s="4251"/>
      <c r="AX37" s="4251"/>
      <c r="AY37" s="4251"/>
      <c r="AZ37" s="4251"/>
      <c r="BA37" s="4251"/>
      <c r="BB37" s="4251"/>
      <c r="BC37" s="4251"/>
      <c r="BD37" s="4251"/>
      <c r="BE37" s="4251"/>
      <c r="BF37" s="4251"/>
      <c r="BG37" s="4251"/>
      <c r="BH37" s="4251"/>
      <c r="BI37" s="4251"/>
      <c r="BJ37" s="4251"/>
      <c r="BK37" s="4251"/>
      <c r="BL37" s="4251"/>
      <c r="BM37" s="4259"/>
      <c r="BN37" s="4251"/>
      <c r="BO37" s="4251"/>
      <c r="BP37" s="4251"/>
      <c r="BQ37" s="4256"/>
      <c r="BR37" s="4256"/>
      <c r="BS37" s="4256"/>
      <c r="BT37" s="4256"/>
      <c r="BU37" s="4255"/>
    </row>
    <row r="38" spans="1:73" s="3" customFormat="1" ht="48.75" customHeight="1" x14ac:dyDescent="0.25">
      <c r="A38" s="1578"/>
      <c r="B38" s="1579"/>
      <c r="C38" s="410"/>
      <c r="D38" s="411"/>
      <c r="E38" s="1365"/>
      <c r="F38" s="1365"/>
      <c r="G38" s="2664"/>
      <c r="H38" s="2475"/>
      <c r="I38" s="2664"/>
      <c r="J38" s="2475"/>
      <c r="K38" s="3606"/>
      <c r="L38" s="2475"/>
      <c r="M38" s="3606"/>
      <c r="N38" s="2475"/>
      <c r="O38" s="3409"/>
      <c r="P38" s="4248"/>
      <c r="Q38" s="3385"/>
      <c r="R38" s="2476"/>
      <c r="S38" s="2463"/>
      <c r="T38" s="4254"/>
      <c r="U38" s="2476"/>
      <c r="V38" s="2783"/>
      <c r="W38" s="2702"/>
      <c r="X38" s="1584">
        <v>18000000</v>
      </c>
      <c r="Y38" s="1584"/>
      <c r="Z38" s="1584"/>
      <c r="AA38" s="1589" t="s">
        <v>2024</v>
      </c>
      <c r="AB38" s="1411">
        <v>63</v>
      </c>
      <c r="AC38" s="1441" t="s">
        <v>2025</v>
      </c>
      <c r="AD38" s="4251"/>
      <c r="AE38" s="4251"/>
      <c r="AF38" s="4251"/>
      <c r="AG38" s="4251"/>
      <c r="AH38" s="4251"/>
      <c r="AI38" s="4251"/>
      <c r="AJ38" s="4251"/>
      <c r="AK38" s="4251"/>
      <c r="AL38" s="4251"/>
      <c r="AM38" s="4251"/>
      <c r="AN38" s="4251"/>
      <c r="AO38" s="4251"/>
      <c r="AP38" s="4251"/>
      <c r="AQ38" s="4251"/>
      <c r="AR38" s="4251"/>
      <c r="AS38" s="4251"/>
      <c r="AT38" s="4251"/>
      <c r="AU38" s="4251"/>
      <c r="AV38" s="4251"/>
      <c r="AW38" s="4251"/>
      <c r="AX38" s="4251"/>
      <c r="AY38" s="4251"/>
      <c r="AZ38" s="4251"/>
      <c r="BA38" s="4251"/>
      <c r="BB38" s="4251"/>
      <c r="BC38" s="4251"/>
      <c r="BD38" s="4251"/>
      <c r="BE38" s="4251"/>
      <c r="BF38" s="4251"/>
      <c r="BG38" s="4251"/>
      <c r="BH38" s="4251"/>
      <c r="BI38" s="4251"/>
      <c r="BJ38" s="4251"/>
      <c r="BK38" s="4251"/>
      <c r="BL38" s="4251"/>
      <c r="BM38" s="4259"/>
      <c r="BN38" s="4251"/>
      <c r="BO38" s="4251"/>
      <c r="BP38" s="4251"/>
      <c r="BQ38" s="4256"/>
      <c r="BR38" s="4256"/>
      <c r="BS38" s="4256"/>
      <c r="BT38" s="4256"/>
      <c r="BU38" s="4255"/>
    </row>
    <row r="39" spans="1:73" s="3" customFormat="1" ht="48.75" customHeight="1" x14ac:dyDescent="0.25">
      <c r="A39" s="1578"/>
      <c r="B39" s="1579"/>
      <c r="C39" s="410"/>
      <c r="D39" s="411"/>
      <c r="E39" s="1365"/>
      <c r="F39" s="1365"/>
      <c r="G39" s="2664"/>
      <c r="H39" s="2475"/>
      <c r="I39" s="2664"/>
      <c r="J39" s="2475"/>
      <c r="K39" s="3606"/>
      <c r="L39" s="2475"/>
      <c r="M39" s="3606"/>
      <c r="N39" s="2475"/>
      <c r="O39" s="3409"/>
      <c r="P39" s="4248"/>
      <c r="Q39" s="3385"/>
      <c r="R39" s="2476"/>
      <c r="S39" s="2463"/>
      <c r="T39" s="4254"/>
      <c r="U39" s="2476"/>
      <c r="V39" s="2783"/>
      <c r="W39" s="2703"/>
      <c r="X39" s="1584">
        <v>19350000</v>
      </c>
      <c r="Y39" s="1584"/>
      <c r="Z39" s="1584"/>
      <c r="AA39" s="1589" t="s">
        <v>2028</v>
      </c>
      <c r="AB39" s="1411"/>
      <c r="AC39" s="1441"/>
      <c r="AD39" s="4251"/>
      <c r="AE39" s="4251"/>
      <c r="AF39" s="4251"/>
      <c r="AG39" s="4251"/>
      <c r="AH39" s="4251"/>
      <c r="AI39" s="4251"/>
      <c r="AJ39" s="4251"/>
      <c r="AK39" s="4251"/>
      <c r="AL39" s="4251"/>
      <c r="AM39" s="4251"/>
      <c r="AN39" s="4251"/>
      <c r="AO39" s="4251"/>
      <c r="AP39" s="4251"/>
      <c r="AQ39" s="4251"/>
      <c r="AR39" s="4251"/>
      <c r="AS39" s="4251"/>
      <c r="AT39" s="4251"/>
      <c r="AU39" s="4251"/>
      <c r="AV39" s="4251"/>
      <c r="AW39" s="4251"/>
      <c r="AX39" s="4251"/>
      <c r="AY39" s="4251"/>
      <c r="AZ39" s="4251"/>
      <c r="BA39" s="4251"/>
      <c r="BB39" s="4251"/>
      <c r="BC39" s="4251"/>
      <c r="BD39" s="4251"/>
      <c r="BE39" s="4251"/>
      <c r="BF39" s="4251"/>
      <c r="BG39" s="4251"/>
      <c r="BH39" s="4251"/>
      <c r="BI39" s="4251"/>
      <c r="BJ39" s="4251"/>
      <c r="BK39" s="4251"/>
      <c r="BL39" s="4251"/>
      <c r="BM39" s="4259"/>
      <c r="BN39" s="4251"/>
      <c r="BO39" s="4251"/>
      <c r="BP39" s="4251"/>
      <c r="BQ39" s="4256"/>
      <c r="BR39" s="4256"/>
      <c r="BS39" s="4256"/>
      <c r="BT39" s="4256"/>
      <c r="BU39" s="4255"/>
    </row>
    <row r="40" spans="1:73" s="3" customFormat="1" ht="48.75" customHeight="1" x14ac:dyDescent="0.25">
      <c r="A40" s="1578"/>
      <c r="B40" s="1579"/>
      <c r="C40" s="410"/>
      <c r="D40" s="411"/>
      <c r="E40" s="1365"/>
      <c r="F40" s="1365"/>
      <c r="G40" s="2664"/>
      <c r="H40" s="2475"/>
      <c r="I40" s="2664"/>
      <c r="J40" s="2475"/>
      <c r="K40" s="3606"/>
      <c r="L40" s="2475"/>
      <c r="M40" s="3606"/>
      <c r="N40" s="2475"/>
      <c r="O40" s="3409"/>
      <c r="P40" s="4248"/>
      <c r="Q40" s="3385"/>
      <c r="R40" s="2476"/>
      <c r="S40" s="2463"/>
      <c r="T40" s="4254"/>
      <c r="U40" s="2476"/>
      <c r="V40" s="2783"/>
      <c r="W40" s="1457" t="s">
        <v>2034</v>
      </c>
      <c r="X40" s="1584">
        <v>40000000</v>
      </c>
      <c r="Y40" s="1584"/>
      <c r="Z40" s="1584"/>
      <c r="AA40" s="1589" t="s">
        <v>2024</v>
      </c>
      <c r="AB40" s="1411"/>
      <c r="AC40" s="1441"/>
      <c r="AD40" s="4251"/>
      <c r="AE40" s="4251"/>
      <c r="AF40" s="4251"/>
      <c r="AG40" s="4251"/>
      <c r="AH40" s="4251"/>
      <c r="AI40" s="4251"/>
      <c r="AJ40" s="4251"/>
      <c r="AK40" s="4251"/>
      <c r="AL40" s="4251"/>
      <c r="AM40" s="4251"/>
      <c r="AN40" s="4251"/>
      <c r="AO40" s="4251"/>
      <c r="AP40" s="4251"/>
      <c r="AQ40" s="4251"/>
      <c r="AR40" s="4251"/>
      <c r="AS40" s="4251"/>
      <c r="AT40" s="4251"/>
      <c r="AU40" s="4251"/>
      <c r="AV40" s="4251"/>
      <c r="AW40" s="4251"/>
      <c r="AX40" s="4251"/>
      <c r="AY40" s="4251"/>
      <c r="AZ40" s="4251"/>
      <c r="BA40" s="4251"/>
      <c r="BB40" s="4251"/>
      <c r="BC40" s="4251"/>
      <c r="BD40" s="4251"/>
      <c r="BE40" s="4251"/>
      <c r="BF40" s="4251"/>
      <c r="BG40" s="4251"/>
      <c r="BH40" s="4251"/>
      <c r="BI40" s="4251"/>
      <c r="BJ40" s="4251"/>
      <c r="BK40" s="4251"/>
      <c r="BL40" s="4251"/>
      <c r="BM40" s="4259"/>
      <c r="BN40" s="4251"/>
      <c r="BO40" s="4251"/>
      <c r="BP40" s="4251"/>
      <c r="BQ40" s="4256"/>
      <c r="BR40" s="4256"/>
      <c r="BS40" s="4256"/>
      <c r="BT40" s="4256"/>
      <c r="BU40" s="4255"/>
    </row>
    <row r="41" spans="1:73" s="3" customFormat="1" ht="48.75" customHeight="1" x14ac:dyDescent="0.25">
      <c r="A41" s="1578"/>
      <c r="B41" s="1579"/>
      <c r="C41" s="410"/>
      <c r="D41" s="411"/>
      <c r="E41" s="1365"/>
      <c r="F41" s="1365"/>
      <c r="G41" s="2664"/>
      <c r="H41" s="2475"/>
      <c r="I41" s="2664"/>
      <c r="J41" s="2475"/>
      <c r="K41" s="3606"/>
      <c r="L41" s="2475"/>
      <c r="M41" s="3606"/>
      <c r="N41" s="2475"/>
      <c r="O41" s="3409"/>
      <c r="P41" s="4248"/>
      <c r="Q41" s="3385"/>
      <c r="R41" s="2476"/>
      <c r="S41" s="2463"/>
      <c r="T41" s="4254"/>
      <c r="U41" s="2476"/>
      <c r="V41" s="2783"/>
      <c r="W41" s="2701" t="s">
        <v>2035</v>
      </c>
      <c r="X41" s="1584">
        <v>628700000</v>
      </c>
      <c r="Y41" s="1584">
        <v>133953650</v>
      </c>
      <c r="Z41" s="1584">
        <v>133953650</v>
      </c>
      <c r="AA41" s="1590" t="s">
        <v>2030</v>
      </c>
      <c r="AB41" s="1411">
        <v>63</v>
      </c>
      <c r="AC41" s="1441" t="s">
        <v>2025</v>
      </c>
      <c r="AD41" s="4251"/>
      <c r="AE41" s="4251"/>
      <c r="AF41" s="4251"/>
      <c r="AG41" s="4251"/>
      <c r="AH41" s="4251"/>
      <c r="AI41" s="4251"/>
      <c r="AJ41" s="4251"/>
      <c r="AK41" s="4251"/>
      <c r="AL41" s="4251"/>
      <c r="AM41" s="4251"/>
      <c r="AN41" s="4251"/>
      <c r="AO41" s="4251"/>
      <c r="AP41" s="4251"/>
      <c r="AQ41" s="4251"/>
      <c r="AR41" s="4251"/>
      <c r="AS41" s="4251"/>
      <c r="AT41" s="4251"/>
      <c r="AU41" s="4251"/>
      <c r="AV41" s="4251"/>
      <c r="AW41" s="4251"/>
      <c r="AX41" s="4251"/>
      <c r="AY41" s="4251"/>
      <c r="AZ41" s="4251"/>
      <c r="BA41" s="4251"/>
      <c r="BB41" s="4251"/>
      <c r="BC41" s="4251"/>
      <c r="BD41" s="4251"/>
      <c r="BE41" s="4251"/>
      <c r="BF41" s="4251"/>
      <c r="BG41" s="4251"/>
      <c r="BH41" s="4251"/>
      <c r="BI41" s="4251"/>
      <c r="BJ41" s="4251"/>
      <c r="BK41" s="4251"/>
      <c r="BL41" s="4251"/>
      <c r="BM41" s="4259"/>
      <c r="BN41" s="4251"/>
      <c r="BO41" s="4251"/>
      <c r="BP41" s="4251"/>
      <c r="BQ41" s="4256"/>
      <c r="BR41" s="4256"/>
      <c r="BS41" s="4256"/>
      <c r="BT41" s="4256"/>
      <c r="BU41" s="4255"/>
    </row>
    <row r="42" spans="1:73" s="3" customFormat="1" ht="48.75" customHeight="1" x14ac:dyDescent="0.25">
      <c r="A42" s="1578"/>
      <c r="B42" s="1579"/>
      <c r="C42" s="410"/>
      <c r="D42" s="411"/>
      <c r="E42" s="1365"/>
      <c r="F42" s="1365"/>
      <c r="G42" s="2664"/>
      <c r="H42" s="2475"/>
      <c r="I42" s="2664"/>
      <c r="J42" s="2475"/>
      <c r="K42" s="3606"/>
      <c r="L42" s="2475"/>
      <c r="M42" s="3606"/>
      <c r="N42" s="2475"/>
      <c r="O42" s="3601"/>
      <c r="P42" s="4249"/>
      <c r="Q42" s="3385"/>
      <c r="R42" s="2476"/>
      <c r="S42" s="2464"/>
      <c r="T42" s="4254"/>
      <c r="U42" s="2476"/>
      <c r="V42" s="2783"/>
      <c r="W42" s="2703"/>
      <c r="X42" s="1584">
        <v>300000000</v>
      </c>
      <c r="Y42" s="1584">
        <v>0</v>
      </c>
      <c r="Z42" s="1584">
        <v>0</v>
      </c>
      <c r="AA42" s="1591" t="s">
        <v>2036</v>
      </c>
      <c r="AB42" s="1411" t="s">
        <v>2036</v>
      </c>
      <c r="AC42" s="1441"/>
      <c r="AD42" s="4251"/>
      <c r="AE42" s="4251"/>
      <c r="AF42" s="4251"/>
      <c r="AG42" s="4251"/>
      <c r="AH42" s="4251"/>
      <c r="AI42" s="4251"/>
      <c r="AJ42" s="4251"/>
      <c r="AK42" s="4251"/>
      <c r="AL42" s="4251"/>
      <c r="AM42" s="4251"/>
      <c r="AN42" s="4251"/>
      <c r="AO42" s="4251"/>
      <c r="AP42" s="4251"/>
      <c r="AQ42" s="4251"/>
      <c r="AR42" s="4251"/>
      <c r="AS42" s="4251"/>
      <c r="AT42" s="4251"/>
      <c r="AU42" s="4251"/>
      <c r="AV42" s="4251"/>
      <c r="AW42" s="4251"/>
      <c r="AX42" s="4251"/>
      <c r="AY42" s="4251"/>
      <c r="AZ42" s="4251"/>
      <c r="BA42" s="4251"/>
      <c r="BB42" s="4251"/>
      <c r="BC42" s="4251"/>
      <c r="BD42" s="4251"/>
      <c r="BE42" s="4251"/>
      <c r="BF42" s="4251"/>
      <c r="BG42" s="4251"/>
      <c r="BH42" s="4251"/>
      <c r="BI42" s="4251"/>
      <c r="BJ42" s="4251"/>
      <c r="BK42" s="4251"/>
      <c r="BL42" s="4251"/>
      <c r="BM42" s="4259"/>
      <c r="BN42" s="4251"/>
      <c r="BO42" s="4251"/>
      <c r="BP42" s="4251"/>
      <c r="BQ42" s="4256"/>
      <c r="BR42" s="4256"/>
      <c r="BS42" s="4256"/>
      <c r="BT42" s="4256"/>
      <c r="BU42" s="4255"/>
    </row>
    <row r="43" spans="1:73" s="3" customFormat="1" ht="172.5" customHeight="1" x14ac:dyDescent="0.25">
      <c r="A43" s="1578"/>
      <c r="B43" s="1579"/>
      <c r="C43" s="410"/>
      <c r="D43" s="411"/>
      <c r="E43" s="1365"/>
      <c r="F43" s="1365"/>
      <c r="G43" s="1463">
        <v>1903038</v>
      </c>
      <c r="H43" s="1461" t="s">
        <v>2016</v>
      </c>
      <c r="I43" s="1463">
        <v>1903038</v>
      </c>
      <c r="J43" s="1461" t="s">
        <v>2016</v>
      </c>
      <c r="K43" s="1592">
        <v>190303801</v>
      </c>
      <c r="L43" s="1440" t="s">
        <v>2037</v>
      </c>
      <c r="M43" s="1592">
        <v>190303801</v>
      </c>
      <c r="N43" s="1440" t="s">
        <v>2037</v>
      </c>
      <c r="O43" s="1466">
        <v>11</v>
      </c>
      <c r="P43" s="1593">
        <v>11</v>
      </c>
      <c r="Q43" s="3385"/>
      <c r="R43" s="2476"/>
      <c r="S43" s="1471">
        <f>X43/T13</f>
        <v>1.1247385877476035E-2</v>
      </c>
      <c r="T43" s="4254"/>
      <c r="U43" s="2476"/>
      <c r="V43" s="2783"/>
      <c r="W43" s="1065" t="s">
        <v>2038</v>
      </c>
      <c r="X43" s="1584">
        <v>19000000</v>
      </c>
      <c r="Y43" s="1584">
        <v>13200000</v>
      </c>
      <c r="Z43" s="1584">
        <v>13200000</v>
      </c>
      <c r="AA43" s="1594" t="s">
        <v>2039</v>
      </c>
      <c r="AB43" s="1411">
        <v>61</v>
      </c>
      <c r="AC43" s="1441" t="s">
        <v>1987</v>
      </c>
      <c r="AD43" s="4251"/>
      <c r="AE43" s="4251"/>
      <c r="AF43" s="4251"/>
      <c r="AG43" s="4251"/>
      <c r="AH43" s="4251"/>
      <c r="AI43" s="4251"/>
      <c r="AJ43" s="4251"/>
      <c r="AK43" s="4251"/>
      <c r="AL43" s="4251"/>
      <c r="AM43" s="4251"/>
      <c r="AN43" s="4251"/>
      <c r="AO43" s="4251"/>
      <c r="AP43" s="4251"/>
      <c r="AQ43" s="4251"/>
      <c r="AR43" s="4251"/>
      <c r="AS43" s="4251"/>
      <c r="AT43" s="4251"/>
      <c r="AU43" s="4251"/>
      <c r="AV43" s="4251"/>
      <c r="AW43" s="4251"/>
      <c r="AX43" s="4251"/>
      <c r="AY43" s="4251"/>
      <c r="AZ43" s="4251"/>
      <c r="BA43" s="4251"/>
      <c r="BB43" s="4251"/>
      <c r="BC43" s="4251"/>
      <c r="BD43" s="4251"/>
      <c r="BE43" s="4251"/>
      <c r="BF43" s="4251"/>
      <c r="BG43" s="4251"/>
      <c r="BH43" s="4251"/>
      <c r="BI43" s="4251"/>
      <c r="BJ43" s="4251"/>
      <c r="BK43" s="4251"/>
      <c r="BL43" s="4251"/>
      <c r="BM43" s="4259"/>
      <c r="BN43" s="4251"/>
      <c r="BO43" s="4251"/>
      <c r="BP43" s="4251"/>
      <c r="BQ43" s="4256"/>
      <c r="BR43" s="4256"/>
      <c r="BS43" s="4256"/>
      <c r="BT43" s="4256"/>
      <c r="BU43" s="4255"/>
    </row>
    <row r="44" spans="1:73" s="3" customFormat="1" ht="150" customHeight="1" x14ac:dyDescent="0.25">
      <c r="A44" s="1578"/>
      <c r="B44" s="1579"/>
      <c r="C44" s="410"/>
      <c r="D44" s="411"/>
      <c r="E44" s="1365"/>
      <c r="F44" s="1365"/>
      <c r="G44" s="1464">
        <v>1903027</v>
      </c>
      <c r="H44" s="747" t="s">
        <v>2040</v>
      </c>
      <c r="I44" s="1464">
        <v>1903027</v>
      </c>
      <c r="J44" s="747" t="s">
        <v>2040</v>
      </c>
      <c r="K44" s="1595">
        <v>190302700</v>
      </c>
      <c r="L44" s="1596" t="s">
        <v>2041</v>
      </c>
      <c r="M44" s="1595">
        <v>190302700</v>
      </c>
      <c r="N44" s="1596" t="s">
        <v>2041</v>
      </c>
      <c r="O44" s="1467">
        <v>5</v>
      </c>
      <c r="P44" s="1597">
        <v>5</v>
      </c>
      <c r="Q44" s="3385"/>
      <c r="R44" s="2476"/>
      <c r="S44" s="1471">
        <f>X44/T13</f>
        <v>1.1247385877476035E-2</v>
      </c>
      <c r="T44" s="4254"/>
      <c r="U44" s="2476"/>
      <c r="V44" s="2783"/>
      <c r="W44" s="1598" t="s">
        <v>2042</v>
      </c>
      <c r="X44" s="1584">
        <v>19000000</v>
      </c>
      <c r="Y44" s="1584">
        <v>11540000</v>
      </c>
      <c r="Z44" s="1584">
        <v>8655000</v>
      </c>
      <c r="AA44" s="1583" t="s">
        <v>2043</v>
      </c>
      <c r="AB44" s="1411">
        <v>61</v>
      </c>
      <c r="AC44" s="1441" t="s">
        <v>1987</v>
      </c>
      <c r="AD44" s="4251"/>
      <c r="AE44" s="4251"/>
      <c r="AF44" s="4251"/>
      <c r="AG44" s="4251"/>
      <c r="AH44" s="4251"/>
      <c r="AI44" s="4251"/>
      <c r="AJ44" s="4251"/>
      <c r="AK44" s="4251"/>
      <c r="AL44" s="4251"/>
      <c r="AM44" s="4251"/>
      <c r="AN44" s="4251"/>
      <c r="AO44" s="4251"/>
      <c r="AP44" s="4251"/>
      <c r="AQ44" s="4251"/>
      <c r="AR44" s="4251"/>
      <c r="AS44" s="4251"/>
      <c r="AT44" s="4251"/>
      <c r="AU44" s="4251"/>
      <c r="AV44" s="4251"/>
      <c r="AW44" s="4251"/>
      <c r="AX44" s="4251"/>
      <c r="AY44" s="4251"/>
      <c r="AZ44" s="4251"/>
      <c r="BA44" s="4251"/>
      <c r="BB44" s="4251"/>
      <c r="BC44" s="4251"/>
      <c r="BD44" s="4251"/>
      <c r="BE44" s="4251"/>
      <c r="BF44" s="4251"/>
      <c r="BG44" s="4251"/>
      <c r="BH44" s="4251"/>
      <c r="BI44" s="4251"/>
      <c r="BJ44" s="4251"/>
      <c r="BK44" s="4251"/>
      <c r="BL44" s="4251"/>
      <c r="BM44" s="4259"/>
      <c r="BN44" s="4251"/>
      <c r="BO44" s="4251"/>
      <c r="BP44" s="4251"/>
      <c r="BQ44" s="4256"/>
      <c r="BR44" s="4256"/>
      <c r="BS44" s="4256"/>
      <c r="BT44" s="4256"/>
      <c r="BU44" s="4255"/>
    </row>
    <row r="45" spans="1:73" s="3" customFormat="1" ht="90.75" customHeight="1" x14ac:dyDescent="0.25">
      <c r="A45" s="1578"/>
      <c r="B45" s="1579"/>
      <c r="C45" s="410"/>
      <c r="D45" s="411"/>
      <c r="E45" s="1365"/>
      <c r="F45" s="1365"/>
      <c r="G45" s="2664">
        <v>1903011</v>
      </c>
      <c r="H45" s="2475" t="s">
        <v>2044</v>
      </c>
      <c r="I45" s="2664">
        <v>1903011</v>
      </c>
      <c r="J45" s="2475" t="s">
        <v>2044</v>
      </c>
      <c r="K45" s="4250">
        <v>190301100</v>
      </c>
      <c r="L45" s="3312" t="s">
        <v>2045</v>
      </c>
      <c r="M45" s="4250">
        <v>190301100</v>
      </c>
      <c r="N45" s="3312" t="s">
        <v>2045</v>
      </c>
      <c r="O45" s="3385">
        <v>140</v>
      </c>
      <c r="P45" s="4247">
        <v>127</v>
      </c>
      <c r="Q45" s="3385"/>
      <c r="R45" s="2476"/>
      <c r="S45" s="3710">
        <f>SUM(X45:X46)/T13</f>
        <v>1.1247385877476035E-2</v>
      </c>
      <c r="T45" s="4254"/>
      <c r="U45" s="2476"/>
      <c r="V45" s="2783"/>
      <c r="W45" s="1447" t="s">
        <v>2046</v>
      </c>
      <c r="X45" s="1584">
        <v>10000000</v>
      </c>
      <c r="Y45" s="1584">
        <v>10000000</v>
      </c>
      <c r="Z45" s="1584">
        <v>10000000</v>
      </c>
      <c r="AA45" s="1583" t="s">
        <v>2047</v>
      </c>
      <c r="AB45" s="1411">
        <v>61</v>
      </c>
      <c r="AC45" s="1441" t="s">
        <v>1987</v>
      </c>
      <c r="AD45" s="4251"/>
      <c r="AE45" s="4251"/>
      <c r="AF45" s="4251"/>
      <c r="AG45" s="4251"/>
      <c r="AH45" s="4251"/>
      <c r="AI45" s="4251"/>
      <c r="AJ45" s="4251"/>
      <c r="AK45" s="4251"/>
      <c r="AL45" s="4251"/>
      <c r="AM45" s="4251"/>
      <c r="AN45" s="4251"/>
      <c r="AO45" s="4251"/>
      <c r="AP45" s="4251"/>
      <c r="AQ45" s="4251"/>
      <c r="AR45" s="4251"/>
      <c r="AS45" s="4251"/>
      <c r="AT45" s="4251"/>
      <c r="AU45" s="4251"/>
      <c r="AV45" s="4251"/>
      <c r="AW45" s="4251"/>
      <c r="AX45" s="4251"/>
      <c r="AY45" s="4251"/>
      <c r="AZ45" s="4251"/>
      <c r="BA45" s="4251"/>
      <c r="BB45" s="4251"/>
      <c r="BC45" s="4251"/>
      <c r="BD45" s="4251"/>
      <c r="BE45" s="4251"/>
      <c r="BF45" s="4251"/>
      <c r="BG45" s="4251"/>
      <c r="BH45" s="4251"/>
      <c r="BI45" s="4251"/>
      <c r="BJ45" s="4251"/>
      <c r="BK45" s="4251"/>
      <c r="BL45" s="4251"/>
      <c r="BM45" s="4259"/>
      <c r="BN45" s="4251"/>
      <c r="BO45" s="4251"/>
      <c r="BP45" s="4251"/>
      <c r="BQ45" s="4256"/>
      <c r="BR45" s="4256"/>
      <c r="BS45" s="4256"/>
      <c r="BT45" s="4256"/>
      <c r="BU45" s="4255"/>
    </row>
    <row r="46" spans="1:73" s="3" customFormat="1" ht="69.75" customHeight="1" x14ac:dyDescent="0.25">
      <c r="A46" s="1578"/>
      <c r="B46" s="1579"/>
      <c r="C46" s="410"/>
      <c r="D46" s="411"/>
      <c r="E46" s="1365"/>
      <c r="F46" s="1365"/>
      <c r="G46" s="2325"/>
      <c r="H46" s="2478" t="s">
        <v>2044</v>
      </c>
      <c r="I46" s="2325"/>
      <c r="J46" s="2478" t="s">
        <v>2044</v>
      </c>
      <c r="K46" s="4258"/>
      <c r="L46" s="3611"/>
      <c r="M46" s="4258"/>
      <c r="N46" s="3611"/>
      <c r="O46" s="3408"/>
      <c r="P46" s="4249"/>
      <c r="Q46" s="3385"/>
      <c r="R46" s="2476"/>
      <c r="S46" s="3474"/>
      <c r="T46" s="4254"/>
      <c r="U46" s="2476"/>
      <c r="V46" s="2719"/>
      <c r="W46" s="1456" t="s">
        <v>2048</v>
      </c>
      <c r="X46" s="1585">
        <v>9000000</v>
      </c>
      <c r="Y46" s="1585">
        <v>7420000</v>
      </c>
      <c r="Z46" s="1585">
        <v>7420000</v>
      </c>
      <c r="AA46" s="1583" t="s">
        <v>2047</v>
      </c>
      <c r="AB46" s="1411">
        <v>61</v>
      </c>
      <c r="AC46" s="1442" t="s">
        <v>1987</v>
      </c>
      <c r="AD46" s="4252"/>
      <c r="AE46" s="4252"/>
      <c r="AF46" s="4252"/>
      <c r="AG46" s="4252"/>
      <c r="AH46" s="4252"/>
      <c r="AI46" s="4252"/>
      <c r="AJ46" s="4252"/>
      <c r="AK46" s="4252"/>
      <c r="AL46" s="4252"/>
      <c r="AM46" s="4252"/>
      <c r="AN46" s="4252"/>
      <c r="AO46" s="4252"/>
      <c r="AP46" s="4252"/>
      <c r="AQ46" s="4252"/>
      <c r="AR46" s="4252"/>
      <c r="AS46" s="4252"/>
      <c r="AT46" s="4252"/>
      <c r="AU46" s="4252"/>
      <c r="AV46" s="4252"/>
      <c r="AW46" s="4252"/>
      <c r="AX46" s="4252"/>
      <c r="AY46" s="4252"/>
      <c r="AZ46" s="4252"/>
      <c r="BA46" s="4252"/>
      <c r="BB46" s="4252"/>
      <c r="BC46" s="4252"/>
      <c r="BD46" s="4252"/>
      <c r="BE46" s="4252"/>
      <c r="BF46" s="4252"/>
      <c r="BG46" s="4252"/>
      <c r="BH46" s="4252"/>
      <c r="BI46" s="4252"/>
      <c r="BJ46" s="4252"/>
      <c r="BK46" s="4252"/>
      <c r="BL46" s="4252"/>
      <c r="BM46" s="4260"/>
      <c r="BN46" s="4252"/>
      <c r="BO46" s="4252"/>
      <c r="BP46" s="4252"/>
      <c r="BQ46" s="4257"/>
      <c r="BR46" s="4257"/>
      <c r="BS46" s="4257"/>
      <c r="BT46" s="4257"/>
      <c r="BU46" s="4255"/>
    </row>
    <row r="47" spans="1:73" s="3" customFormat="1" ht="56.25" customHeight="1" x14ac:dyDescent="0.25">
      <c r="A47" s="1578"/>
      <c r="B47" s="1579"/>
      <c r="C47" s="410"/>
      <c r="D47" s="411"/>
      <c r="E47" s="1365"/>
      <c r="F47" s="1365"/>
      <c r="G47" s="3384">
        <v>1903001</v>
      </c>
      <c r="H47" s="3104" t="s">
        <v>197</v>
      </c>
      <c r="I47" s="3384">
        <v>1903001</v>
      </c>
      <c r="J47" s="3104" t="s">
        <v>197</v>
      </c>
      <c r="K47" s="4265">
        <v>190300100</v>
      </c>
      <c r="L47" s="4263" t="s">
        <v>2049</v>
      </c>
      <c r="M47" s="4265">
        <v>190300100</v>
      </c>
      <c r="N47" s="4263" t="s">
        <v>2049</v>
      </c>
      <c r="O47" s="3408">
        <v>1</v>
      </c>
      <c r="P47" s="4247">
        <v>1</v>
      </c>
      <c r="Q47" s="3385" t="s">
        <v>2050</v>
      </c>
      <c r="R47" s="2476" t="s">
        <v>2051</v>
      </c>
      <c r="S47" s="3710">
        <f>SUM(X47:X50)/T47</f>
        <v>0.27805460750853245</v>
      </c>
      <c r="T47" s="4254">
        <f>SUM(X47:X63)</f>
        <v>293000000</v>
      </c>
      <c r="U47" s="2476" t="s">
        <v>2052</v>
      </c>
      <c r="V47" s="3762" t="s">
        <v>2053</v>
      </c>
      <c r="W47" s="1599" t="s">
        <v>2054</v>
      </c>
      <c r="X47" s="1587">
        <v>40000000</v>
      </c>
      <c r="Y47" s="1587">
        <v>34620000</v>
      </c>
      <c r="Z47" s="1587">
        <f>11540000+11540000+8655000</f>
        <v>31735000</v>
      </c>
      <c r="AA47" s="1583" t="s">
        <v>2055</v>
      </c>
      <c r="AB47" s="1600">
        <v>61</v>
      </c>
      <c r="AC47" s="1441" t="s">
        <v>1987</v>
      </c>
      <c r="AD47" s="2402">
        <v>289394</v>
      </c>
      <c r="AE47" s="2402"/>
      <c r="AF47" s="2402">
        <v>279112</v>
      </c>
      <c r="AG47" s="2402"/>
      <c r="AH47" s="4268">
        <v>63164</v>
      </c>
      <c r="AI47" s="2402"/>
      <c r="AJ47" s="2402">
        <v>45607</v>
      </c>
      <c r="AK47" s="2402"/>
      <c r="AL47" s="2402">
        <v>365607</v>
      </c>
      <c r="AM47" s="2402"/>
      <c r="AN47" s="2402">
        <v>75612</v>
      </c>
      <c r="AO47" s="2402"/>
      <c r="AP47" s="2402">
        <v>2145</v>
      </c>
      <c r="AQ47" s="2402"/>
      <c r="AR47" s="2402">
        <v>12718</v>
      </c>
      <c r="AS47" s="2402"/>
      <c r="AT47" s="2402">
        <v>26</v>
      </c>
      <c r="AU47" s="2402"/>
      <c r="AV47" s="2402">
        <v>37</v>
      </c>
      <c r="AW47" s="2402"/>
      <c r="AX47" s="2402">
        <v>0</v>
      </c>
      <c r="AY47" s="2402"/>
      <c r="AZ47" s="2402">
        <v>0</v>
      </c>
      <c r="BA47" s="2402"/>
      <c r="BB47" s="2402">
        <v>78</v>
      </c>
      <c r="BC47" s="2402"/>
      <c r="BD47" s="2402">
        <v>16897</v>
      </c>
      <c r="BE47" s="2402"/>
      <c r="BF47" s="2402">
        <v>852</v>
      </c>
      <c r="BG47" s="2402"/>
      <c r="BH47" s="2402">
        <v>568506</v>
      </c>
      <c r="BI47" s="2402"/>
      <c r="BJ47" s="2402">
        <v>15</v>
      </c>
      <c r="BK47" s="4271">
        <f>SUM(Y47:Y63)</f>
        <v>199700000</v>
      </c>
      <c r="BL47" s="4271">
        <f>SUM(Z47:Z63)</f>
        <v>147765000</v>
      </c>
      <c r="BM47" s="2453">
        <f>BL47/BK47</f>
        <v>0.73993490235353032</v>
      </c>
      <c r="BN47" s="2402">
        <v>61</v>
      </c>
      <c r="BO47" s="2297" t="s">
        <v>2056</v>
      </c>
      <c r="BP47" s="2297" t="s">
        <v>1990</v>
      </c>
      <c r="BQ47" s="2403">
        <v>44197</v>
      </c>
      <c r="BR47" s="2403">
        <v>44239</v>
      </c>
      <c r="BS47" s="2403">
        <v>44561</v>
      </c>
      <c r="BT47" s="2403">
        <v>44561</v>
      </c>
      <c r="BU47" s="2297" t="s">
        <v>1991</v>
      </c>
    </row>
    <row r="48" spans="1:73" s="3" customFormat="1" ht="56.25" customHeight="1" x14ac:dyDescent="0.25">
      <c r="A48" s="1578"/>
      <c r="B48" s="1579"/>
      <c r="C48" s="410"/>
      <c r="D48" s="411"/>
      <c r="E48" s="1365"/>
      <c r="F48" s="1365"/>
      <c r="G48" s="4267"/>
      <c r="H48" s="3105"/>
      <c r="I48" s="4267"/>
      <c r="J48" s="3105"/>
      <c r="K48" s="4266"/>
      <c r="L48" s="4264"/>
      <c r="M48" s="4266"/>
      <c r="N48" s="4264"/>
      <c r="O48" s="3409"/>
      <c r="P48" s="4248"/>
      <c r="Q48" s="3385"/>
      <c r="R48" s="2476"/>
      <c r="S48" s="3710"/>
      <c r="T48" s="4254"/>
      <c r="U48" s="2476"/>
      <c r="V48" s="3762"/>
      <c r="W48" s="1599" t="s">
        <v>2057</v>
      </c>
      <c r="X48" s="1587">
        <v>20000000</v>
      </c>
      <c r="Y48" s="1587">
        <v>11540000</v>
      </c>
      <c r="Z48" s="1587">
        <v>8655000</v>
      </c>
      <c r="AA48" s="1583" t="s">
        <v>2055</v>
      </c>
      <c r="AB48" s="1600">
        <v>61</v>
      </c>
      <c r="AC48" s="1441" t="s">
        <v>1987</v>
      </c>
      <c r="AD48" s="2265"/>
      <c r="AE48" s="2265"/>
      <c r="AF48" s="2265"/>
      <c r="AG48" s="2265"/>
      <c r="AH48" s="4269"/>
      <c r="AI48" s="2265"/>
      <c r="AJ48" s="2265"/>
      <c r="AK48" s="2265"/>
      <c r="AL48" s="2265"/>
      <c r="AM48" s="2265"/>
      <c r="AN48" s="2265"/>
      <c r="AO48" s="2265"/>
      <c r="AP48" s="2265"/>
      <c r="AQ48" s="2265"/>
      <c r="AR48" s="2265"/>
      <c r="AS48" s="2265"/>
      <c r="AT48" s="2265"/>
      <c r="AU48" s="2265"/>
      <c r="AV48" s="2265"/>
      <c r="AW48" s="2265"/>
      <c r="AX48" s="2265"/>
      <c r="AY48" s="2265"/>
      <c r="AZ48" s="2265"/>
      <c r="BA48" s="2265"/>
      <c r="BB48" s="2265"/>
      <c r="BC48" s="2265"/>
      <c r="BD48" s="2265"/>
      <c r="BE48" s="2265"/>
      <c r="BF48" s="2265"/>
      <c r="BG48" s="2265"/>
      <c r="BH48" s="2265"/>
      <c r="BI48" s="2265"/>
      <c r="BJ48" s="2265"/>
      <c r="BK48" s="2265"/>
      <c r="BL48" s="2265"/>
      <c r="BM48" s="2454"/>
      <c r="BN48" s="2265"/>
      <c r="BO48" s="2448"/>
      <c r="BP48" s="2448"/>
      <c r="BQ48" s="2446"/>
      <c r="BR48" s="2446"/>
      <c r="BS48" s="2446"/>
      <c r="BT48" s="2446"/>
      <c r="BU48" s="2265"/>
    </row>
    <row r="49" spans="1:73" s="3" customFormat="1" ht="56.25" customHeight="1" x14ac:dyDescent="0.25">
      <c r="A49" s="1578"/>
      <c r="B49" s="1579"/>
      <c r="C49" s="410"/>
      <c r="D49" s="411"/>
      <c r="E49" s="1365"/>
      <c r="F49" s="1365"/>
      <c r="G49" s="4267"/>
      <c r="H49" s="3105"/>
      <c r="I49" s="4267"/>
      <c r="J49" s="3105"/>
      <c r="K49" s="4266"/>
      <c r="L49" s="4264"/>
      <c r="M49" s="4266"/>
      <c r="N49" s="4264"/>
      <c r="O49" s="3409"/>
      <c r="P49" s="4248"/>
      <c r="Q49" s="3385"/>
      <c r="R49" s="2476"/>
      <c r="S49" s="3710"/>
      <c r="T49" s="4254"/>
      <c r="U49" s="2476"/>
      <c r="V49" s="3762"/>
      <c r="W49" s="1599" t="s">
        <v>2058</v>
      </c>
      <c r="X49" s="1587">
        <v>10000000</v>
      </c>
      <c r="Y49" s="1587">
        <v>10000000</v>
      </c>
      <c r="Z49" s="1587">
        <v>10000000</v>
      </c>
      <c r="AA49" s="1583" t="s">
        <v>2055</v>
      </c>
      <c r="AB49" s="1600">
        <v>61</v>
      </c>
      <c r="AC49" s="1441" t="s">
        <v>1987</v>
      </c>
      <c r="AD49" s="2265"/>
      <c r="AE49" s="2265"/>
      <c r="AF49" s="2265"/>
      <c r="AG49" s="2265"/>
      <c r="AH49" s="4269"/>
      <c r="AI49" s="2265"/>
      <c r="AJ49" s="2265"/>
      <c r="AK49" s="2265"/>
      <c r="AL49" s="2265"/>
      <c r="AM49" s="2265"/>
      <c r="AN49" s="2265"/>
      <c r="AO49" s="2265"/>
      <c r="AP49" s="2265"/>
      <c r="AQ49" s="2265"/>
      <c r="AR49" s="2265"/>
      <c r="AS49" s="2265"/>
      <c r="AT49" s="2265"/>
      <c r="AU49" s="2265"/>
      <c r="AV49" s="2265"/>
      <c r="AW49" s="2265"/>
      <c r="AX49" s="2265"/>
      <c r="AY49" s="2265"/>
      <c r="AZ49" s="2265"/>
      <c r="BA49" s="2265"/>
      <c r="BB49" s="2265"/>
      <c r="BC49" s="2265"/>
      <c r="BD49" s="2265"/>
      <c r="BE49" s="2265"/>
      <c r="BF49" s="2265"/>
      <c r="BG49" s="2265"/>
      <c r="BH49" s="2265"/>
      <c r="BI49" s="2265"/>
      <c r="BJ49" s="2265"/>
      <c r="BK49" s="2265"/>
      <c r="BL49" s="2265"/>
      <c r="BM49" s="2454"/>
      <c r="BN49" s="2265"/>
      <c r="BO49" s="2448"/>
      <c r="BP49" s="2448"/>
      <c r="BQ49" s="2446"/>
      <c r="BR49" s="2446"/>
      <c r="BS49" s="2446"/>
      <c r="BT49" s="2446"/>
      <c r="BU49" s="2265"/>
    </row>
    <row r="50" spans="1:73" s="3" customFormat="1" ht="56.25" customHeight="1" x14ac:dyDescent="0.25">
      <c r="A50" s="1578"/>
      <c r="B50" s="1579"/>
      <c r="C50" s="410"/>
      <c r="D50" s="411"/>
      <c r="E50" s="1365"/>
      <c r="F50" s="1365"/>
      <c r="G50" s="4267"/>
      <c r="H50" s="3105"/>
      <c r="I50" s="4267"/>
      <c r="J50" s="3105"/>
      <c r="K50" s="4266"/>
      <c r="L50" s="4264"/>
      <c r="M50" s="4266"/>
      <c r="N50" s="4264"/>
      <c r="O50" s="3601"/>
      <c r="P50" s="4249"/>
      <c r="Q50" s="3385"/>
      <c r="R50" s="2476"/>
      <c r="S50" s="3710"/>
      <c r="T50" s="4254"/>
      <c r="U50" s="2476"/>
      <c r="V50" s="3762"/>
      <c r="W50" s="1599" t="s">
        <v>2059</v>
      </c>
      <c r="X50" s="1587">
        <v>11470000</v>
      </c>
      <c r="Y50" s="1587">
        <v>8960000</v>
      </c>
      <c r="Z50" s="1587">
        <f>1540000+1855000</f>
        <v>3395000</v>
      </c>
      <c r="AA50" s="1583" t="s">
        <v>2055</v>
      </c>
      <c r="AB50" s="1600">
        <v>61</v>
      </c>
      <c r="AC50" s="1441" t="s">
        <v>1987</v>
      </c>
      <c r="AD50" s="2265"/>
      <c r="AE50" s="2265"/>
      <c r="AF50" s="2265"/>
      <c r="AG50" s="2265"/>
      <c r="AH50" s="4269"/>
      <c r="AI50" s="2265"/>
      <c r="AJ50" s="2265"/>
      <c r="AK50" s="2265"/>
      <c r="AL50" s="2265"/>
      <c r="AM50" s="2265"/>
      <c r="AN50" s="2265"/>
      <c r="AO50" s="2265"/>
      <c r="AP50" s="2265"/>
      <c r="AQ50" s="2265"/>
      <c r="AR50" s="2265"/>
      <c r="AS50" s="2265"/>
      <c r="AT50" s="2265"/>
      <c r="AU50" s="2265"/>
      <c r="AV50" s="2265"/>
      <c r="AW50" s="2265"/>
      <c r="AX50" s="2265"/>
      <c r="AY50" s="2265"/>
      <c r="AZ50" s="2265"/>
      <c r="BA50" s="2265"/>
      <c r="BB50" s="2265"/>
      <c r="BC50" s="2265"/>
      <c r="BD50" s="2265"/>
      <c r="BE50" s="2265"/>
      <c r="BF50" s="2265"/>
      <c r="BG50" s="2265"/>
      <c r="BH50" s="2265"/>
      <c r="BI50" s="2265"/>
      <c r="BJ50" s="2265"/>
      <c r="BK50" s="2265"/>
      <c r="BL50" s="2265"/>
      <c r="BM50" s="2454"/>
      <c r="BN50" s="2265"/>
      <c r="BO50" s="2448"/>
      <c r="BP50" s="2448"/>
      <c r="BQ50" s="2446"/>
      <c r="BR50" s="2446"/>
      <c r="BS50" s="2446"/>
      <c r="BT50" s="2446"/>
      <c r="BU50" s="2265"/>
    </row>
    <row r="51" spans="1:73" s="3" customFormat="1" ht="52.5" customHeight="1" x14ac:dyDescent="0.25">
      <c r="A51" s="1578"/>
      <c r="B51" s="1579"/>
      <c r="C51" s="410"/>
      <c r="D51" s="411"/>
      <c r="E51" s="1365"/>
      <c r="F51" s="1365"/>
      <c r="G51" s="2664">
        <v>1903015</v>
      </c>
      <c r="H51" s="2475" t="s">
        <v>2060</v>
      </c>
      <c r="I51" s="2664">
        <v>1903015</v>
      </c>
      <c r="J51" s="2475" t="s">
        <v>2060</v>
      </c>
      <c r="K51" s="3606">
        <v>190301500</v>
      </c>
      <c r="L51" s="2475" t="s">
        <v>2061</v>
      </c>
      <c r="M51" s="3606">
        <v>190301500</v>
      </c>
      <c r="N51" s="2475" t="s">
        <v>2061</v>
      </c>
      <c r="O51" s="3385">
        <v>12</v>
      </c>
      <c r="P51" s="4247">
        <v>6</v>
      </c>
      <c r="Q51" s="3385"/>
      <c r="R51" s="2476"/>
      <c r="S51" s="3710">
        <f>SUM(X51:X63)/T47</f>
        <v>0.72194539249146761</v>
      </c>
      <c r="T51" s="4254"/>
      <c r="U51" s="2476"/>
      <c r="V51" s="2718" t="s">
        <v>2062</v>
      </c>
      <c r="W51" s="1586" t="s">
        <v>2063</v>
      </c>
      <c r="X51" s="1587">
        <v>15000000</v>
      </c>
      <c r="Y51" s="1587">
        <v>1500000</v>
      </c>
      <c r="Z51" s="1587">
        <f>1125000</f>
        <v>1125000</v>
      </c>
      <c r="AA51" s="1583" t="s">
        <v>2064</v>
      </c>
      <c r="AB51" s="1600">
        <v>61</v>
      </c>
      <c r="AC51" s="1441" t="s">
        <v>1987</v>
      </c>
      <c r="AD51" s="2265"/>
      <c r="AE51" s="2265"/>
      <c r="AF51" s="2265"/>
      <c r="AG51" s="2265"/>
      <c r="AH51" s="4269"/>
      <c r="AI51" s="2265"/>
      <c r="AJ51" s="2265"/>
      <c r="AK51" s="2265"/>
      <c r="AL51" s="2265"/>
      <c r="AM51" s="2265"/>
      <c r="AN51" s="2265"/>
      <c r="AO51" s="2265"/>
      <c r="AP51" s="2265"/>
      <c r="AQ51" s="2265"/>
      <c r="AR51" s="2265"/>
      <c r="AS51" s="2265"/>
      <c r="AT51" s="2265"/>
      <c r="AU51" s="2265"/>
      <c r="AV51" s="2265"/>
      <c r="AW51" s="2265"/>
      <c r="AX51" s="2265"/>
      <c r="AY51" s="2265"/>
      <c r="AZ51" s="2265"/>
      <c r="BA51" s="2265"/>
      <c r="BB51" s="2265"/>
      <c r="BC51" s="2265"/>
      <c r="BD51" s="2265"/>
      <c r="BE51" s="2265"/>
      <c r="BF51" s="2265"/>
      <c r="BG51" s="2265"/>
      <c r="BH51" s="2265"/>
      <c r="BI51" s="2265"/>
      <c r="BJ51" s="2265"/>
      <c r="BK51" s="2265"/>
      <c r="BL51" s="2265"/>
      <c r="BM51" s="2454"/>
      <c r="BN51" s="2265"/>
      <c r="BO51" s="2448"/>
      <c r="BP51" s="2448"/>
      <c r="BQ51" s="2446"/>
      <c r="BR51" s="2446"/>
      <c r="BS51" s="2446"/>
      <c r="BT51" s="2446"/>
      <c r="BU51" s="2265"/>
    </row>
    <row r="52" spans="1:73" s="3" customFormat="1" ht="52.5" customHeight="1" x14ac:dyDescent="0.25">
      <c r="A52" s="1578"/>
      <c r="B52" s="1579"/>
      <c r="C52" s="410"/>
      <c r="D52" s="411"/>
      <c r="E52" s="1365"/>
      <c r="F52" s="1365"/>
      <c r="G52" s="2664"/>
      <c r="H52" s="2475"/>
      <c r="I52" s="2664"/>
      <c r="J52" s="2475"/>
      <c r="K52" s="3606"/>
      <c r="L52" s="2475"/>
      <c r="M52" s="3606"/>
      <c r="N52" s="2475"/>
      <c r="O52" s="3385"/>
      <c r="P52" s="4248"/>
      <c r="Q52" s="3385"/>
      <c r="R52" s="2476"/>
      <c r="S52" s="3710"/>
      <c r="T52" s="4254"/>
      <c r="U52" s="2476"/>
      <c r="V52" s="2783"/>
      <c r="W52" s="1586" t="s">
        <v>2065</v>
      </c>
      <c r="X52" s="1587">
        <v>15000000</v>
      </c>
      <c r="Y52" s="1587">
        <v>8920000</v>
      </c>
      <c r="Z52" s="1587">
        <f>1125000+5565000</f>
        <v>6690000</v>
      </c>
      <c r="AA52" s="1583" t="s">
        <v>2064</v>
      </c>
      <c r="AB52" s="1600">
        <v>61</v>
      </c>
      <c r="AC52" s="1441" t="s">
        <v>1987</v>
      </c>
      <c r="AD52" s="2265"/>
      <c r="AE52" s="2265"/>
      <c r="AF52" s="2265"/>
      <c r="AG52" s="2265"/>
      <c r="AH52" s="4269"/>
      <c r="AI52" s="2265"/>
      <c r="AJ52" s="2265"/>
      <c r="AK52" s="2265"/>
      <c r="AL52" s="2265"/>
      <c r="AM52" s="2265"/>
      <c r="AN52" s="2265"/>
      <c r="AO52" s="2265"/>
      <c r="AP52" s="2265"/>
      <c r="AQ52" s="2265"/>
      <c r="AR52" s="2265"/>
      <c r="AS52" s="2265"/>
      <c r="AT52" s="2265"/>
      <c r="AU52" s="2265"/>
      <c r="AV52" s="2265"/>
      <c r="AW52" s="2265"/>
      <c r="AX52" s="2265"/>
      <c r="AY52" s="2265"/>
      <c r="AZ52" s="2265"/>
      <c r="BA52" s="2265"/>
      <c r="BB52" s="2265"/>
      <c r="BC52" s="2265"/>
      <c r="BD52" s="2265"/>
      <c r="BE52" s="2265"/>
      <c r="BF52" s="2265"/>
      <c r="BG52" s="2265"/>
      <c r="BH52" s="2265"/>
      <c r="BI52" s="2265"/>
      <c r="BJ52" s="2265"/>
      <c r="BK52" s="2265"/>
      <c r="BL52" s="2265"/>
      <c r="BM52" s="2454"/>
      <c r="BN52" s="2265"/>
      <c r="BO52" s="2448"/>
      <c r="BP52" s="2448"/>
      <c r="BQ52" s="2446"/>
      <c r="BR52" s="2446"/>
      <c r="BS52" s="2446"/>
      <c r="BT52" s="2446"/>
      <c r="BU52" s="2265"/>
    </row>
    <row r="53" spans="1:73" s="3" customFormat="1" ht="52.5" customHeight="1" x14ac:dyDescent="0.25">
      <c r="A53" s="1578"/>
      <c r="B53" s="1579"/>
      <c r="C53" s="410"/>
      <c r="D53" s="411"/>
      <c r="E53" s="1365"/>
      <c r="F53" s="1365"/>
      <c r="G53" s="2664"/>
      <c r="H53" s="2475"/>
      <c r="I53" s="2664"/>
      <c r="J53" s="2475"/>
      <c r="K53" s="3606"/>
      <c r="L53" s="2475"/>
      <c r="M53" s="3606"/>
      <c r="N53" s="2475"/>
      <c r="O53" s="3385"/>
      <c r="P53" s="4248"/>
      <c r="Q53" s="3385"/>
      <c r="R53" s="2476"/>
      <c r="S53" s="3710"/>
      <c r="T53" s="4254"/>
      <c r="U53" s="2476"/>
      <c r="V53" s="2783"/>
      <c r="W53" s="1586" t="s">
        <v>2066</v>
      </c>
      <c r="X53" s="1587">
        <v>15000000</v>
      </c>
      <c r="Y53" s="1587">
        <v>6040000</v>
      </c>
      <c r="Z53" s="1587">
        <v>4530000</v>
      </c>
      <c r="AA53" s="1583" t="s">
        <v>2064</v>
      </c>
      <c r="AB53" s="1600">
        <v>61</v>
      </c>
      <c r="AC53" s="1441" t="s">
        <v>1987</v>
      </c>
      <c r="AD53" s="2265"/>
      <c r="AE53" s="2265"/>
      <c r="AF53" s="2265"/>
      <c r="AG53" s="2265"/>
      <c r="AH53" s="4269"/>
      <c r="AI53" s="2265"/>
      <c r="AJ53" s="2265"/>
      <c r="AK53" s="2265"/>
      <c r="AL53" s="2265"/>
      <c r="AM53" s="2265"/>
      <c r="AN53" s="2265"/>
      <c r="AO53" s="2265"/>
      <c r="AP53" s="2265"/>
      <c r="AQ53" s="2265"/>
      <c r="AR53" s="2265"/>
      <c r="AS53" s="2265"/>
      <c r="AT53" s="2265"/>
      <c r="AU53" s="2265"/>
      <c r="AV53" s="2265"/>
      <c r="AW53" s="2265"/>
      <c r="AX53" s="2265"/>
      <c r="AY53" s="2265"/>
      <c r="AZ53" s="2265"/>
      <c r="BA53" s="2265"/>
      <c r="BB53" s="2265"/>
      <c r="BC53" s="2265"/>
      <c r="BD53" s="2265"/>
      <c r="BE53" s="2265"/>
      <c r="BF53" s="2265"/>
      <c r="BG53" s="2265"/>
      <c r="BH53" s="2265"/>
      <c r="BI53" s="2265"/>
      <c r="BJ53" s="2265"/>
      <c r="BK53" s="2265"/>
      <c r="BL53" s="2265"/>
      <c r="BM53" s="2454"/>
      <c r="BN53" s="2265"/>
      <c r="BO53" s="2448"/>
      <c r="BP53" s="2448"/>
      <c r="BQ53" s="2446"/>
      <c r="BR53" s="2446"/>
      <c r="BS53" s="2446"/>
      <c r="BT53" s="2446"/>
      <c r="BU53" s="2265"/>
    </row>
    <row r="54" spans="1:73" s="3" customFormat="1" ht="77.25" customHeight="1" x14ac:dyDescent="0.25">
      <c r="A54" s="1578"/>
      <c r="B54" s="1579"/>
      <c r="C54" s="410"/>
      <c r="D54" s="411"/>
      <c r="E54" s="1365"/>
      <c r="F54" s="1365"/>
      <c r="G54" s="2664"/>
      <c r="H54" s="2475"/>
      <c r="I54" s="2664"/>
      <c r="J54" s="2475"/>
      <c r="K54" s="3606"/>
      <c r="L54" s="2475"/>
      <c r="M54" s="3606"/>
      <c r="N54" s="2475"/>
      <c r="O54" s="3385"/>
      <c r="P54" s="4248"/>
      <c r="Q54" s="3385"/>
      <c r="R54" s="2476"/>
      <c r="S54" s="3710"/>
      <c r="T54" s="4254"/>
      <c r="U54" s="2476"/>
      <c r="V54" s="2783"/>
      <c r="W54" s="1586" t="s">
        <v>2067</v>
      </c>
      <c r="X54" s="1587">
        <v>15000000</v>
      </c>
      <c r="Y54" s="1587">
        <v>6500000</v>
      </c>
      <c r="Z54" s="1587">
        <f>4875000</f>
        <v>4875000</v>
      </c>
      <c r="AA54" s="1583" t="s">
        <v>2064</v>
      </c>
      <c r="AB54" s="1600">
        <v>61</v>
      </c>
      <c r="AC54" s="1441" t="s">
        <v>1987</v>
      </c>
      <c r="AD54" s="2265"/>
      <c r="AE54" s="2265"/>
      <c r="AF54" s="2265"/>
      <c r="AG54" s="2265"/>
      <c r="AH54" s="4269"/>
      <c r="AI54" s="2265"/>
      <c r="AJ54" s="2265"/>
      <c r="AK54" s="2265"/>
      <c r="AL54" s="2265"/>
      <c r="AM54" s="2265"/>
      <c r="AN54" s="2265"/>
      <c r="AO54" s="2265"/>
      <c r="AP54" s="2265"/>
      <c r="AQ54" s="2265"/>
      <c r="AR54" s="2265"/>
      <c r="AS54" s="2265"/>
      <c r="AT54" s="2265"/>
      <c r="AU54" s="2265"/>
      <c r="AV54" s="2265"/>
      <c r="AW54" s="2265"/>
      <c r="AX54" s="2265"/>
      <c r="AY54" s="2265"/>
      <c r="AZ54" s="2265"/>
      <c r="BA54" s="2265"/>
      <c r="BB54" s="2265"/>
      <c r="BC54" s="2265"/>
      <c r="BD54" s="2265"/>
      <c r="BE54" s="2265"/>
      <c r="BF54" s="2265"/>
      <c r="BG54" s="2265"/>
      <c r="BH54" s="2265"/>
      <c r="BI54" s="2265"/>
      <c r="BJ54" s="2265"/>
      <c r="BK54" s="2265"/>
      <c r="BL54" s="2265"/>
      <c r="BM54" s="2454"/>
      <c r="BN54" s="2265"/>
      <c r="BO54" s="2448"/>
      <c r="BP54" s="2448"/>
      <c r="BQ54" s="2446"/>
      <c r="BR54" s="2446"/>
      <c r="BS54" s="2446"/>
      <c r="BT54" s="2446"/>
      <c r="BU54" s="2265"/>
    </row>
    <row r="55" spans="1:73" s="3" customFormat="1" ht="52.5" customHeight="1" x14ac:dyDescent="0.25">
      <c r="A55" s="1578"/>
      <c r="B55" s="1579"/>
      <c r="C55" s="410"/>
      <c r="D55" s="411"/>
      <c r="E55" s="1365"/>
      <c r="F55" s="1365"/>
      <c r="G55" s="2664"/>
      <c r="H55" s="2475"/>
      <c r="I55" s="2664"/>
      <c r="J55" s="2475"/>
      <c r="K55" s="3606"/>
      <c r="L55" s="2475"/>
      <c r="M55" s="3606"/>
      <c r="N55" s="2475"/>
      <c r="O55" s="3385"/>
      <c r="P55" s="4248"/>
      <c r="Q55" s="3385"/>
      <c r="R55" s="2476"/>
      <c r="S55" s="3710"/>
      <c r="T55" s="4254"/>
      <c r="U55" s="2476"/>
      <c r="V55" s="2783"/>
      <c r="W55" s="1586" t="s">
        <v>2068</v>
      </c>
      <c r="X55" s="1587">
        <v>8000000</v>
      </c>
      <c r="Y55" s="1587">
        <v>4965000</v>
      </c>
      <c r="Z55" s="1587">
        <f>405000</f>
        <v>405000</v>
      </c>
      <c r="AA55" s="1583" t="s">
        <v>2064</v>
      </c>
      <c r="AB55" s="1600">
        <v>61</v>
      </c>
      <c r="AC55" s="1441" t="s">
        <v>1987</v>
      </c>
      <c r="AD55" s="2265"/>
      <c r="AE55" s="2265"/>
      <c r="AF55" s="2265"/>
      <c r="AG55" s="2265"/>
      <c r="AH55" s="4269"/>
      <c r="AI55" s="2265"/>
      <c r="AJ55" s="2265"/>
      <c r="AK55" s="2265"/>
      <c r="AL55" s="2265"/>
      <c r="AM55" s="2265"/>
      <c r="AN55" s="2265"/>
      <c r="AO55" s="2265"/>
      <c r="AP55" s="2265"/>
      <c r="AQ55" s="2265"/>
      <c r="AR55" s="2265"/>
      <c r="AS55" s="2265"/>
      <c r="AT55" s="2265"/>
      <c r="AU55" s="2265"/>
      <c r="AV55" s="2265"/>
      <c r="AW55" s="2265"/>
      <c r="AX55" s="2265"/>
      <c r="AY55" s="2265"/>
      <c r="AZ55" s="2265"/>
      <c r="BA55" s="2265"/>
      <c r="BB55" s="2265"/>
      <c r="BC55" s="2265"/>
      <c r="BD55" s="2265"/>
      <c r="BE55" s="2265"/>
      <c r="BF55" s="2265"/>
      <c r="BG55" s="2265"/>
      <c r="BH55" s="2265"/>
      <c r="BI55" s="2265"/>
      <c r="BJ55" s="2265"/>
      <c r="BK55" s="2265"/>
      <c r="BL55" s="2265"/>
      <c r="BM55" s="2454"/>
      <c r="BN55" s="2265"/>
      <c r="BO55" s="2448"/>
      <c r="BP55" s="2448"/>
      <c r="BQ55" s="2446"/>
      <c r="BR55" s="2446"/>
      <c r="BS55" s="2446"/>
      <c r="BT55" s="2446"/>
      <c r="BU55" s="2265"/>
    </row>
    <row r="56" spans="1:73" s="3" customFormat="1" ht="109.5" customHeight="1" x14ac:dyDescent="0.25">
      <c r="A56" s="1578"/>
      <c r="B56" s="1579"/>
      <c r="C56" s="410"/>
      <c r="D56" s="411"/>
      <c r="E56" s="1365"/>
      <c r="F56" s="1365"/>
      <c r="G56" s="2664"/>
      <c r="H56" s="2475"/>
      <c r="I56" s="2664"/>
      <c r="J56" s="2475"/>
      <c r="K56" s="3606"/>
      <c r="L56" s="2475"/>
      <c r="M56" s="3606"/>
      <c r="N56" s="2475"/>
      <c r="O56" s="3385"/>
      <c r="P56" s="4248"/>
      <c r="Q56" s="3385"/>
      <c r="R56" s="2476"/>
      <c r="S56" s="3710"/>
      <c r="T56" s="4254"/>
      <c r="U56" s="2476"/>
      <c r="V56" s="2783"/>
      <c r="W56" s="1586" t="s">
        <v>2069</v>
      </c>
      <c r="X56" s="1587">
        <v>40000000</v>
      </c>
      <c r="Y56" s="1587">
        <v>24420000</v>
      </c>
      <c r="Z56" s="1587">
        <f>1875000+3375000+5565000</f>
        <v>10815000</v>
      </c>
      <c r="AA56" s="1583" t="s">
        <v>2064</v>
      </c>
      <c r="AB56" s="1600">
        <v>61</v>
      </c>
      <c r="AC56" s="1441" t="s">
        <v>1987</v>
      </c>
      <c r="AD56" s="2265"/>
      <c r="AE56" s="2265"/>
      <c r="AF56" s="2265"/>
      <c r="AG56" s="2265"/>
      <c r="AH56" s="4269"/>
      <c r="AI56" s="2265"/>
      <c r="AJ56" s="2265"/>
      <c r="AK56" s="2265"/>
      <c r="AL56" s="2265"/>
      <c r="AM56" s="2265"/>
      <c r="AN56" s="2265"/>
      <c r="AO56" s="2265"/>
      <c r="AP56" s="2265"/>
      <c r="AQ56" s="2265"/>
      <c r="AR56" s="2265"/>
      <c r="AS56" s="2265"/>
      <c r="AT56" s="2265"/>
      <c r="AU56" s="2265"/>
      <c r="AV56" s="2265"/>
      <c r="AW56" s="2265"/>
      <c r="AX56" s="2265"/>
      <c r="AY56" s="2265"/>
      <c r="AZ56" s="2265"/>
      <c r="BA56" s="2265"/>
      <c r="BB56" s="2265"/>
      <c r="BC56" s="2265"/>
      <c r="BD56" s="2265"/>
      <c r="BE56" s="2265"/>
      <c r="BF56" s="2265"/>
      <c r="BG56" s="2265"/>
      <c r="BH56" s="2265"/>
      <c r="BI56" s="2265"/>
      <c r="BJ56" s="2265"/>
      <c r="BK56" s="2265"/>
      <c r="BL56" s="2265"/>
      <c r="BM56" s="2454"/>
      <c r="BN56" s="2265"/>
      <c r="BO56" s="2448"/>
      <c r="BP56" s="2448"/>
      <c r="BQ56" s="2446"/>
      <c r="BR56" s="2446"/>
      <c r="BS56" s="2446"/>
      <c r="BT56" s="2446"/>
      <c r="BU56" s="2265"/>
    </row>
    <row r="57" spans="1:73" s="3" customFormat="1" ht="52.5" customHeight="1" x14ac:dyDescent="0.25">
      <c r="A57" s="1578"/>
      <c r="B57" s="1579"/>
      <c r="C57" s="410"/>
      <c r="D57" s="411"/>
      <c r="E57" s="1365"/>
      <c r="F57" s="1365"/>
      <c r="G57" s="2664"/>
      <c r="H57" s="2475"/>
      <c r="I57" s="2664"/>
      <c r="J57" s="2475"/>
      <c r="K57" s="3606"/>
      <c r="L57" s="2475"/>
      <c r="M57" s="3606"/>
      <c r="N57" s="2475"/>
      <c r="O57" s="3385"/>
      <c r="P57" s="4248"/>
      <c r="Q57" s="3385"/>
      <c r="R57" s="2476"/>
      <c r="S57" s="3710"/>
      <c r="T57" s="4254"/>
      <c r="U57" s="2476"/>
      <c r="V57" s="2783"/>
      <c r="W57" s="1586" t="s">
        <v>2070</v>
      </c>
      <c r="X57" s="1587">
        <v>20000000</v>
      </c>
      <c r="Y57" s="1587">
        <v>14442500</v>
      </c>
      <c r="Z57" s="1587">
        <f>4000000+3000000</f>
        <v>7000000</v>
      </c>
      <c r="AA57" s="1583" t="s">
        <v>2064</v>
      </c>
      <c r="AB57" s="1600">
        <v>61</v>
      </c>
      <c r="AC57" s="1441" t="s">
        <v>1987</v>
      </c>
      <c r="AD57" s="2265"/>
      <c r="AE57" s="2265"/>
      <c r="AF57" s="2265"/>
      <c r="AG57" s="2265"/>
      <c r="AH57" s="4269"/>
      <c r="AI57" s="2265"/>
      <c r="AJ57" s="2265"/>
      <c r="AK57" s="2265"/>
      <c r="AL57" s="2265"/>
      <c r="AM57" s="2265"/>
      <c r="AN57" s="2265"/>
      <c r="AO57" s="2265"/>
      <c r="AP57" s="2265"/>
      <c r="AQ57" s="2265"/>
      <c r="AR57" s="2265"/>
      <c r="AS57" s="2265"/>
      <c r="AT57" s="2265"/>
      <c r="AU57" s="2265"/>
      <c r="AV57" s="2265"/>
      <c r="AW57" s="2265"/>
      <c r="AX57" s="2265"/>
      <c r="AY57" s="2265"/>
      <c r="AZ57" s="2265"/>
      <c r="BA57" s="2265"/>
      <c r="BB57" s="2265"/>
      <c r="BC57" s="2265"/>
      <c r="BD57" s="2265"/>
      <c r="BE57" s="2265"/>
      <c r="BF57" s="2265"/>
      <c r="BG57" s="2265"/>
      <c r="BH57" s="2265"/>
      <c r="BI57" s="2265"/>
      <c r="BJ57" s="2265"/>
      <c r="BK57" s="2265"/>
      <c r="BL57" s="2265"/>
      <c r="BM57" s="2454"/>
      <c r="BN57" s="2265"/>
      <c r="BO57" s="2448"/>
      <c r="BP57" s="2448"/>
      <c r="BQ57" s="2446"/>
      <c r="BR57" s="2446"/>
      <c r="BS57" s="2446"/>
      <c r="BT57" s="2446"/>
      <c r="BU57" s="2265"/>
    </row>
    <row r="58" spans="1:73" s="3" customFormat="1" ht="114.75" customHeight="1" x14ac:dyDescent="0.25">
      <c r="A58" s="1578"/>
      <c r="B58" s="1579"/>
      <c r="C58" s="410"/>
      <c r="D58" s="411"/>
      <c r="E58" s="1365"/>
      <c r="F58" s="1365"/>
      <c r="G58" s="2664"/>
      <c r="H58" s="2475"/>
      <c r="I58" s="2664"/>
      <c r="J58" s="2475"/>
      <c r="K58" s="3606"/>
      <c r="L58" s="2475"/>
      <c r="M58" s="3606"/>
      <c r="N58" s="2475"/>
      <c r="O58" s="3385"/>
      <c r="P58" s="4248"/>
      <c r="Q58" s="3385"/>
      <c r="R58" s="2476"/>
      <c r="S58" s="3710"/>
      <c r="T58" s="4254"/>
      <c r="U58" s="2476"/>
      <c r="V58" s="2783"/>
      <c r="W58" s="1586" t="s">
        <v>2071</v>
      </c>
      <c r="X58" s="1587">
        <v>10000000</v>
      </c>
      <c r="Y58" s="1587">
        <v>7442500</v>
      </c>
      <c r="Z58" s="1587">
        <f>2000000+2000000+4000000+1500000</f>
        <v>9500000</v>
      </c>
      <c r="AA58" s="1583" t="s">
        <v>2064</v>
      </c>
      <c r="AB58" s="1600">
        <v>61</v>
      </c>
      <c r="AC58" s="1441" t="s">
        <v>1987</v>
      </c>
      <c r="AD58" s="2265"/>
      <c r="AE58" s="2265"/>
      <c r="AF58" s="2265"/>
      <c r="AG58" s="2265"/>
      <c r="AH58" s="4269"/>
      <c r="AI58" s="2265"/>
      <c r="AJ58" s="2265"/>
      <c r="AK58" s="2265"/>
      <c r="AL58" s="2265"/>
      <c r="AM58" s="2265"/>
      <c r="AN58" s="2265"/>
      <c r="AO58" s="2265"/>
      <c r="AP58" s="2265"/>
      <c r="AQ58" s="2265"/>
      <c r="AR58" s="2265"/>
      <c r="AS58" s="2265"/>
      <c r="AT58" s="2265"/>
      <c r="AU58" s="2265"/>
      <c r="AV58" s="2265"/>
      <c r="AW58" s="2265"/>
      <c r="AX58" s="2265"/>
      <c r="AY58" s="2265"/>
      <c r="AZ58" s="2265"/>
      <c r="BA58" s="2265"/>
      <c r="BB58" s="2265"/>
      <c r="BC58" s="2265"/>
      <c r="BD58" s="2265"/>
      <c r="BE58" s="2265"/>
      <c r="BF58" s="2265"/>
      <c r="BG58" s="2265"/>
      <c r="BH58" s="2265"/>
      <c r="BI58" s="2265"/>
      <c r="BJ58" s="2265"/>
      <c r="BK58" s="2265"/>
      <c r="BL58" s="2265"/>
      <c r="BM58" s="2454"/>
      <c r="BN58" s="2265"/>
      <c r="BO58" s="2448"/>
      <c r="BP58" s="2448"/>
      <c r="BQ58" s="2446"/>
      <c r="BR58" s="2446"/>
      <c r="BS58" s="2446"/>
      <c r="BT58" s="2446"/>
      <c r="BU58" s="2265"/>
    </row>
    <row r="59" spans="1:73" s="3" customFormat="1" ht="69.75" customHeight="1" x14ac:dyDescent="0.25">
      <c r="A59" s="1578"/>
      <c r="B59" s="1579"/>
      <c r="C59" s="410"/>
      <c r="D59" s="411"/>
      <c r="E59" s="1365"/>
      <c r="F59" s="1365"/>
      <c r="G59" s="2664"/>
      <c r="H59" s="2475"/>
      <c r="I59" s="2664"/>
      <c r="J59" s="2475"/>
      <c r="K59" s="3606"/>
      <c r="L59" s="2475"/>
      <c r="M59" s="3606"/>
      <c r="N59" s="2475"/>
      <c r="O59" s="3385"/>
      <c r="P59" s="4248"/>
      <c r="Q59" s="3385"/>
      <c r="R59" s="2476"/>
      <c r="S59" s="3710"/>
      <c r="T59" s="4254"/>
      <c r="U59" s="2476"/>
      <c r="V59" s="2783"/>
      <c r="W59" s="1586" t="s">
        <v>2072</v>
      </c>
      <c r="X59" s="1587">
        <v>10000000</v>
      </c>
      <c r="Y59" s="1587">
        <v>7442500</v>
      </c>
      <c r="Z59" s="1587">
        <f>2000000+2000000+1500000</f>
        <v>5500000</v>
      </c>
      <c r="AA59" s="1583" t="s">
        <v>2064</v>
      </c>
      <c r="AB59" s="1600">
        <v>61</v>
      </c>
      <c r="AC59" s="1441" t="s">
        <v>1987</v>
      </c>
      <c r="AD59" s="2265"/>
      <c r="AE59" s="2265"/>
      <c r="AF59" s="2265"/>
      <c r="AG59" s="2265"/>
      <c r="AH59" s="4269"/>
      <c r="AI59" s="2265"/>
      <c r="AJ59" s="2265"/>
      <c r="AK59" s="2265"/>
      <c r="AL59" s="2265"/>
      <c r="AM59" s="2265"/>
      <c r="AN59" s="2265"/>
      <c r="AO59" s="2265"/>
      <c r="AP59" s="2265"/>
      <c r="AQ59" s="2265"/>
      <c r="AR59" s="2265"/>
      <c r="AS59" s="2265"/>
      <c r="AT59" s="2265"/>
      <c r="AU59" s="2265"/>
      <c r="AV59" s="2265"/>
      <c r="AW59" s="2265"/>
      <c r="AX59" s="2265"/>
      <c r="AY59" s="2265"/>
      <c r="AZ59" s="2265"/>
      <c r="BA59" s="2265"/>
      <c r="BB59" s="2265"/>
      <c r="BC59" s="2265"/>
      <c r="BD59" s="2265"/>
      <c r="BE59" s="2265"/>
      <c r="BF59" s="2265"/>
      <c r="BG59" s="2265"/>
      <c r="BH59" s="2265"/>
      <c r="BI59" s="2265"/>
      <c r="BJ59" s="2265"/>
      <c r="BK59" s="2265"/>
      <c r="BL59" s="2265"/>
      <c r="BM59" s="2454"/>
      <c r="BN59" s="2265"/>
      <c r="BO59" s="2448"/>
      <c r="BP59" s="2448"/>
      <c r="BQ59" s="2446"/>
      <c r="BR59" s="2446"/>
      <c r="BS59" s="2446"/>
      <c r="BT59" s="2446"/>
      <c r="BU59" s="2265"/>
    </row>
    <row r="60" spans="1:73" s="3" customFormat="1" ht="77.25" customHeight="1" x14ac:dyDescent="0.25">
      <c r="A60" s="1578"/>
      <c r="B60" s="1579"/>
      <c r="C60" s="410"/>
      <c r="D60" s="411"/>
      <c r="E60" s="1365"/>
      <c r="F60" s="1365"/>
      <c r="G60" s="2664"/>
      <c r="H60" s="2475"/>
      <c r="I60" s="2664"/>
      <c r="J60" s="2475"/>
      <c r="K60" s="3606"/>
      <c r="L60" s="2475"/>
      <c r="M60" s="3606"/>
      <c r="N60" s="2475"/>
      <c r="O60" s="3385"/>
      <c r="P60" s="4248"/>
      <c r="Q60" s="3385"/>
      <c r="R60" s="2476"/>
      <c r="S60" s="3710"/>
      <c r="T60" s="4254"/>
      <c r="U60" s="2476"/>
      <c r="V60" s="2783"/>
      <c r="W60" s="1586" t="s">
        <v>2073</v>
      </c>
      <c r="X60" s="1587">
        <v>25000000</v>
      </c>
      <c r="Y60" s="1587">
        <v>24637500</v>
      </c>
      <c r="Z60" s="1587">
        <f>3540000+8010000+3540000+2655000+3710000</f>
        <v>21455000</v>
      </c>
      <c r="AA60" s="1583" t="s">
        <v>2064</v>
      </c>
      <c r="AB60" s="1600">
        <v>61</v>
      </c>
      <c r="AC60" s="1441" t="s">
        <v>1987</v>
      </c>
      <c r="AD60" s="2265"/>
      <c r="AE60" s="2265"/>
      <c r="AF60" s="2265"/>
      <c r="AG60" s="2265"/>
      <c r="AH60" s="4269"/>
      <c r="AI60" s="2265"/>
      <c r="AJ60" s="2265"/>
      <c r="AK60" s="2265"/>
      <c r="AL60" s="2265"/>
      <c r="AM60" s="2265"/>
      <c r="AN60" s="2265"/>
      <c r="AO60" s="2265"/>
      <c r="AP60" s="2265"/>
      <c r="AQ60" s="2265"/>
      <c r="AR60" s="2265"/>
      <c r="AS60" s="2265"/>
      <c r="AT60" s="2265"/>
      <c r="AU60" s="2265"/>
      <c r="AV60" s="2265"/>
      <c r="AW60" s="2265"/>
      <c r="AX60" s="2265"/>
      <c r="AY60" s="2265"/>
      <c r="AZ60" s="2265"/>
      <c r="BA60" s="2265"/>
      <c r="BB60" s="2265"/>
      <c r="BC60" s="2265"/>
      <c r="BD60" s="2265"/>
      <c r="BE60" s="2265"/>
      <c r="BF60" s="2265"/>
      <c r="BG60" s="2265"/>
      <c r="BH60" s="2265"/>
      <c r="BI60" s="2265"/>
      <c r="BJ60" s="2265"/>
      <c r="BK60" s="2265"/>
      <c r="BL60" s="2265"/>
      <c r="BM60" s="2454"/>
      <c r="BN60" s="2265"/>
      <c r="BO60" s="2448"/>
      <c r="BP60" s="2448"/>
      <c r="BQ60" s="2446"/>
      <c r="BR60" s="2446"/>
      <c r="BS60" s="2446"/>
      <c r="BT60" s="2446"/>
      <c r="BU60" s="2265"/>
    </row>
    <row r="61" spans="1:73" s="3" customFormat="1" ht="52.5" customHeight="1" x14ac:dyDescent="0.25">
      <c r="A61" s="1578"/>
      <c r="B61" s="1579"/>
      <c r="C61" s="410"/>
      <c r="D61" s="411"/>
      <c r="E61" s="1365"/>
      <c r="F61" s="1365"/>
      <c r="G61" s="2664"/>
      <c r="H61" s="2475"/>
      <c r="I61" s="2664"/>
      <c r="J61" s="2475"/>
      <c r="K61" s="3606"/>
      <c r="L61" s="2475"/>
      <c r="M61" s="3606"/>
      <c r="N61" s="2475"/>
      <c r="O61" s="3385"/>
      <c r="P61" s="4248"/>
      <c r="Q61" s="3385"/>
      <c r="R61" s="2476"/>
      <c r="S61" s="3710"/>
      <c r="T61" s="4254"/>
      <c r="U61" s="2476"/>
      <c r="V61" s="2783"/>
      <c r="W61" s="1586" t="s">
        <v>2074</v>
      </c>
      <c r="X61" s="1587">
        <v>20000000</v>
      </c>
      <c r="Y61" s="1587">
        <v>11540000</v>
      </c>
      <c r="Z61" s="1587"/>
      <c r="AA61" s="1583" t="s">
        <v>2064</v>
      </c>
      <c r="AB61" s="1600">
        <v>61</v>
      </c>
      <c r="AC61" s="1441" t="s">
        <v>1987</v>
      </c>
      <c r="AD61" s="2265"/>
      <c r="AE61" s="2265"/>
      <c r="AF61" s="2265"/>
      <c r="AG61" s="2265"/>
      <c r="AH61" s="4269"/>
      <c r="AI61" s="2265"/>
      <c r="AJ61" s="2265"/>
      <c r="AK61" s="2265"/>
      <c r="AL61" s="2265"/>
      <c r="AM61" s="2265"/>
      <c r="AN61" s="2265"/>
      <c r="AO61" s="2265"/>
      <c r="AP61" s="2265"/>
      <c r="AQ61" s="2265"/>
      <c r="AR61" s="2265"/>
      <c r="AS61" s="2265"/>
      <c r="AT61" s="2265"/>
      <c r="AU61" s="2265"/>
      <c r="AV61" s="2265"/>
      <c r="AW61" s="2265"/>
      <c r="AX61" s="2265"/>
      <c r="AY61" s="2265"/>
      <c r="AZ61" s="2265"/>
      <c r="BA61" s="2265"/>
      <c r="BB61" s="2265"/>
      <c r="BC61" s="2265"/>
      <c r="BD61" s="2265"/>
      <c r="BE61" s="2265"/>
      <c r="BF61" s="2265"/>
      <c r="BG61" s="2265"/>
      <c r="BH61" s="2265"/>
      <c r="BI61" s="2265"/>
      <c r="BJ61" s="2265"/>
      <c r="BK61" s="2265"/>
      <c r="BL61" s="2265"/>
      <c r="BM61" s="2454"/>
      <c r="BN61" s="2265"/>
      <c r="BO61" s="2448"/>
      <c r="BP61" s="2448"/>
      <c r="BQ61" s="2446"/>
      <c r="BR61" s="2446"/>
      <c r="BS61" s="2446"/>
      <c r="BT61" s="2446"/>
      <c r="BU61" s="2265"/>
    </row>
    <row r="62" spans="1:73" s="3" customFormat="1" ht="52.5" customHeight="1" x14ac:dyDescent="0.25">
      <c r="A62" s="1578"/>
      <c r="B62" s="1579"/>
      <c r="C62" s="410"/>
      <c r="D62" s="411"/>
      <c r="E62" s="1365"/>
      <c r="F62" s="1365"/>
      <c r="G62" s="2664"/>
      <c r="H62" s="2475"/>
      <c r="I62" s="2664"/>
      <c r="J62" s="2475"/>
      <c r="K62" s="3606"/>
      <c r="L62" s="2475"/>
      <c r="M62" s="3606"/>
      <c r="N62" s="2475"/>
      <c r="O62" s="3385"/>
      <c r="P62" s="4248"/>
      <c r="Q62" s="3385"/>
      <c r="R62" s="2476"/>
      <c r="S62" s="3710"/>
      <c r="T62" s="4254"/>
      <c r="U62" s="2476"/>
      <c r="V62" s="2783"/>
      <c r="W62" s="1586" t="s">
        <v>2075</v>
      </c>
      <c r="X62" s="1587">
        <v>15000000</v>
      </c>
      <c r="Y62" s="1587">
        <v>13200000</v>
      </c>
      <c r="Z62" s="1587">
        <f>8655000+9900000</f>
        <v>18555000</v>
      </c>
      <c r="AA62" s="1583" t="s">
        <v>2064</v>
      </c>
      <c r="AB62" s="1600">
        <v>61</v>
      </c>
      <c r="AC62" s="1441" t="s">
        <v>1987</v>
      </c>
      <c r="AD62" s="2265"/>
      <c r="AE62" s="2265"/>
      <c r="AF62" s="2265"/>
      <c r="AG62" s="2265"/>
      <c r="AH62" s="4269"/>
      <c r="AI62" s="2265"/>
      <c r="AJ62" s="2265"/>
      <c r="AK62" s="2265"/>
      <c r="AL62" s="2265"/>
      <c r="AM62" s="2265"/>
      <c r="AN62" s="2265"/>
      <c r="AO62" s="2265"/>
      <c r="AP62" s="2265"/>
      <c r="AQ62" s="2265"/>
      <c r="AR62" s="2265"/>
      <c r="AS62" s="2265"/>
      <c r="AT62" s="2265"/>
      <c r="AU62" s="2265"/>
      <c r="AV62" s="2265"/>
      <c r="AW62" s="2265"/>
      <c r="AX62" s="2265"/>
      <c r="AY62" s="2265"/>
      <c r="AZ62" s="2265"/>
      <c r="BA62" s="2265"/>
      <c r="BB62" s="2265"/>
      <c r="BC62" s="2265"/>
      <c r="BD62" s="2265"/>
      <c r="BE62" s="2265"/>
      <c r="BF62" s="2265"/>
      <c r="BG62" s="2265"/>
      <c r="BH62" s="2265"/>
      <c r="BI62" s="2265"/>
      <c r="BJ62" s="2265"/>
      <c r="BK62" s="2265"/>
      <c r="BL62" s="2265"/>
      <c r="BM62" s="2454"/>
      <c r="BN62" s="2265"/>
      <c r="BO62" s="2448"/>
      <c r="BP62" s="2448"/>
      <c r="BQ62" s="2446"/>
      <c r="BR62" s="2446"/>
      <c r="BS62" s="2446"/>
      <c r="BT62" s="2446"/>
      <c r="BU62" s="2265"/>
    </row>
    <row r="63" spans="1:73" s="3" customFormat="1" ht="52.5" customHeight="1" x14ac:dyDescent="0.25">
      <c r="A63" s="1578"/>
      <c r="B63" s="1579"/>
      <c r="C63" s="410"/>
      <c r="D63" s="411"/>
      <c r="E63" s="1365"/>
      <c r="F63" s="1365"/>
      <c r="G63" s="2325"/>
      <c r="H63" s="2478"/>
      <c r="I63" s="2325"/>
      <c r="J63" s="2478"/>
      <c r="K63" s="4270"/>
      <c r="L63" s="2478"/>
      <c r="M63" s="4270"/>
      <c r="N63" s="2478"/>
      <c r="O63" s="3408"/>
      <c r="P63" s="4249"/>
      <c r="Q63" s="3408"/>
      <c r="R63" s="2701"/>
      <c r="S63" s="3474"/>
      <c r="T63" s="4262"/>
      <c r="U63" s="2701"/>
      <c r="V63" s="2783"/>
      <c r="W63" s="1371" t="s">
        <v>2076</v>
      </c>
      <c r="X63" s="1587">
        <v>3530000</v>
      </c>
      <c r="Y63" s="1587">
        <v>3530000</v>
      </c>
      <c r="Z63" s="1587">
        <v>3530000</v>
      </c>
      <c r="AA63" s="1583" t="s">
        <v>2064</v>
      </c>
      <c r="AB63" s="1601">
        <v>61</v>
      </c>
      <c r="AC63" s="1442" t="s">
        <v>1987</v>
      </c>
      <c r="AD63" s="2266"/>
      <c r="AE63" s="2266"/>
      <c r="AF63" s="2265"/>
      <c r="AG63" s="2266"/>
      <c r="AH63" s="4269"/>
      <c r="AI63" s="2266"/>
      <c r="AJ63" s="2265"/>
      <c r="AK63" s="2266"/>
      <c r="AL63" s="2265"/>
      <c r="AM63" s="2266"/>
      <c r="AN63" s="2265"/>
      <c r="AO63" s="2266"/>
      <c r="AP63" s="2265"/>
      <c r="AQ63" s="2266"/>
      <c r="AR63" s="2265"/>
      <c r="AS63" s="2266"/>
      <c r="AT63" s="2265"/>
      <c r="AU63" s="2266"/>
      <c r="AV63" s="2265"/>
      <c r="AW63" s="2266"/>
      <c r="AX63" s="2265"/>
      <c r="AY63" s="2266"/>
      <c r="AZ63" s="2265"/>
      <c r="BA63" s="2266"/>
      <c r="BB63" s="2265"/>
      <c r="BC63" s="2266"/>
      <c r="BD63" s="2265"/>
      <c r="BE63" s="2266"/>
      <c r="BF63" s="2265"/>
      <c r="BG63" s="2266"/>
      <c r="BH63" s="2265"/>
      <c r="BI63" s="2266"/>
      <c r="BJ63" s="2266"/>
      <c r="BK63" s="2266"/>
      <c r="BL63" s="2266"/>
      <c r="BM63" s="2455"/>
      <c r="BN63" s="2266"/>
      <c r="BO63" s="2449"/>
      <c r="BP63" s="2449"/>
      <c r="BQ63" s="2446"/>
      <c r="BR63" s="2446"/>
      <c r="BS63" s="2446"/>
      <c r="BT63" s="2446"/>
      <c r="BU63" s="2265"/>
    </row>
    <row r="64" spans="1:73" s="3" customFormat="1" ht="38.25" customHeight="1" x14ac:dyDescent="0.25">
      <c r="A64" s="1578"/>
      <c r="B64" s="1579"/>
      <c r="C64" s="410"/>
      <c r="D64" s="411"/>
      <c r="E64" s="1365"/>
      <c r="F64" s="1365"/>
      <c r="G64" s="3384">
        <v>1903012</v>
      </c>
      <c r="H64" s="3104" t="s">
        <v>2077</v>
      </c>
      <c r="I64" s="3384">
        <v>1903012</v>
      </c>
      <c r="J64" s="3104" t="s">
        <v>2077</v>
      </c>
      <c r="K64" s="3169">
        <v>190301200</v>
      </c>
      <c r="L64" s="3104" t="s">
        <v>2078</v>
      </c>
      <c r="M64" s="3169">
        <v>190301200</v>
      </c>
      <c r="N64" s="3104" t="s">
        <v>2078</v>
      </c>
      <c r="O64" s="3654">
        <v>4000</v>
      </c>
      <c r="P64" s="4288">
        <v>3225</v>
      </c>
      <c r="Q64" s="4292" t="s">
        <v>2079</v>
      </c>
      <c r="R64" s="4296" t="s">
        <v>2080</v>
      </c>
      <c r="S64" s="3710">
        <f>SUM(X64:X75)/T64</f>
        <v>0.76911669484986112</v>
      </c>
      <c r="T64" s="4273">
        <f>SUM(X64:X80)</f>
        <v>947714309</v>
      </c>
      <c r="U64" s="2476" t="s">
        <v>2081</v>
      </c>
      <c r="V64" s="2718" t="s">
        <v>2082</v>
      </c>
      <c r="W64" s="2701" t="s">
        <v>2083</v>
      </c>
      <c r="X64" s="1602">
        <f>264488588+54700000-319188588</f>
        <v>0</v>
      </c>
      <c r="Y64" s="1603"/>
      <c r="Z64" s="1603"/>
      <c r="AA64" s="1583" t="s">
        <v>2084</v>
      </c>
      <c r="AB64" s="1601">
        <v>61</v>
      </c>
      <c r="AC64" s="1442" t="s">
        <v>1987</v>
      </c>
      <c r="AD64" s="2438">
        <v>289394</v>
      </c>
      <c r="AE64" s="2438"/>
      <c r="AF64" s="2438">
        <v>279112</v>
      </c>
      <c r="AG64" s="2438"/>
      <c r="AH64" s="3809">
        <v>63164</v>
      </c>
      <c r="AI64" s="2438"/>
      <c r="AJ64" s="2438">
        <v>45607</v>
      </c>
      <c r="AK64" s="2438"/>
      <c r="AL64" s="2438">
        <v>365607</v>
      </c>
      <c r="AM64" s="2438"/>
      <c r="AN64" s="2438">
        <v>75612</v>
      </c>
      <c r="AO64" s="2438"/>
      <c r="AP64" s="2438">
        <v>2145</v>
      </c>
      <c r="AQ64" s="2438"/>
      <c r="AR64" s="2438">
        <v>12718</v>
      </c>
      <c r="AS64" s="2438"/>
      <c r="AT64" s="2438">
        <v>26</v>
      </c>
      <c r="AU64" s="2438"/>
      <c r="AV64" s="2438">
        <v>37</v>
      </c>
      <c r="AW64" s="2438"/>
      <c r="AX64" s="2438">
        <v>0</v>
      </c>
      <c r="AY64" s="2438"/>
      <c r="AZ64" s="2438">
        <v>0</v>
      </c>
      <c r="BA64" s="2438"/>
      <c r="BB64" s="2438">
        <v>78</v>
      </c>
      <c r="BC64" s="2438"/>
      <c r="BD64" s="2438">
        <v>16897</v>
      </c>
      <c r="BE64" s="2438"/>
      <c r="BF64" s="2438">
        <v>852</v>
      </c>
      <c r="BG64" s="2438"/>
      <c r="BH64" s="2438">
        <v>568506</v>
      </c>
      <c r="BI64" s="2438"/>
      <c r="BJ64" s="2438">
        <v>23</v>
      </c>
      <c r="BK64" s="4287">
        <f>SUM(Y64:Y80)</f>
        <v>493728600</v>
      </c>
      <c r="BL64" s="4287">
        <f>SUM(Z64:Z80)</f>
        <v>325916861</v>
      </c>
      <c r="BM64" s="4277">
        <f>BL64/BK64</f>
        <v>0.66011339225639354</v>
      </c>
      <c r="BN64" s="2438" t="s">
        <v>2085</v>
      </c>
      <c r="BO64" s="2438" t="s">
        <v>2086</v>
      </c>
      <c r="BP64" s="2438" t="s">
        <v>1990</v>
      </c>
      <c r="BQ64" s="4285">
        <v>44197</v>
      </c>
      <c r="BR64" s="4285">
        <v>44200</v>
      </c>
      <c r="BS64" s="4285">
        <v>44561</v>
      </c>
      <c r="BT64" s="4285">
        <v>44561</v>
      </c>
      <c r="BU64" s="2438" t="s">
        <v>1991</v>
      </c>
    </row>
    <row r="65" spans="1:73" s="3" customFormat="1" ht="38.25" customHeight="1" x14ac:dyDescent="0.25">
      <c r="A65" s="1578"/>
      <c r="B65" s="1579"/>
      <c r="C65" s="410"/>
      <c r="D65" s="411"/>
      <c r="E65" s="1365"/>
      <c r="F65" s="1365"/>
      <c r="G65" s="4267"/>
      <c r="H65" s="3105"/>
      <c r="I65" s="4267"/>
      <c r="J65" s="3105"/>
      <c r="K65" s="3170"/>
      <c r="L65" s="3105"/>
      <c r="M65" s="3170"/>
      <c r="N65" s="3105"/>
      <c r="O65" s="4290"/>
      <c r="P65" s="4291"/>
      <c r="Q65" s="4293"/>
      <c r="R65" s="4296"/>
      <c r="S65" s="3710"/>
      <c r="T65" s="4274"/>
      <c r="U65" s="2476"/>
      <c r="V65" s="2783"/>
      <c r="W65" s="2703"/>
      <c r="X65" s="1604">
        <v>319188588</v>
      </c>
      <c r="Y65" s="1587">
        <v>114807239</v>
      </c>
      <c r="Z65" s="1587">
        <v>0</v>
      </c>
      <c r="AA65" s="1583" t="s">
        <v>2087</v>
      </c>
      <c r="AB65" s="1601">
        <v>61</v>
      </c>
      <c r="AC65" s="1442" t="s">
        <v>1987</v>
      </c>
      <c r="AD65" s="2267"/>
      <c r="AE65" s="2267"/>
      <c r="AF65" s="2267"/>
      <c r="AG65" s="2267"/>
      <c r="AH65" s="4272"/>
      <c r="AI65" s="2267"/>
      <c r="AJ65" s="2267"/>
      <c r="AK65" s="2267"/>
      <c r="AL65" s="2267"/>
      <c r="AM65" s="2267"/>
      <c r="AN65" s="2267"/>
      <c r="AO65" s="2267"/>
      <c r="AP65" s="2267"/>
      <c r="AQ65" s="2267"/>
      <c r="AR65" s="2267"/>
      <c r="AS65" s="2267"/>
      <c r="AT65" s="2267"/>
      <c r="AU65" s="2267"/>
      <c r="AV65" s="2267"/>
      <c r="AW65" s="2267"/>
      <c r="AX65" s="2267"/>
      <c r="AY65" s="2267"/>
      <c r="AZ65" s="2267"/>
      <c r="BA65" s="2267"/>
      <c r="BB65" s="2267"/>
      <c r="BC65" s="2267"/>
      <c r="BD65" s="2267"/>
      <c r="BE65" s="2267"/>
      <c r="BF65" s="2267"/>
      <c r="BG65" s="2267"/>
      <c r="BH65" s="2267"/>
      <c r="BI65" s="2267"/>
      <c r="BJ65" s="2267"/>
      <c r="BK65" s="2267"/>
      <c r="BL65" s="2267"/>
      <c r="BM65" s="4278"/>
      <c r="BN65" s="2267"/>
      <c r="BO65" s="2267"/>
      <c r="BP65" s="2267"/>
      <c r="BQ65" s="4286"/>
      <c r="BR65" s="4286"/>
      <c r="BS65" s="4286"/>
      <c r="BT65" s="4286"/>
      <c r="BU65" s="2267"/>
    </row>
    <row r="66" spans="1:73" s="3" customFormat="1" ht="38.25" customHeight="1" x14ac:dyDescent="0.25">
      <c r="A66" s="1578"/>
      <c r="B66" s="1579"/>
      <c r="C66" s="410"/>
      <c r="D66" s="411"/>
      <c r="E66" s="1365"/>
      <c r="F66" s="1365"/>
      <c r="G66" s="4267"/>
      <c r="H66" s="3105" t="s">
        <v>2077</v>
      </c>
      <c r="I66" s="4267"/>
      <c r="J66" s="3105" t="s">
        <v>2077</v>
      </c>
      <c r="K66" s="3170">
        <v>190301200</v>
      </c>
      <c r="L66" s="3105" t="s">
        <v>2078</v>
      </c>
      <c r="M66" s="3170">
        <v>190301200</v>
      </c>
      <c r="N66" s="3105" t="s">
        <v>2078</v>
      </c>
      <c r="O66" s="4290"/>
      <c r="P66" s="4291"/>
      <c r="Q66" s="4294"/>
      <c r="R66" s="4296"/>
      <c r="S66" s="3710"/>
      <c r="T66" s="4274"/>
      <c r="U66" s="2476"/>
      <c r="V66" s="2783"/>
      <c r="W66" s="2701" t="s">
        <v>2088</v>
      </c>
      <c r="X66" s="1605">
        <v>0</v>
      </c>
      <c r="Y66" s="1587"/>
      <c r="Z66" s="1587"/>
      <c r="AA66" s="1583" t="s">
        <v>2084</v>
      </c>
      <c r="AB66" s="1601">
        <v>61</v>
      </c>
      <c r="AC66" s="1442" t="s">
        <v>1987</v>
      </c>
      <c r="AD66" s="2267"/>
      <c r="AE66" s="2267"/>
      <c r="AF66" s="2267"/>
      <c r="AG66" s="2267"/>
      <c r="AH66" s="4272"/>
      <c r="AI66" s="2267"/>
      <c r="AJ66" s="2267"/>
      <c r="AK66" s="2267"/>
      <c r="AL66" s="2267"/>
      <c r="AM66" s="2267"/>
      <c r="AN66" s="2267"/>
      <c r="AO66" s="2267"/>
      <c r="AP66" s="2267"/>
      <c r="AQ66" s="2267"/>
      <c r="AR66" s="2267"/>
      <c r="AS66" s="2267"/>
      <c r="AT66" s="2267"/>
      <c r="AU66" s="2267"/>
      <c r="AV66" s="2267"/>
      <c r="AW66" s="2267"/>
      <c r="AX66" s="2267"/>
      <c r="AY66" s="2267"/>
      <c r="AZ66" s="2267"/>
      <c r="BA66" s="2267"/>
      <c r="BB66" s="2267"/>
      <c r="BC66" s="2267"/>
      <c r="BD66" s="2267"/>
      <c r="BE66" s="2267"/>
      <c r="BF66" s="2267"/>
      <c r="BG66" s="2267"/>
      <c r="BH66" s="2267"/>
      <c r="BI66" s="2267"/>
      <c r="BJ66" s="2267"/>
      <c r="BK66" s="2267"/>
      <c r="BL66" s="2267"/>
      <c r="BM66" s="4278"/>
      <c r="BN66" s="2267"/>
      <c r="BO66" s="2267"/>
      <c r="BP66" s="2267"/>
      <c r="BQ66" s="4286"/>
      <c r="BR66" s="4286"/>
      <c r="BS66" s="4286"/>
      <c r="BT66" s="4286"/>
      <c r="BU66" s="2267"/>
    </row>
    <row r="67" spans="1:73" s="3" customFormat="1" ht="38.25" customHeight="1" x14ac:dyDescent="0.25">
      <c r="A67" s="1578"/>
      <c r="B67" s="1579"/>
      <c r="C67" s="410"/>
      <c r="D67" s="411"/>
      <c r="E67" s="1365"/>
      <c r="F67" s="1365"/>
      <c r="G67" s="4267"/>
      <c r="H67" s="3105"/>
      <c r="I67" s="4267"/>
      <c r="J67" s="3105"/>
      <c r="K67" s="3170"/>
      <c r="L67" s="3105"/>
      <c r="M67" s="3170"/>
      <c r="N67" s="3105"/>
      <c r="O67" s="4290"/>
      <c r="P67" s="4291"/>
      <c r="Q67" s="4294"/>
      <c r="R67" s="4296"/>
      <c r="S67" s="3710"/>
      <c r="T67" s="4274"/>
      <c r="U67" s="2476"/>
      <c r="V67" s="2783"/>
      <c r="W67" s="2702"/>
      <c r="X67" s="1605">
        <v>7490065</v>
      </c>
      <c r="Y67" s="1587"/>
      <c r="Z67" s="1587"/>
      <c r="AA67" s="1583" t="s">
        <v>2089</v>
      </c>
      <c r="AB67" s="1601">
        <v>61</v>
      </c>
      <c r="AC67" s="1442" t="s">
        <v>1987</v>
      </c>
      <c r="AD67" s="2267"/>
      <c r="AE67" s="2267"/>
      <c r="AF67" s="2267"/>
      <c r="AG67" s="2267"/>
      <c r="AH67" s="4272"/>
      <c r="AI67" s="2267"/>
      <c r="AJ67" s="2267"/>
      <c r="AK67" s="2267"/>
      <c r="AL67" s="2267"/>
      <c r="AM67" s="2267"/>
      <c r="AN67" s="2267"/>
      <c r="AO67" s="2267"/>
      <c r="AP67" s="2267"/>
      <c r="AQ67" s="2267"/>
      <c r="AR67" s="2267"/>
      <c r="AS67" s="2267"/>
      <c r="AT67" s="2267"/>
      <c r="AU67" s="2267"/>
      <c r="AV67" s="2267"/>
      <c r="AW67" s="2267"/>
      <c r="AX67" s="2267"/>
      <c r="AY67" s="2267"/>
      <c r="AZ67" s="2267"/>
      <c r="BA67" s="2267"/>
      <c r="BB67" s="2267"/>
      <c r="BC67" s="2267"/>
      <c r="BD67" s="2267"/>
      <c r="BE67" s="2267"/>
      <c r="BF67" s="2267"/>
      <c r="BG67" s="2267"/>
      <c r="BH67" s="2267"/>
      <c r="BI67" s="2267"/>
      <c r="BJ67" s="2267"/>
      <c r="BK67" s="2267"/>
      <c r="BL67" s="2267"/>
      <c r="BM67" s="4278"/>
      <c r="BN67" s="2267"/>
      <c r="BO67" s="2267"/>
      <c r="BP67" s="2267"/>
      <c r="BQ67" s="4286"/>
      <c r="BR67" s="4286"/>
      <c r="BS67" s="4286"/>
      <c r="BT67" s="4286"/>
      <c r="BU67" s="2267"/>
    </row>
    <row r="68" spans="1:73" s="3" customFormat="1" ht="56.25" customHeight="1" x14ac:dyDescent="0.25">
      <c r="A68" s="1578"/>
      <c r="B68" s="1579"/>
      <c r="C68" s="410"/>
      <c r="D68" s="411"/>
      <c r="E68" s="1365"/>
      <c r="F68" s="1365"/>
      <c r="G68" s="4267"/>
      <c r="H68" s="3105"/>
      <c r="I68" s="4267"/>
      <c r="J68" s="3105"/>
      <c r="K68" s="3170"/>
      <c r="L68" s="3105"/>
      <c r="M68" s="3170"/>
      <c r="N68" s="3105"/>
      <c r="O68" s="4290"/>
      <c r="P68" s="4291"/>
      <c r="Q68" s="4294"/>
      <c r="R68" s="4296"/>
      <c r="S68" s="3710"/>
      <c r="T68" s="4274"/>
      <c r="U68" s="2476"/>
      <c r="V68" s="2783"/>
      <c r="W68" s="2702"/>
      <c r="X68" s="1605">
        <v>33078292</v>
      </c>
      <c r="Y68" s="1587">
        <v>33078292</v>
      </c>
      <c r="Z68" s="1587">
        <v>33078292</v>
      </c>
      <c r="AA68" s="1583" t="s">
        <v>2090</v>
      </c>
      <c r="AB68" s="1601">
        <v>184</v>
      </c>
      <c r="AC68" s="1442" t="s">
        <v>2091</v>
      </c>
      <c r="AD68" s="2267"/>
      <c r="AE68" s="2267"/>
      <c r="AF68" s="2267"/>
      <c r="AG68" s="2267"/>
      <c r="AH68" s="4272"/>
      <c r="AI68" s="2267"/>
      <c r="AJ68" s="2267"/>
      <c r="AK68" s="2267"/>
      <c r="AL68" s="2267"/>
      <c r="AM68" s="2267"/>
      <c r="AN68" s="2267"/>
      <c r="AO68" s="2267"/>
      <c r="AP68" s="2267"/>
      <c r="AQ68" s="2267"/>
      <c r="AR68" s="2267"/>
      <c r="AS68" s="2267"/>
      <c r="AT68" s="2267"/>
      <c r="AU68" s="2267"/>
      <c r="AV68" s="2267"/>
      <c r="AW68" s="2267"/>
      <c r="AX68" s="2267"/>
      <c r="AY68" s="2267"/>
      <c r="AZ68" s="2267"/>
      <c r="BA68" s="2267"/>
      <c r="BB68" s="2267"/>
      <c r="BC68" s="2267"/>
      <c r="BD68" s="2267"/>
      <c r="BE68" s="2267"/>
      <c r="BF68" s="2267"/>
      <c r="BG68" s="2267"/>
      <c r="BH68" s="2267"/>
      <c r="BI68" s="2267"/>
      <c r="BJ68" s="2267"/>
      <c r="BK68" s="2267"/>
      <c r="BL68" s="2267"/>
      <c r="BM68" s="4278"/>
      <c r="BN68" s="2267"/>
      <c r="BO68" s="2267"/>
      <c r="BP68" s="2267"/>
      <c r="BQ68" s="4286"/>
      <c r="BR68" s="4286"/>
      <c r="BS68" s="4286"/>
      <c r="BT68" s="4286"/>
      <c r="BU68" s="2267"/>
    </row>
    <row r="69" spans="1:73" s="3" customFormat="1" ht="38.25" customHeight="1" x14ac:dyDescent="0.25">
      <c r="A69" s="1578"/>
      <c r="B69" s="1579"/>
      <c r="C69" s="410"/>
      <c r="D69" s="411"/>
      <c r="E69" s="1365"/>
      <c r="F69" s="1365"/>
      <c r="G69" s="4267"/>
      <c r="H69" s="3105"/>
      <c r="I69" s="4267"/>
      <c r="J69" s="3105"/>
      <c r="K69" s="3170"/>
      <c r="L69" s="3105"/>
      <c r="M69" s="3170"/>
      <c r="N69" s="3105"/>
      <c r="O69" s="4290"/>
      <c r="P69" s="4291"/>
      <c r="Q69" s="4294"/>
      <c r="R69" s="4296"/>
      <c r="S69" s="3710"/>
      <c r="T69" s="4274"/>
      <c r="U69" s="2476"/>
      <c r="V69" s="2783"/>
      <c r="W69" s="2703"/>
      <c r="X69" s="1604">
        <v>90734569</v>
      </c>
      <c r="Y69" s="1606">
        <v>90734569</v>
      </c>
      <c r="Z69" s="1606">
        <v>90734569</v>
      </c>
      <c r="AA69" s="1583" t="s">
        <v>2092</v>
      </c>
      <c r="AB69" s="1601">
        <v>88</v>
      </c>
      <c r="AC69" s="1442" t="s">
        <v>1987</v>
      </c>
      <c r="AD69" s="2267"/>
      <c r="AE69" s="2267"/>
      <c r="AF69" s="2267"/>
      <c r="AG69" s="2267"/>
      <c r="AH69" s="4272"/>
      <c r="AI69" s="2267"/>
      <c r="AJ69" s="2267"/>
      <c r="AK69" s="2267"/>
      <c r="AL69" s="2267"/>
      <c r="AM69" s="2267"/>
      <c r="AN69" s="2267"/>
      <c r="AO69" s="2267"/>
      <c r="AP69" s="2267"/>
      <c r="AQ69" s="2267"/>
      <c r="AR69" s="2267"/>
      <c r="AS69" s="2267"/>
      <c r="AT69" s="2267"/>
      <c r="AU69" s="2267"/>
      <c r="AV69" s="2267"/>
      <c r="AW69" s="2267"/>
      <c r="AX69" s="2267"/>
      <c r="AY69" s="2267"/>
      <c r="AZ69" s="2267"/>
      <c r="BA69" s="2267"/>
      <c r="BB69" s="2267"/>
      <c r="BC69" s="2267"/>
      <c r="BD69" s="2267"/>
      <c r="BE69" s="2267"/>
      <c r="BF69" s="2267"/>
      <c r="BG69" s="2267"/>
      <c r="BH69" s="2267"/>
      <c r="BI69" s="2267"/>
      <c r="BJ69" s="2267"/>
      <c r="BK69" s="2267"/>
      <c r="BL69" s="2267"/>
      <c r="BM69" s="4278"/>
      <c r="BN69" s="2267"/>
      <c r="BO69" s="2267"/>
      <c r="BP69" s="2267"/>
      <c r="BQ69" s="4286"/>
      <c r="BR69" s="4286"/>
      <c r="BS69" s="4286"/>
      <c r="BT69" s="4286"/>
      <c r="BU69" s="2267"/>
    </row>
    <row r="70" spans="1:73" s="3" customFormat="1" ht="38.25" customHeight="1" x14ac:dyDescent="0.25">
      <c r="A70" s="1578"/>
      <c r="B70" s="1579"/>
      <c r="C70" s="410"/>
      <c r="D70" s="411"/>
      <c r="E70" s="1365"/>
      <c r="F70" s="1365"/>
      <c r="G70" s="4267"/>
      <c r="H70" s="3105" t="s">
        <v>2077</v>
      </c>
      <c r="I70" s="4267"/>
      <c r="J70" s="3105" t="s">
        <v>2077</v>
      </c>
      <c r="K70" s="3170">
        <v>190301200</v>
      </c>
      <c r="L70" s="3105" t="s">
        <v>2078</v>
      </c>
      <c r="M70" s="3170">
        <v>190301200</v>
      </c>
      <c r="N70" s="3105" t="s">
        <v>2078</v>
      </c>
      <c r="O70" s="4290"/>
      <c r="P70" s="4291"/>
      <c r="Q70" s="4294"/>
      <c r="R70" s="4296"/>
      <c r="S70" s="3710"/>
      <c r="T70" s="4274"/>
      <c r="U70" s="2476"/>
      <c r="V70" s="2783"/>
      <c r="W70" s="4282" t="s">
        <v>2093</v>
      </c>
      <c r="X70" s="1587">
        <f>57498731+40000000</f>
        <v>97498731</v>
      </c>
      <c r="Y70" s="1587">
        <v>81468000</v>
      </c>
      <c r="Z70" s="1587">
        <v>58886000</v>
      </c>
      <c r="AA70" s="1583" t="s">
        <v>2094</v>
      </c>
      <c r="AB70" s="1601">
        <v>61</v>
      </c>
      <c r="AC70" s="1442" t="s">
        <v>1987</v>
      </c>
      <c r="AD70" s="2267"/>
      <c r="AE70" s="2267"/>
      <c r="AF70" s="2267"/>
      <c r="AG70" s="2267"/>
      <c r="AH70" s="4272"/>
      <c r="AI70" s="2267"/>
      <c r="AJ70" s="2267"/>
      <c r="AK70" s="2267"/>
      <c r="AL70" s="2267"/>
      <c r="AM70" s="2267"/>
      <c r="AN70" s="2267"/>
      <c r="AO70" s="2267"/>
      <c r="AP70" s="2267"/>
      <c r="AQ70" s="2267"/>
      <c r="AR70" s="2267"/>
      <c r="AS70" s="2267"/>
      <c r="AT70" s="2267"/>
      <c r="AU70" s="2267"/>
      <c r="AV70" s="2267"/>
      <c r="AW70" s="2267"/>
      <c r="AX70" s="2267"/>
      <c r="AY70" s="2267"/>
      <c r="AZ70" s="2267"/>
      <c r="BA70" s="2267"/>
      <c r="BB70" s="2267"/>
      <c r="BC70" s="2267"/>
      <c r="BD70" s="2267"/>
      <c r="BE70" s="2267"/>
      <c r="BF70" s="2267"/>
      <c r="BG70" s="2267"/>
      <c r="BH70" s="2267"/>
      <c r="BI70" s="2267"/>
      <c r="BJ70" s="2267"/>
      <c r="BK70" s="2267"/>
      <c r="BL70" s="2267"/>
      <c r="BM70" s="4278"/>
      <c r="BN70" s="2267"/>
      <c r="BO70" s="2267"/>
      <c r="BP70" s="2267"/>
      <c r="BQ70" s="4286"/>
      <c r="BR70" s="4286"/>
      <c r="BS70" s="4286"/>
      <c r="BT70" s="4286"/>
      <c r="BU70" s="2267"/>
    </row>
    <row r="71" spans="1:73" s="3" customFormat="1" ht="38.25" customHeight="1" x14ac:dyDescent="0.25">
      <c r="A71" s="1578"/>
      <c r="B71" s="1579"/>
      <c r="C71" s="410"/>
      <c r="D71" s="411"/>
      <c r="E71" s="1365"/>
      <c r="F71" s="1365"/>
      <c r="G71" s="4267"/>
      <c r="H71" s="3105"/>
      <c r="I71" s="4267"/>
      <c r="J71" s="3105"/>
      <c r="K71" s="3170"/>
      <c r="L71" s="3105"/>
      <c r="M71" s="3170"/>
      <c r="N71" s="3105"/>
      <c r="O71" s="4290"/>
      <c r="P71" s="4291"/>
      <c r="Q71" s="4294"/>
      <c r="R71" s="4296"/>
      <c r="S71" s="3710"/>
      <c r="T71" s="4274"/>
      <c r="U71" s="2476"/>
      <c r="V71" s="2783"/>
      <c r="W71" s="4283"/>
      <c r="X71" s="1587">
        <f>40000000-40000000</f>
        <v>0</v>
      </c>
      <c r="Y71" s="1587"/>
      <c r="Z71" s="1587"/>
      <c r="AA71" s="1583" t="s">
        <v>2087</v>
      </c>
      <c r="AB71" s="1601">
        <v>61</v>
      </c>
      <c r="AC71" s="1442" t="s">
        <v>1987</v>
      </c>
      <c r="AD71" s="2267"/>
      <c r="AE71" s="2267"/>
      <c r="AF71" s="2267"/>
      <c r="AG71" s="2267"/>
      <c r="AH71" s="4272"/>
      <c r="AI71" s="2267"/>
      <c r="AJ71" s="2267"/>
      <c r="AK71" s="2267"/>
      <c r="AL71" s="2267"/>
      <c r="AM71" s="2267"/>
      <c r="AN71" s="2267"/>
      <c r="AO71" s="2267"/>
      <c r="AP71" s="2267"/>
      <c r="AQ71" s="2267"/>
      <c r="AR71" s="2267"/>
      <c r="AS71" s="2267"/>
      <c r="AT71" s="2267"/>
      <c r="AU71" s="2267"/>
      <c r="AV71" s="2267"/>
      <c r="AW71" s="2267"/>
      <c r="AX71" s="2267"/>
      <c r="AY71" s="2267"/>
      <c r="AZ71" s="2267"/>
      <c r="BA71" s="2267"/>
      <c r="BB71" s="2267"/>
      <c r="BC71" s="2267"/>
      <c r="BD71" s="2267"/>
      <c r="BE71" s="2267"/>
      <c r="BF71" s="2267"/>
      <c r="BG71" s="2267"/>
      <c r="BH71" s="2267"/>
      <c r="BI71" s="2267"/>
      <c r="BJ71" s="2267"/>
      <c r="BK71" s="2267"/>
      <c r="BL71" s="2267"/>
      <c r="BM71" s="4278"/>
      <c r="BN71" s="2267"/>
      <c r="BO71" s="2267"/>
      <c r="BP71" s="2267"/>
      <c r="BQ71" s="4286"/>
      <c r="BR71" s="4286"/>
      <c r="BS71" s="4286"/>
      <c r="BT71" s="4286"/>
      <c r="BU71" s="2267"/>
    </row>
    <row r="72" spans="1:73" s="3" customFormat="1" ht="38.25" customHeight="1" x14ac:dyDescent="0.25">
      <c r="A72" s="1578"/>
      <c r="B72" s="1579"/>
      <c r="C72" s="410"/>
      <c r="D72" s="411"/>
      <c r="E72" s="1365"/>
      <c r="F72" s="1365"/>
      <c r="G72" s="4267"/>
      <c r="H72" s="3105"/>
      <c r="I72" s="4267"/>
      <c r="J72" s="3105"/>
      <c r="K72" s="3170"/>
      <c r="L72" s="3105"/>
      <c r="M72" s="3170"/>
      <c r="N72" s="3105"/>
      <c r="O72" s="4290"/>
      <c r="P72" s="4291"/>
      <c r="Q72" s="4294"/>
      <c r="R72" s="4296"/>
      <c r="S72" s="3710"/>
      <c r="T72" s="4274"/>
      <c r="U72" s="2476"/>
      <c r="V72" s="2783"/>
      <c r="W72" s="4284"/>
      <c r="X72" s="1587">
        <v>42509935</v>
      </c>
      <c r="Y72" s="1587"/>
      <c r="Z72" s="1587"/>
      <c r="AA72" s="1583" t="s">
        <v>2089</v>
      </c>
      <c r="AB72" s="1601">
        <v>61</v>
      </c>
      <c r="AC72" s="1442" t="s">
        <v>1987</v>
      </c>
      <c r="AD72" s="2267"/>
      <c r="AE72" s="2267"/>
      <c r="AF72" s="2267"/>
      <c r="AG72" s="2267"/>
      <c r="AH72" s="4272"/>
      <c r="AI72" s="2267"/>
      <c r="AJ72" s="2267"/>
      <c r="AK72" s="2267"/>
      <c r="AL72" s="2267"/>
      <c r="AM72" s="2267"/>
      <c r="AN72" s="2267"/>
      <c r="AO72" s="2267"/>
      <c r="AP72" s="2267"/>
      <c r="AQ72" s="2267"/>
      <c r="AR72" s="2267"/>
      <c r="AS72" s="2267"/>
      <c r="AT72" s="2267"/>
      <c r="AU72" s="2267"/>
      <c r="AV72" s="2267"/>
      <c r="AW72" s="2267"/>
      <c r="AX72" s="2267"/>
      <c r="AY72" s="2267"/>
      <c r="AZ72" s="2267"/>
      <c r="BA72" s="2267"/>
      <c r="BB72" s="2267"/>
      <c r="BC72" s="2267"/>
      <c r="BD72" s="2267"/>
      <c r="BE72" s="2267"/>
      <c r="BF72" s="2267"/>
      <c r="BG72" s="2267"/>
      <c r="BH72" s="2267"/>
      <c r="BI72" s="2267"/>
      <c r="BJ72" s="2267"/>
      <c r="BK72" s="2267"/>
      <c r="BL72" s="2267"/>
      <c r="BM72" s="4278"/>
      <c r="BN72" s="2267"/>
      <c r="BO72" s="2267"/>
      <c r="BP72" s="2267"/>
      <c r="BQ72" s="4286"/>
      <c r="BR72" s="4286"/>
      <c r="BS72" s="4286"/>
      <c r="BT72" s="4286"/>
      <c r="BU72" s="2267"/>
    </row>
    <row r="73" spans="1:73" s="3" customFormat="1" ht="64.5" customHeight="1" x14ac:dyDescent="0.25">
      <c r="A73" s="1578"/>
      <c r="B73" s="1579"/>
      <c r="C73" s="410"/>
      <c r="D73" s="411"/>
      <c r="E73" s="1365"/>
      <c r="F73" s="1365"/>
      <c r="G73" s="4267"/>
      <c r="H73" s="3105" t="s">
        <v>2077</v>
      </c>
      <c r="I73" s="4267"/>
      <c r="J73" s="3105" t="s">
        <v>2077</v>
      </c>
      <c r="K73" s="3170">
        <v>190301200</v>
      </c>
      <c r="L73" s="3105" t="s">
        <v>2078</v>
      </c>
      <c r="M73" s="3170">
        <v>190301200</v>
      </c>
      <c r="N73" s="3105" t="s">
        <v>2078</v>
      </c>
      <c r="O73" s="4290"/>
      <c r="P73" s="4291"/>
      <c r="Q73" s="4294"/>
      <c r="R73" s="4296"/>
      <c r="S73" s="3710"/>
      <c r="T73" s="4274"/>
      <c r="U73" s="2476"/>
      <c r="V73" s="2783"/>
      <c r="W73" s="1371" t="s">
        <v>2095</v>
      </c>
      <c r="X73" s="1587">
        <f>136102667-30000000</f>
        <v>106102667</v>
      </c>
      <c r="Y73" s="1587">
        <v>91520000</v>
      </c>
      <c r="Z73" s="1587">
        <v>79880000</v>
      </c>
      <c r="AA73" s="1583" t="s">
        <v>2094</v>
      </c>
      <c r="AB73" s="1601">
        <v>61</v>
      </c>
      <c r="AC73" s="1442" t="s">
        <v>1987</v>
      </c>
      <c r="AD73" s="2267"/>
      <c r="AE73" s="2267"/>
      <c r="AF73" s="2267"/>
      <c r="AG73" s="2267"/>
      <c r="AH73" s="4272"/>
      <c r="AI73" s="2267"/>
      <c r="AJ73" s="2267"/>
      <c r="AK73" s="2267"/>
      <c r="AL73" s="2267"/>
      <c r="AM73" s="2267"/>
      <c r="AN73" s="2267"/>
      <c r="AO73" s="2267"/>
      <c r="AP73" s="2267"/>
      <c r="AQ73" s="2267"/>
      <c r="AR73" s="2267"/>
      <c r="AS73" s="2267"/>
      <c r="AT73" s="2267"/>
      <c r="AU73" s="2267"/>
      <c r="AV73" s="2267"/>
      <c r="AW73" s="2267"/>
      <c r="AX73" s="2267"/>
      <c r="AY73" s="2267"/>
      <c r="AZ73" s="2267"/>
      <c r="BA73" s="2267"/>
      <c r="BB73" s="2267"/>
      <c r="BC73" s="2267"/>
      <c r="BD73" s="2267"/>
      <c r="BE73" s="2267"/>
      <c r="BF73" s="2267"/>
      <c r="BG73" s="2267"/>
      <c r="BH73" s="2267"/>
      <c r="BI73" s="2267"/>
      <c r="BJ73" s="2267"/>
      <c r="BK73" s="2267"/>
      <c r="BL73" s="2267"/>
      <c r="BM73" s="4278"/>
      <c r="BN73" s="2267"/>
      <c r="BO73" s="2267"/>
      <c r="BP73" s="2267"/>
      <c r="BQ73" s="4286"/>
      <c r="BR73" s="4286"/>
      <c r="BS73" s="4286"/>
      <c r="BT73" s="4286"/>
      <c r="BU73" s="2267"/>
    </row>
    <row r="74" spans="1:73" s="3" customFormat="1" ht="38.25" customHeight="1" x14ac:dyDescent="0.25">
      <c r="A74" s="1578"/>
      <c r="B74" s="1579"/>
      <c r="C74" s="410"/>
      <c r="D74" s="411"/>
      <c r="E74" s="1365"/>
      <c r="F74" s="1365"/>
      <c r="G74" s="4267"/>
      <c r="H74" s="3105" t="s">
        <v>2077</v>
      </c>
      <c r="I74" s="4267"/>
      <c r="J74" s="3105" t="s">
        <v>2077</v>
      </c>
      <c r="K74" s="3170">
        <v>190301200</v>
      </c>
      <c r="L74" s="3105" t="s">
        <v>2078</v>
      </c>
      <c r="M74" s="3170">
        <v>190301200</v>
      </c>
      <c r="N74" s="3105" t="s">
        <v>2078</v>
      </c>
      <c r="O74" s="4290"/>
      <c r="P74" s="4291"/>
      <c r="Q74" s="4294"/>
      <c r="R74" s="4296"/>
      <c r="S74" s="3710"/>
      <c r="T74" s="4274"/>
      <c r="U74" s="2476"/>
      <c r="V74" s="2783"/>
      <c r="W74" s="1586" t="s">
        <v>2096</v>
      </c>
      <c r="X74" s="1587">
        <v>15500050</v>
      </c>
      <c r="Y74" s="1587">
        <v>12720000</v>
      </c>
      <c r="Z74" s="1587">
        <v>9240000</v>
      </c>
      <c r="AA74" s="1583" t="s">
        <v>2094</v>
      </c>
      <c r="AB74" s="1601">
        <v>61</v>
      </c>
      <c r="AC74" s="1442" t="s">
        <v>1987</v>
      </c>
      <c r="AD74" s="2267"/>
      <c r="AE74" s="2267"/>
      <c r="AF74" s="2267"/>
      <c r="AG74" s="2267"/>
      <c r="AH74" s="4272"/>
      <c r="AI74" s="2267"/>
      <c r="AJ74" s="2267"/>
      <c r="AK74" s="2267"/>
      <c r="AL74" s="2267"/>
      <c r="AM74" s="2267"/>
      <c r="AN74" s="2267"/>
      <c r="AO74" s="2267"/>
      <c r="AP74" s="2267"/>
      <c r="AQ74" s="2267"/>
      <c r="AR74" s="2267"/>
      <c r="AS74" s="2267"/>
      <c r="AT74" s="2267"/>
      <c r="AU74" s="2267"/>
      <c r="AV74" s="2267"/>
      <c r="AW74" s="2267"/>
      <c r="AX74" s="2267"/>
      <c r="AY74" s="2267"/>
      <c r="AZ74" s="2267"/>
      <c r="BA74" s="2267"/>
      <c r="BB74" s="2267"/>
      <c r="BC74" s="2267"/>
      <c r="BD74" s="2267"/>
      <c r="BE74" s="2267"/>
      <c r="BF74" s="2267"/>
      <c r="BG74" s="2267"/>
      <c r="BH74" s="2267"/>
      <c r="BI74" s="2267"/>
      <c r="BJ74" s="2267"/>
      <c r="BK74" s="2267"/>
      <c r="BL74" s="2267"/>
      <c r="BM74" s="4278"/>
      <c r="BN74" s="2267"/>
      <c r="BO74" s="2267"/>
      <c r="BP74" s="2267"/>
      <c r="BQ74" s="4286"/>
      <c r="BR74" s="4286"/>
      <c r="BS74" s="4286"/>
      <c r="BT74" s="4286"/>
      <c r="BU74" s="2267"/>
    </row>
    <row r="75" spans="1:73" s="3" customFormat="1" ht="38.25" customHeight="1" x14ac:dyDescent="0.25">
      <c r="A75" s="1578"/>
      <c r="B75" s="1579"/>
      <c r="C75" s="410"/>
      <c r="D75" s="411"/>
      <c r="E75" s="1365"/>
      <c r="F75" s="1365"/>
      <c r="G75" s="4275"/>
      <c r="H75" s="3118" t="s">
        <v>2077</v>
      </c>
      <c r="I75" s="4275"/>
      <c r="J75" s="3118" t="s">
        <v>2077</v>
      </c>
      <c r="K75" s="4276">
        <v>190301200</v>
      </c>
      <c r="L75" s="3118" t="s">
        <v>2078</v>
      </c>
      <c r="M75" s="4276">
        <v>190301200</v>
      </c>
      <c r="N75" s="3118" t="s">
        <v>2078</v>
      </c>
      <c r="O75" s="3656"/>
      <c r="P75" s="4289"/>
      <c r="Q75" s="4294"/>
      <c r="R75" s="4296"/>
      <c r="S75" s="3710"/>
      <c r="T75" s="4274"/>
      <c r="U75" s="2476"/>
      <c r="V75" s="2783"/>
      <c r="W75" s="1586" t="s">
        <v>2097</v>
      </c>
      <c r="X75" s="1587">
        <v>16800000</v>
      </c>
      <c r="Y75" s="1587">
        <v>11540000</v>
      </c>
      <c r="Z75" s="1587">
        <v>10885000</v>
      </c>
      <c r="AA75" s="1583" t="s">
        <v>2094</v>
      </c>
      <c r="AB75" s="1601">
        <v>61</v>
      </c>
      <c r="AC75" s="1442" t="s">
        <v>1987</v>
      </c>
      <c r="AD75" s="2267"/>
      <c r="AE75" s="2267"/>
      <c r="AF75" s="2267"/>
      <c r="AG75" s="2267"/>
      <c r="AH75" s="4272"/>
      <c r="AI75" s="2267"/>
      <c r="AJ75" s="2267"/>
      <c r="AK75" s="2267"/>
      <c r="AL75" s="2267"/>
      <c r="AM75" s="2267"/>
      <c r="AN75" s="2267"/>
      <c r="AO75" s="2267"/>
      <c r="AP75" s="2267"/>
      <c r="AQ75" s="2267"/>
      <c r="AR75" s="2267"/>
      <c r="AS75" s="2267"/>
      <c r="AT75" s="2267"/>
      <c r="AU75" s="2267"/>
      <c r="AV75" s="2267"/>
      <c r="AW75" s="2267"/>
      <c r="AX75" s="2267"/>
      <c r="AY75" s="2267"/>
      <c r="AZ75" s="2267"/>
      <c r="BA75" s="2267"/>
      <c r="BB75" s="2267"/>
      <c r="BC75" s="2267"/>
      <c r="BD75" s="2267"/>
      <c r="BE75" s="2267"/>
      <c r="BF75" s="2267"/>
      <c r="BG75" s="2267"/>
      <c r="BH75" s="2267"/>
      <c r="BI75" s="2267"/>
      <c r="BJ75" s="2267"/>
      <c r="BK75" s="2267"/>
      <c r="BL75" s="2267"/>
      <c r="BM75" s="4278"/>
      <c r="BN75" s="2267"/>
      <c r="BO75" s="2267"/>
      <c r="BP75" s="2267"/>
      <c r="BQ75" s="4286"/>
      <c r="BR75" s="4286"/>
      <c r="BS75" s="4286"/>
      <c r="BT75" s="4286"/>
      <c r="BU75" s="2267"/>
    </row>
    <row r="76" spans="1:73" s="3" customFormat="1" ht="48.75" customHeight="1" x14ac:dyDescent="0.25">
      <c r="A76" s="1578"/>
      <c r="B76" s="1579"/>
      <c r="C76" s="410"/>
      <c r="D76" s="411"/>
      <c r="E76" s="1365"/>
      <c r="F76" s="1365"/>
      <c r="G76" s="4280">
        <v>1903016</v>
      </c>
      <c r="H76" s="3117" t="s">
        <v>2098</v>
      </c>
      <c r="I76" s="4280">
        <v>1903016</v>
      </c>
      <c r="J76" s="3117" t="s">
        <v>2098</v>
      </c>
      <c r="K76" s="4281">
        <v>190301600</v>
      </c>
      <c r="L76" s="3117" t="s">
        <v>2099</v>
      </c>
      <c r="M76" s="4281">
        <v>190301600</v>
      </c>
      <c r="N76" s="3117" t="s">
        <v>2099</v>
      </c>
      <c r="O76" s="3667">
        <v>240</v>
      </c>
      <c r="P76" s="4288">
        <v>119</v>
      </c>
      <c r="Q76" s="4294"/>
      <c r="R76" s="4296"/>
      <c r="S76" s="3710">
        <f>SUM(X76:X78)/T64</f>
        <v>9.9186009019095647E-2</v>
      </c>
      <c r="T76" s="4274"/>
      <c r="U76" s="2476"/>
      <c r="V76" s="2783"/>
      <c r="W76" s="1586" t="s">
        <v>2100</v>
      </c>
      <c r="X76" s="1587">
        <v>34000000</v>
      </c>
      <c r="Y76" s="1587">
        <v>15544000</v>
      </c>
      <c r="Z76" s="1587">
        <v>15332000</v>
      </c>
      <c r="AA76" s="1583" t="s">
        <v>2101</v>
      </c>
      <c r="AB76" s="1601">
        <v>61</v>
      </c>
      <c r="AC76" s="1442" t="s">
        <v>1987</v>
      </c>
      <c r="AD76" s="2267"/>
      <c r="AE76" s="2267"/>
      <c r="AF76" s="2267"/>
      <c r="AG76" s="2267"/>
      <c r="AH76" s="4272"/>
      <c r="AI76" s="2267"/>
      <c r="AJ76" s="2267"/>
      <c r="AK76" s="2267"/>
      <c r="AL76" s="2267"/>
      <c r="AM76" s="2267"/>
      <c r="AN76" s="2267"/>
      <c r="AO76" s="2267"/>
      <c r="AP76" s="2267"/>
      <c r="AQ76" s="2267"/>
      <c r="AR76" s="2267"/>
      <c r="AS76" s="2267"/>
      <c r="AT76" s="2267"/>
      <c r="AU76" s="2267"/>
      <c r="AV76" s="2267"/>
      <c r="AW76" s="2267"/>
      <c r="AX76" s="2267"/>
      <c r="AY76" s="2267"/>
      <c r="AZ76" s="2267"/>
      <c r="BA76" s="2267"/>
      <c r="BB76" s="2267"/>
      <c r="BC76" s="2267"/>
      <c r="BD76" s="2267"/>
      <c r="BE76" s="2267"/>
      <c r="BF76" s="2267"/>
      <c r="BG76" s="2267"/>
      <c r="BH76" s="2267"/>
      <c r="BI76" s="2267"/>
      <c r="BJ76" s="2267"/>
      <c r="BK76" s="2267"/>
      <c r="BL76" s="2267"/>
      <c r="BM76" s="4278"/>
      <c r="BN76" s="2267"/>
      <c r="BO76" s="2267"/>
      <c r="BP76" s="2267"/>
      <c r="BQ76" s="4286"/>
      <c r="BR76" s="4286"/>
      <c r="BS76" s="4286"/>
      <c r="BT76" s="4286"/>
      <c r="BU76" s="2267"/>
    </row>
    <row r="77" spans="1:73" s="3" customFormat="1" ht="65.25" customHeight="1" x14ac:dyDescent="0.25">
      <c r="A77" s="1578"/>
      <c r="B77" s="1579"/>
      <c r="C77" s="410"/>
      <c r="D77" s="411"/>
      <c r="E77" s="1365"/>
      <c r="F77" s="1365"/>
      <c r="G77" s="4267"/>
      <c r="H77" s="3105" t="s">
        <v>2098</v>
      </c>
      <c r="I77" s="4267"/>
      <c r="J77" s="3105" t="s">
        <v>2098</v>
      </c>
      <c r="K77" s="3170">
        <v>190301600</v>
      </c>
      <c r="L77" s="3105" t="s">
        <v>2099</v>
      </c>
      <c r="M77" s="3170">
        <v>190301600</v>
      </c>
      <c r="N77" s="3105" t="s">
        <v>2099</v>
      </c>
      <c r="O77" s="3667"/>
      <c r="P77" s="4291"/>
      <c r="Q77" s="4294"/>
      <c r="R77" s="4296"/>
      <c r="S77" s="3710"/>
      <c r="T77" s="4274"/>
      <c r="U77" s="2476"/>
      <c r="V77" s="2783"/>
      <c r="W77" s="1586" t="s">
        <v>2102</v>
      </c>
      <c r="X77" s="1587">
        <v>35000000</v>
      </c>
      <c r="Y77" s="1587">
        <v>13200000</v>
      </c>
      <c r="Z77" s="1587">
        <v>12800000</v>
      </c>
      <c r="AA77" s="1583" t="s">
        <v>2101</v>
      </c>
      <c r="AB77" s="1601">
        <v>61</v>
      </c>
      <c r="AC77" s="1442" t="s">
        <v>1987</v>
      </c>
      <c r="AD77" s="2267"/>
      <c r="AE77" s="2267"/>
      <c r="AF77" s="2267"/>
      <c r="AG77" s="2267"/>
      <c r="AH77" s="4272"/>
      <c r="AI77" s="2267"/>
      <c r="AJ77" s="2267"/>
      <c r="AK77" s="2267"/>
      <c r="AL77" s="2267"/>
      <c r="AM77" s="2267"/>
      <c r="AN77" s="2267"/>
      <c r="AO77" s="2267"/>
      <c r="AP77" s="2267"/>
      <c r="AQ77" s="2267"/>
      <c r="AR77" s="2267"/>
      <c r="AS77" s="2267"/>
      <c r="AT77" s="2267"/>
      <c r="AU77" s="2267"/>
      <c r="AV77" s="2267"/>
      <c r="AW77" s="2267"/>
      <c r="AX77" s="2267"/>
      <c r="AY77" s="2267"/>
      <c r="AZ77" s="2267"/>
      <c r="BA77" s="2267"/>
      <c r="BB77" s="2267"/>
      <c r="BC77" s="2267"/>
      <c r="BD77" s="2267"/>
      <c r="BE77" s="2267"/>
      <c r="BF77" s="2267"/>
      <c r="BG77" s="2267"/>
      <c r="BH77" s="2267"/>
      <c r="BI77" s="2267"/>
      <c r="BJ77" s="2267"/>
      <c r="BK77" s="2267"/>
      <c r="BL77" s="2267"/>
      <c r="BM77" s="4278"/>
      <c r="BN77" s="2267"/>
      <c r="BO77" s="2267"/>
      <c r="BP77" s="2267"/>
      <c r="BQ77" s="4286"/>
      <c r="BR77" s="4286"/>
      <c r="BS77" s="4286"/>
      <c r="BT77" s="4286"/>
      <c r="BU77" s="2267"/>
    </row>
    <row r="78" spans="1:73" s="3" customFormat="1" ht="48.75" customHeight="1" x14ac:dyDescent="0.25">
      <c r="A78" s="1578"/>
      <c r="B78" s="1579"/>
      <c r="C78" s="410"/>
      <c r="D78" s="411"/>
      <c r="E78" s="1365"/>
      <c r="F78" s="1365"/>
      <c r="G78" s="4275"/>
      <c r="H78" s="3118" t="s">
        <v>2098</v>
      </c>
      <c r="I78" s="4275"/>
      <c r="J78" s="3118" t="s">
        <v>2098</v>
      </c>
      <c r="K78" s="4276">
        <v>190301600</v>
      </c>
      <c r="L78" s="3118" t="s">
        <v>2099</v>
      </c>
      <c r="M78" s="4276">
        <v>190301600</v>
      </c>
      <c r="N78" s="3118" t="s">
        <v>2099</v>
      </c>
      <c r="O78" s="3667"/>
      <c r="P78" s="4289"/>
      <c r="Q78" s="4294"/>
      <c r="R78" s="4296"/>
      <c r="S78" s="3710"/>
      <c r="T78" s="4274"/>
      <c r="U78" s="2476"/>
      <c r="V78" s="2783"/>
      <c r="W78" s="1447" t="s">
        <v>2103</v>
      </c>
      <c r="X78" s="1607">
        <v>25000000</v>
      </c>
      <c r="Y78" s="1603">
        <v>16324000</v>
      </c>
      <c r="Z78" s="1603">
        <v>15081000</v>
      </c>
      <c r="AA78" s="1583" t="s">
        <v>2101</v>
      </c>
      <c r="AB78" s="1601">
        <v>61</v>
      </c>
      <c r="AC78" s="1442" t="s">
        <v>1987</v>
      </c>
      <c r="AD78" s="2267"/>
      <c r="AE78" s="2267"/>
      <c r="AF78" s="2267"/>
      <c r="AG78" s="2267"/>
      <c r="AH78" s="4272"/>
      <c r="AI78" s="2267"/>
      <c r="AJ78" s="2267"/>
      <c r="AK78" s="2267"/>
      <c r="AL78" s="2267"/>
      <c r="AM78" s="2267"/>
      <c r="AN78" s="2267"/>
      <c r="AO78" s="2267"/>
      <c r="AP78" s="2267"/>
      <c r="AQ78" s="2267"/>
      <c r="AR78" s="2267"/>
      <c r="AS78" s="2267"/>
      <c r="AT78" s="2267"/>
      <c r="AU78" s="2267"/>
      <c r="AV78" s="2267"/>
      <c r="AW78" s="2267"/>
      <c r="AX78" s="2267"/>
      <c r="AY78" s="2267"/>
      <c r="AZ78" s="2267"/>
      <c r="BA78" s="2267"/>
      <c r="BB78" s="2267"/>
      <c r="BC78" s="2267"/>
      <c r="BD78" s="2267"/>
      <c r="BE78" s="2267"/>
      <c r="BF78" s="2267"/>
      <c r="BG78" s="2267"/>
      <c r="BH78" s="2267"/>
      <c r="BI78" s="2267"/>
      <c r="BJ78" s="2267"/>
      <c r="BK78" s="2267"/>
      <c r="BL78" s="2267"/>
      <c r="BM78" s="4278"/>
      <c r="BN78" s="2267"/>
      <c r="BO78" s="2267"/>
      <c r="BP78" s="2267"/>
      <c r="BQ78" s="4286"/>
      <c r="BR78" s="4286"/>
      <c r="BS78" s="4286"/>
      <c r="BT78" s="4286"/>
      <c r="BU78" s="2267"/>
    </row>
    <row r="79" spans="1:73" s="3" customFormat="1" ht="39.75" customHeight="1" x14ac:dyDescent="0.25">
      <c r="A79" s="1578"/>
      <c r="B79" s="1579"/>
      <c r="C79" s="410"/>
      <c r="D79" s="411"/>
      <c r="E79" s="1365"/>
      <c r="F79" s="1365"/>
      <c r="G79" s="4280">
        <v>1903011</v>
      </c>
      <c r="H79" s="3117" t="s">
        <v>2044</v>
      </c>
      <c r="I79" s="4280">
        <v>1903011</v>
      </c>
      <c r="J79" s="3117" t="s">
        <v>2044</v>
      </c>
      <c r="K79" s="4281">
        <v>190301101</v>
      </c>
      <c r="L79" s="3117" t="s">
        <v>2104</v>
      </c>
      <c r="M79" s="4281">
        <v>190301101</v>
      </c>
      <c r="N79" s="3117" t="s">
        <v>2104</v>
      </c>
      <c r="O79" s="3667">
        <v>12</v>
      </c>
      <c r="P79" s="4288">
        <v>6</v>
      </c>
      <c r="Q79" s="4294"/>
      <c r="R79" s="4296"/>
      <c r="S79" s="3710">
        <f>SUM(X79:X80)/T64</f>
        <v>0.13169729613104322</v>
      </c>
      <c r="T79" s="4274"/>
      <c r="U79" s="2476"/>
      <c r="V79" s="2783"/>
      <c r="W79" s="1447" t="s">
        <v>2105</v>
      </c>
      <c r="X79" s="1605">
        <f>54000000+30811412</f>
        <v>84811412</v>
      </c>
      <c r="Y79" s="1587">
        <v>12792500</v>
      </c>
      <c r="Z79" s="1587"/>
      <c r="AA79" s="1583" t="s">
        <v>2106</v>
      </c>
      <c r="AB79" s="1601">
        <v>61</v>
      </c>
      <c r="AC79" s="1442" t="s">
        <v>1987</v>
      </c>
      <c r="AD79" s="2267"/>
      <c r="AE79" s="2267"/>
      <c r="AF79" s="2267"/>
      <c r="AG79" s="2267"/>
      <c r="AH79" s="4272"/>
      <c r="AI79" s="2267"/>
      <c r="AJ79" s="2267"/>
      <c r="AK79" s="2267"/>
      <c r="AL79" s="2267"/>
      <c r="AM79" s="2267"/>
      <c r="AN79" s="2267"/>
      <c r="AO79" s="2267"/>
      <c r="AP79" s="2267"/>
      <c r="AQ79" s="2267"/>
      <c r="AR79" s="2267"/>
      <c r="AS79" s="2267"/>
      <c r="AT79" s="2267"/>
      <c r="AU79" s="2267"/>
      <c r="AV79" s="2267"/>
      <c r="AW79" s="2267"/>
      <c r="AX79" s="2267"/>
      <c r="AY79" s="2267"/>
      <c r="AZ79" s="2267"/>
      <c r="BA79" s="2267"/>
      <c r="BB79" s="2267"/>
      <c r="BC79" s="2267"/>
      <c r="BD79" s="2267"/>
      <c r="BE79" s="2267"/>
      <c r="BF79" s="2267"/>
      <c r="BG79" s="2267"/>
      <c r="BH79" s="2267"/>
      <c r="BI79" s="2267"/>
      <c r="BJ79" s="2267"/>
      <c r="BK79" s="2267"/>
      <c r="BL79" s="2267"/>
      <c r="BM79" s="4278"/>
      <c r="BN79" s="2267"/>
      <c r="BO79" s="2267"/>
      <c r="BP79" s="2267"/>
      <c r="BQ79" s="4286"/>
      <c r="BR79" s="4286"/>
      <c r="BS79" s="4286"/>
      <c r="BT79" s="4286"/>
      <c r="BU79" s="2267"/>
    </row>
    <row r="80" spans="1:73" s="3" customFormat="1" ht="39.75" customHeight="1" x14ac:dyDescent="0.25">
      <c r="A80" s="1578"/>
      <c r="B80" s="1579"/>
      <c r="C80" s="410"/>
      <c r="D80" s="411"/>
      <c r="E80" s="1365"/>
      <c r="F80" s="1365"/>
      <c r="G80" s="4267"/>
      <c r="H80" s="3105" t="s">
        <v>2044</v>
      </c>
      <c r="I80" s="4267"/>
      <c r="J80" s="3105" t="s">
        <v>2044</v>
      </c>
      <c r="K80" s="3170">
        <v>190301101</v>
      </c>
      <c r="L80" s="3105" t="s">
        <v>2104</v>
      </c>
      <c r="M80" s="3170">
        <v>190301101</v>
      </c>
      <c r="N80" s="3105" t="s">
        <v>2104</v>
      </c>
      <c r="O80" s="3654"/>
      <c r="P80" s="4289"/>
      <c r="Q80" s="4295"/>
      <c r="R80" s="4076"/>
      <c r="S80" s="3474"/>
      <c r="T80" s="4274"/>
      <c r="U80" s="2701"/>
      <c r="V80" s="2719"/>
      <c r="W80" s="1456" t="s">
        <v>2107</v>
      </c>
      <c r="X80" s="1604">
        <v>40000000</v>
      </c>
      <c r="Y80" s="1587"/>
      <c r="Z80" s="1587"/>
      <c r="AA80" s="1583" t="s">
        <v>2106</v>
      </c>
      <c r="AB80" s="1601">
        <v>61</v>
      </c>
      <c r="AC80" s="1442" t="s">
        <v>1987</v>
      </c>
      <c r="AD80" s="2439"/>
      <c r="AE80" s="2439"/>
      <c r="AF80" s="2267"/>
      <c r="AG80" s="2439"/>
      <c r="AH80" s="4272"/>
      <c r="AI80" s="2439"/>
      <c r="AJ80" s="2267"/>
      <c r="AK80" s="2439"/>
      <c r="AL80" s="2267"/>
      <c r="AM80" s="2439"/>
      <c r="AN80" s="2267"/>
      <c r="AO80" s="2439"/>
      <c r="AP80" s="2267"/>
      <c r="AQ80" s="2439"/>
      <c r="AR80" s="2267"/>
      <c r="AS80" s="2439"/>
      <c r="AT80" s="2267"/>
      <c r="AU80" s="2439"/>
      <c r="AV80" s="2267"/>
      <c r="AW80" s="2439"/>
      <c r="AX80" s="2267"/>
      <c r="AY80" s="2439"/>
      <c r="AZ80" s="2267"/>
      <c r="BA80" s="2439"/>
      <c r="BB80" s="2267"/>
      <c r="BC80" s="2439"/>
      <c r="BD80" s="2267"/>
      <c r="BE80" s="2439"/>
      <c r="BF80" s="2267"/>
      <c r="BG80" s="2439"/>
      <c r="BH80" s="2267"/>
      <c r="BI80" s="2439"/>
      <c r="BJ80" s="2439"/>
      <c r="BK80" s="2439"/>
      <c r="BL80" s="2439"/>
      <c r="BM80" s="4279"/>
      <c r="BN80" s="2439"/>
      <c r="BO80" s="2439"/>
      <c r="BP80" s="2439"/>
      <c r="BQ80" s="4286"/>
      <c r="BR80" s="4286"/>
      <c r="BS80" s="4286"/>
      <c r="BT80" s="4286"/>
      <c r="BU80" s="2267"/>
    </row>
    <row r="81" spans="1:73" s="3" customFormat="1" ht="58.5" customHeight="1" x14ac:dyDescent="0.25">
      <c r="A81" s="1578"/>
      <c r="B81" s="1579"/>
      <c r="C81" s="410"/>
      <c r="D81" s="411"/>
      <c r="E81" s="1365"/>
      <c r="F81" s="1365"/>
      <c r="G81" s="2664">
        <v>1903034</v>
      </c>
      <c r="H81" s="2475" t="s">
        <v>245</v>
      </c>
      <c r="I81" s="2664">
        <v>1903034</v>
      </c>
      <c r="J81" s="2475" t="s">
        <v>245</v>
      </c>
      <c r="K81" s="4250">
        <v>190303400</v>
      </c>
      <c r="L81" s="2475" t="s">
        <v>2108</v>
      </c>
      <c r="M81" s="4250">
        <v>190303400</v>
      </c>
      <c r="N81" s="2475" t="s">
        <v>2108</v>
      </c>
      <c r="O81" s="3385">
        <v>12</v>
      </c>
      <c r="P81" s="4247">
        <v>12</v>
      </c>
      <c r="Q81" s="3601" t="s">
        <v>2109</v>
      </c>
      <c r="R81" s="2476" t="s">
        <v>2110</v>
      </c>
      <c r="S81" s="3710">
        <f>SUM(X81:X83)/T81</f>
        <v>1</v>
      </c>
      <c r="T81" s="4254">
        <f>SUM(X81:X83)</f>
        <v>96954000</v>
      </c>
      <c r="U81" s="2476" t="s">
        <v>2111</v>
      </c>
      <c r="V81" s="3762" t="s">
        <v>2112</v>
      </c>
      <c r="W81" s="1447" t="s">
        <v>2113</v>
      </c>
      <c r="X81" s="1584">
        <v>30000000</v>
      </c>
      <c r="Y81" s="1582"/>
      <c r="Z81" s="1607"/>
      <c r="AA81" s="1583" t="s">
        <v>2114</v>
      </c>
      <c r="AB81" s="1411">
        <v>20</v>
      </c>
      <c r="AC81" s="1441" t="s">
        <v>86</v>
      </c>
      <c r="AD81" s="2438">
        <v>292684</v>
      </c>
      <c r="AE81" s="2438"/>
      <c r="AF81" s="4297">
        <v>282326</v>
      </c>
      <c r="AG81" s="2438"/>
      <c r="AH81" s="4301">
        <v>135912</v>
      </c>
      <c r="AI81" s="2438"/>
      <c r="AJ81" s="4297">
        <v>45122</v>
      </c>
      <c r="AK81" s="2438"/>
      <c r="AL81" s="4297">
        <v>365607</v>
      </c>
      <c r="AM81" s="2438"/>
      <c r="AN81" s="4297">
        <v>86875</v>
      </c>
      <c r="AO81" s="2438"/>
      <c r="AP81" s="4297">
        <v>2145</v>
      </c>
      <c r="AQ81" s="2438"/>
      <c r="AR81" s="4297">
        <v>12718</v>
      </c>
      <c r="AS81" s="2438"/>
      <c r="AT81" s="4297">
        <v>26</v>
      </c>
      <c r="AU81" s="2438"/>
      <c r="AV81" s="4297">
        <v>37</v>
      </c>
      <c r="AW81" s="2438"/>
      <c r="AX81" s="4297" t="s">
        <v>2115</v>
      </c>
      <c r="AY81" s="2438"/>
      <c r="AZ81" s="4297" t="s">
        <v>2115</v>
      </c>
      <c r="BA81" s="2438"/>
      <c r="BB81" s="4297">
        <v>53164</v>
      </c>
      <c r="BC81" s="2438"/>
      <c r="BD81" s="4297">
        <v>16982</v>
      </c>
      <c r="BE81" s="2438"/>
      <c r="BF81" s="4297">
        <v>60013</v>
      </c>
      <c r="BG81" s="2438"/>
      <c r="BH81" s="4297">
        <v>575010</v>
      </c>
      <c r="BI81" s="2438"/>
      <c r="BJ81" s="2438">
        <v>3</v>
      </c>
      <c r="BK81" s="4287">
        <f>SUM(Y81:Y83)</f>
        <v>29620000</v>
      </c>
      <c r="BL81" s="4287">
        <f>SUM(Z81:Z83)</f>
        <v>24138500</v>
      </c>
      <c r="BM81" s="4277">
        <f>BL81/BK81</f>
        <v>0.81493923024983117</v>
      </c>
      <c r="BN81" s="2438">
        <v>20</v>
      </c>
      <c r="BO81" s="2438" t="s">
        <v>86</v>
      </c>
      <c r="BP81" s="2438" t="s">
        <v>2116</v>
      </c>
      <c r="BQ81" s="4299">
        <v>44197</v>
      </c>
      <c r="BR81" s="4299">
        <v>44245</v>
      </c>
      <c r="BS81" s="4299">
        <v>44561</v>
      </c>
      <c r="BT81" s="4299">
        <v>44561</v>
      </c>
      <c r="BU81" s="4297" t="s">
        <v>1991</v>
      </c>
    </row>
    <row r="82" spans="1:73" s="3" customFormat="1" ht="58.5" customHeight="1" x14ac:dyDescent="0.25">
      <c r="A82" s="1578"/>
      <c r="B82" s="1579"/>
      <c r="C82" s="410"/>
      <c r="D82" s="411"/>
      <c r="E82" s="1365"/>
      <c r="F82" s="1365"/>
      <c r="G82" s="2664"/>
      <c r="H82" s="2475"/>
      <c r="I82" s="2664"/>
      <c r="J82" s="2475"/>
      <c r="K82" s="4250"/>
      <c r="L82" s="2475"/>
      <c r="M82" s="4250"/>
      <c r="N82" s="2475"/>
      <c r="O82" s="3385"/>
      <c r="P82" s="4248"/>
      <c r="Q82" s="3385"/>
      <c r="R82" s="2476"/>
      <c r="S82" s="3710"/>
      <c r="T82" s="4254"/>
      <c r="U82" s="2476"/>
      <c r="V82" s="3762"/>
      <c r="W82" s="1447" t="s">
        <v>2117</v>
      </c>
      <c r="X82" s="1584">
        <v>30000000</v>
      </c>
      <c r="Y82" s="1584">
        <v>23080000</v>
      </c>
      <c r="Z82" s="1605">
        <v>19080000</v>
      </c>
      <c r="AA82" s="1583" t="s">
        <v>2114</v>
      </c>
      <c r="AB82" s="1411">
        <v>20</v>
      </c>
      <c r="AC82" s="1441" t="s">
        <v>86</v>
      </c>
      <c r="AD82" s="2267"/>
      <c r="AE82" s="2267"/>
      <c r="AF82" s="4298"/>
      <c r="AG82" s="2267"/>
      <c r="AH82" s="4302"/>
      <c r="AI82" s="2267"/>
      <c r="AJ82" s="4298"/>
      <c r="AK82" s="2267"/>
      <c r="AL82" s="4298"/>
      <c r="AM82" s="2267"/>
      <c r="AN82" s="4298"/>
      <c r="AO82" s="2267"/>
      <c r="AP82" s="4298"/>
      <c r="AQ82" s="2267"/>
      <c r="AR82" s="4298"/>
      <c r="AS82" s="2267"/>
      <c r="AT82" s="4298"/>
      <c r="AU82" s="2267"/>
      <c r="AV82" s="4298"/>
      <c r="AW82" s="2267"/>
      <c r="AX82" s="4298"/>
      <c r="AY82" s="2267"/>
      <c r="AZ82" s="4298"/>
      <c r="BA82" s="2267"/>
      <c r="BB82" s="4298"/>
      <c r="BC82" s="2267"/>
      <c r="BD82" s="4298"/>
      <c r="BE82" s="2267"/>
      <c r="BF82" s="4298"/>
      <c r="BG82" s="2267"/>
      <c r="BH82" s="4298"/>
      <c r="BI82" s="2267"/>
      <c r="BJ82" s="2267"/>
      <c r="BK82" s="2267"/>
      <c r="BL82" s="2267"/>
      <c r="BM82" s="4278"/>
      <c r="BN82" s="2267"/>
      <c r="BO82" s="2267"/>
      <c r="BP82" s="2267"/>
      <c r="BQ82" s="4300"/>
      <c r="BR82" s="4300"/>
      <c r="BS82" s="4300"/>
      <c r="BT82" s="4300"/>
      <c r="BU82" s="4298"/>
    </row>
    <row r="83" spans="1:73" s="3" customFormat="1" ht="58.5" customHeight="1" x14ac:dyDescent="0.25">
      <c r="A83" s="1578"/>
      <c r="B83" s="1579"/>
      <c r="C83" s="410"/>
      <c r="D83" s="411"/>
      <c r="E83" s="1365"/>
      <c r="F83" s="1365"/>
      <c r="G83" s="2325"/>
      <c r="H83" s="2478"/>
      <c r="I83" s="2325"/>
      <c r="J83" s="2478"/>
      <c r="K83" s="4258"/>
      <c r="L83" s="2478"/>
      <c r="M83" s="4258"/>
      <c r="N83" s="2478"/>
      <c r="O83" s="3408"/>
      <c r="P83" s="4249"/>
      <c r="Q83" s="3408"/>
      <c r="R83" s="2701"/>
      <c r="S83" s="3474"/>
      <c r="T83" s="4262"/>
      <c r="U83" s="2701"/>
      <c r="V83" s="3762"/>
      <c r="W83" s="1456" t="s">
        <v>2118</v>
      </c>
      <c r="X83" s="1608">
        <v>36954000</v>
      </c>
      <c r="Y83" s="1608">
        <v>6540000</v>
      </c>
      <c r="Z83" s="1609">
        <v>5058500</v>
      </c>
      <c r="AA83" s="1583" t="s">
        <v>2114</v>
      </c>
      <c r="AB83" s="1495">
        <v>20</v>
      </c>
      <c r="AC83" s="1442" t="s">
        <v>86</v>
      </c>
      <c r="AD83" s="2439"/>
      <c r="AE83" s="2439"/>
      <c r="AF83" s="4298"/>
      <c r="AG83" s="2439"/>
      <c r="AH83" s="4302"/>
      <c r="AI83" s="2439"/>
      <c r="AJ83" s="4298"/>
      <c r="AK83" s="2439"/>
      <c r="AL83" s="4298"/>
      <c r="AM83" s="2439"/>
      <c r="AN83" s="4298"/>
      <c r="AO83" s="2439"/>
      <c r="AP83" s="4298"/>
      <c r="AQ83" s="2439"/>
      <c r="AR83" s="4298"/>
      <c r="AS83" s="2439"/>
      <c r="AT83" s="4298"/>
      <c r="AU83" s="2439"/>
      <c r="AV83" s="4298"/>
      <c r="AW83" s="2439"/>
      <c r="AX83" s="4298"/>
      <c r="AY83" s="2439"/>
      <c r="AZ83" s="4298"/>
      <c r="BA83" s="2439"/>
      <c r="BB83" s="4298"/>
      <c r="BC83" s="2439"/>
      <c r="BD83" s="4298"/>
      <c r="BE83" s="2439"/>
      <c r="BF83" s="4298"/>
      <c r="BG83" s="2439"/>
      <c r="BH83" s="4298"/>
      <c r="BI83" s="2439"/>
      <c r="BJ83" s="2439"/>
      <c r="BK83" s="2439"/>
      <c r="BL83" s="2439"/>
      <c r="BM83" s="4279"/>
      <c r="BN83" s="2439"/>
      <c r="BO83" s="2439"/>
      <c r="BP83" s="2439"/>
      <c r="BQ83" s="4300"/>
      <c r="BR83" s="4300"/>
      <c r="BS83" s="4300"/>
      <c r="BT83" s="4300"/>
      <c r="BU83" s="4298"/>
    </row>
    <row r="84" spans="1:73" s="3" customFormat="1" ht="69.75" customHeight="1" x14ac:dyDescent="0.25">
      <c r="A84" s="1578"/>
      <c r="B84" s="1579"/>
      <c r="C84" s="410"/>
      <c r="D84" s="411"/>
      <c r="E84" s="1365"/>
      <c r="F84" s="1365"/>
      <c r="G84" s="1458">
        <v>1903045</v>
      </c>
      <c r="H84" s="1446" t="s">
        <v>2119</v>
      </c>
      <c r="I84" s="1458">
        <v>1903045</v>
      </c>
      <c r="J84" s="1446" t="s">
        <v>2119</v>
      </c>
      <c r="K84" s="1610">
        <v>190304500</v>
      </c>
      <c r="L84" s="1472" t="s">
        <v>2120</v>
      </c>
      <c r="M84" s="1610">
        <v>190304500</v>
      </c>
      <c r="N84" s="1472" t="s">
        <v>2120</v>
      </c>
      <c r="O84" s="1466">
        <v>725</v>
      </c>
      <c r="P84" s="1593">
        <v>428</v>
      </c>
      <c r="Q84" s="3385" t="s">
        <v>2121</v>
      </c>
      <c r="R84" s="2476" t="s">
        <v>2122</v>
      </c>
      <c r="S84" s="1471">
        <f>X84/T84</f>
        <v>0.30379355158116222</v>
      </c>
      <c r="T84" s="4254">
        <f>SUM(X84:X91)</f>
        <v>64636000</v>
      </c>
      <c r="U84" s="2701" t="s">
        <v>2123</v>
      </c>
      <c r="V84" s="2295" t="s">
        <v>2124</v>
      </c>
      <c r="W84" s="1447" t="s">
        <v>2125</v>
      </c>
      <c r="X84" s="1584">
        <v>19636000</v>
      </c>
      <c r="Y84" s="1585">
        <v>19636000</v>
      </c>
      <c r="Z84" s="1604">
        <v>16036000</v>
      </c>
      <c r="AA84" s="1583" t="s">
        <v>2126</v>
      </c>
      <c r="AB84" s="1495">
        <v>20</v>
      </c>
      <c r="AC84" s="1442" t="s">
        <v>86</v>
      </c>
      <c r="AD84" s="2438">
        <v>292684</v>
      </c>
      <c r="AE84" s="2438"/>
      <c r="AF84" s="2438">
        <v>282326</v>
      </c>
      <c r="AG84" s="2438"/>
      <c r="AH84" s="3809">
        <v>135912</v>
      </c>
      <c r="AI84" s="2438"/>
      <c r="AJ84" s="2438">
        <v>45122</v>
      </c>
      <c r="AK84" s="2438"/>
      <c r="AL84" s="2438">
        <v>365607</v>
      </c>
      <c r="AM84" s="2438"/>
      <c r="AN84" s="2438">
        <v>86875</v>
      </c>
      <c r="AO84" s="2438"/>
      <c r="AP84" s="2438">
        <v>2145</v>
      </c>
      <c r="AQ84" s="2438"/>
      <c r="AR84" s="2438">
        <v>12718</v>
      </c>
      <c r="AS84" s="2438"/>
      <c r="AT84" s="2438">
        <v>26</v>
      </c>
      <c r="AU84" s="2438"/>
      <c r="AV84" s="2438">
        <v>37</v>
      </c>
      <c r="AW84" s="2438"/>
      <c r="AX84" s="2438" t="s">
        <v>2115</v>
      </c>
      <c r="AY84" s="2438"/>
      <c r="AZ84" s="2438" t="s">
        <v>2115</v>
      </c>
      <c r="BA84" s="2438"/>
      <c r="BB84" s="2438">
        <v>53164</v>
      </c>
      <c r="BC84" s="2438"/>
      <c r="BD84" s="2438">
        <v>16982</v>
      </c>
      <c r="BE84" s="2438"/>
      <c r="BF84" s="2438">
        <v>60013</v>
      </c>
      <c r="BG84" s="2438"/>
      <c r="BH84" s="2438">
        <v>575010</v>
      </c>
      <c r="BI84" s="2438"/>
      <c r="BJ84" s="2438">
        <v>3</v>
      </c>
      <c r="BK84" s="4287">
        <f>SUM(Y84:Y91)</f>
        <v>37480000</v>
      </c>
      <c r="BL84" s="4287">
        <f>SUM(Z84:Z91)</f>
        <v>30995000</v>
      </c>
      <c r="BM84" s="4277">
        <f>BL84/BK84</f>
        <v>0.82697438633938103</v>
      </c>
      <c r="BN84" s="2438">
        <v>20</v>
      </c>
      <c r="BO84" s="2438" t="s">
        <v>86</v>
      </c>
      <c r="BP84" s="2438" t="s">
        <v>2116</v>
      </c>
      <c r="BQ84" s="4285">
        <v>44197</v>
      </c>
      <c r="BR84" s="4285">
        <v>44243</v>
      </c>
      <c r="BS84" s="4285">
        <v>44561</v>
      </c>
      <c r="BT84" s="4285">
        <v>44561</v>
      </c>
      <c r="BU84" s="2438" t="s">
        <v>1991</v>
      </c>
    </row>
    <row r="85" spans="1:73" s="3" customFormat="1" ht="56.25" customHeight="1" x14ac:dyDescent="0.25">
      <c r="A85" s="1578"/>
      <c r="B85" s="1579"/>
      <c r="C85" s="410"/>
      <c r="D85" s="411"/>
      <c r="E85" s="1365"/>
      <c r="F85" s="1365"/>
      <c r="G85" s="1458">
        <v>1903001</v>
      </c>
      <c r="H85" s="1446" t="s">
        <v>197</v>
      </c>
      <c r="I85" s="1458">
        <v>1903001</v>
      </c>
      <c r="J85" s="1446" t="s">
        <v>197</v>
      </c>
      <c r="K85" s="1610">
        <v>190300100</v>
      </c>
      <c r="L85" s="1472" t="s">
        <v>2049</v>
      </c>
      <c r="M85" s="1610">
        <v>190300100</v>
      </c>
      <c r="N85" s="1472" t="s">
        <v>2049</v>
      </c>
      <c r="O85" s="1466">
        <v>1</v>
      </c>
      <c r="P85" s="1593">
        <v>0</v>
      </c>
      <c r="Q85" s="3385"/>
      <c r="R85" s="2476"/>
      <c r="S85" s="1471">
        <f>X85/T84</f>
        <v>0.23206881613961261</v>
      </c>
      <c r="T85" s="4254"/>
      <c r="U85" s="2702"/>
      <c r="V85" s="2699"/>
      <c r="W85" s="1447" t="s">
        <v>2127</v>
      </c>
      <c r="X85" s="1584">
        <v>15000000</v>
      </c>
      <c r="Y85" s="1585"/>
      <c r="Z85" s="1604"/>
      <c r="AA85" s="1583" t="s">
        <v>2128</v>
      </c>
      <c r="AB85" s="1495">
        <v>20</v>
      </c>
      <c r="AC85" s="1442" t="s">
        <v>86</v>
      </c>
      <c r="AD85" s="2267"/>
      <c r="AE85" s="2267"/>
      <c r="AF85" s="2267"/>
      <c r="AG85" s="2267"/>
      <c r="AH85" s="4272"/>
      <c r="AI85" s="2267"/>
      <c r="AJ85" s="2267"/>
      <c r="AK85" s="2267"/>
      <c r="AL85" s="2267"/>
      <c r="AM85" s="2267"/>
      <c r="AN85" s="2267"/>
      <c r="AO85" s="2267"/>
      <c r="AP85" s="2267"/>
      <c r="AQ85" s="2267"/>
      <c r="AR85" s="2267"/>
      <c r="AS85" s="2267"/>
      <c r="AT85" s="2267"/>
      <c r="AU85" s="2267"/>
      <c r="AV85" s="2267"/>
      <c r="AW85" s="2267"/>
      <c r="AX85" s="2267"/>
      <c r="AY85" s="2267"/>
      <c r="AZ85" s="2267"/>
      <c r="BA85" s="2267"/>
      <c r="BB85" s="2267"/>
      <c r="BC85" s="2267"/>
      <c r="BD85" s="2267"/>
      <c r="BE85" s="2267"/>
      <c r="BF85" s="2267"/>
      <c r="BG85" s="2267"/>
      <c r="BH85" s="2267"/>
      <c r="BI85" s="2267"/>
      <c r="BJ85" s="2267"/>
      <c r="BK85" s="2267"/>
      <c r="BL85" s="2267"/>
      <c r="BM85" s="4278"/>
      <c r="BN85" s="2267"/>
      <c r="BO85" s="2267"/>
      <c r="BP85" s="2267"/>
      <c r="BQ85" s="4286"/>
      <c r="BR85" s="4286"/>
      <c r="BS85" s="4286"/>
      <c r="BT85" s="4286"/>
      <c r="BU85" s="2267"/>
    </row>
    <row r="86" spans="1:73" s="3" customFormat="1" ht="56.25" customHeight="1" x14ac:dyDescent="0.25">
      <c r="A86" s="1578"/>
      <c r="B86" s="1579"/>
      <c r="C86" s="410"/>
      <c r="D86" s="411"/>
      <c r="E86" s="1365"/>
      <c r="F86" s="1365"/>
      <c r="G86" s="2946">
        <v>1903010</v>
      </c>
      <c r="H86" s="3312" t="s">
        <v>2129</v>
      </c>
      <c r="I86" s="2946">
        <v>1903010</v>
      </c>
      <c r="J86" s="3312" t="s">
        <v>2129</v>
      </c>
      <c r="K86" s="4250">
        <v>190301000</v>
      </c>
      <c r="L86" s="3312" t="s">
        <v>2130</v>
      </c>
      <c r="M86" s="4250">
        <v>190301000</v>
      </c>
      <c r="N86" s="3312" t="s">
        <v>2130</v>
      </c>
      <c r="O86" s="3385">
        <v>12</v>
      </c>
      <c r="P86" s="4247">
        <v>6</v>
      </c>
      <c r="Q86" s="3385"/>
      <c r="R86" s="2476"/>
      <c r="S86" s="3710">
        <f>SUM(X86:X89)/T84</f>
        <v>0.23206881613961261</v>
      </c>
      <c r="T86" s="4254"/>
      <c r="U86" s="2702"/>
      <c r="V86" s="2699"/>
      <c r="W86" s="1447" t="s">
        <v>2131</v>
      </c>
      <c r="X86" s="1584">
        <v>4000000</v>
      </c>
      <c r="Y86" s="1585">
        <v>4000000</v>
      </c>
      <c r="Z86" s="1604">
        <v>2000000</v>
      </c>
      <c r="AA86" s="1583" t="s">
        <v>2132</v>
      </c>
      <c r="AB86" s="1495">
        <v>20</v>
      </c>
      <c r="AC86" s="1442" t="s">
        <v>86</v>
      </c>
      <c r="AD86" s="2267"/>
      <c r="AE86" s="2267"/>
      <c r="AF86" s="2267"/>
      <c r="AG86" s="2267"/>
      <c r="AH86" s="4272"/>
      <c r="AI86" s="2267"/>
      <c r="AJ86" s="2267"/>
      <c r="AK86" s="2267"/>
      <c r="AL86" s="2267"/>
      <c r="AM86" s="2267"/>
      <c r="AN86" s="2267"/>
      <c r="AO86" s="2267"/>
      <c r="AP86" s="2267"/>
      <c r="AQ86" s="2267"/>
      <c r="AR86" s="2267"/>
      <c r="AS86" s="2267"/>
      <c r="AT86" s="2267"/>
      <c r="AU86" s="2267"/>
      <c r="AV86" s="2267"/>
      <c r="AW86" s="2267"/>
      <c r="AX86" s="2267"/>
      <c r="AY86" s="2267"/>
      <c r="AZ86" s="2267"/>
      <c r="BA86" s="2267"/>
      <c r="BB86" s="2267"/>
      <c r="BC86" s="2267"/>
      <c r="BD86" s="2267"/>
      <c r="BE86" s="2267"/>
      <c r="BF86" s="2267"/>
      <c r="BG86" s="2267"/>
      <c r="BH86" s="2267"/>
      <c r="BI86" s="2267"/>
      <c r="BJ86" s="2267"/>
      <c r="BK86" s="2267"/>
      <c r="BL86" s="2267"/>
      <c r="BM86" s="4278"/>
      <c r="BN86" s="2267"/>
      <c r="BO86" s="2267"/>
      <c r="BP86" s="2267"/>
      <c r="BQ86" s="4286"/>
      <c r="BR86" s="4286"/>
      <c r="BS86" s="4286"/>
      <c r="BT86" s="4286"/>
      <c r="BU86" s="2267"/>
    </row>
    <row r="87" spans="1:73" s="3" customFormat="1" ht="56.25" customHeight="1" x14ac:dyDescent="0.25">
      <c r="A87" s="1578"/>
      <c r="B87" s="1579"/>
      <c r="C87" s="410"/>
      <c r="D87" s="411"/>
      <c r="E87" s="1365"/>
      <c r="F87" s="1365"/>
      <c r="G87" s="2946"/>
      <c r="H87" s="3312"/>
      <c r="I87" s="2946"/>
      <c r="J87" s="3312"/>
      <c r="K87" s="4250"/>
      <c r="L87" s="3312"/>
      <c r="M87" s="4250"/>
      <c r="N87" s="3312"/>
      <c r="O87" s="3385"/>
      <c r="P87" s="4248"/>
      <c r="Q87" s="3385"/>
      <c r="R87" s="2476"/>
      <c r="S87" s="3710"/>
      <c r="T87" s="4254"/>
      <c r="U87" s="2702"/>
      <c r="V87" s="2699"/>
      <c r="W87" s="1447" t="s">
        <v>2133</v>
      </c>
      <c r="X87" s="1584">
        <v>4000000</v>
      </c>
      <c r="Y87" s="1585">
        <v>4000000</v>
      </c>
      <c r="Z87" s="1604">
        <v>1950000</v>
      </c>
      <c r="AA87" s="1583" t="s">
        <v>2132</v>
      </c>
      <c r="AB87" s="1495">
        <v>20</v>
      </c>
      <c r="AC87" s="1442" t="s">
        <v>86</v>
      </c>
      <c r="AD87" s="2267"/>
      <c r="AE87" s="2267"/>
      <c r="AF87" s="2267"/>
      <c r="AG87" s="2267"/>
      <c r="AH87" s="4272"/>
      <c r="AI87" s="2267"/>
      <c r="AJ87" s="2267"/>
      <c r="AK87" s="2267"/>
      <c r="AL87" s="2267"/>
      <c r="AM87" s="2267"/>
      <c r="AN87" s="2267"/>
      <c r="AO87" s="2267"/>
      <c r="AP87" s="2267"/>
      <c r="AQ87" s="2267"/>
      <c r="AR87" s="2267"/>
      <c r="AS87" s="2267"/>
      <c r="AT87" s="2267"/>
      <c r="AU87" s="2267"/>
      <c r="AV87" s="2267"/>
      <c r="AW87" s="2267"/>
      <c r="AX87" s="2267"/>
      <c r="AY87" s="2267"/>
      <c r="AZ87" s="2267"/>
      <c r="BA87" s="2267"/>
      <c r="BB87" s="2267"/>
      <c r="BC87" s="2267"/>
      <c r="BD87" s="2267"/>
      <c r="BE87" s="2267"/>
      <c r="BF87" s="2267"/>
      <c r="BG87" s="2267"/>
      <c r="BH87" s="2267"/>
      <c r="BI87" s="2267"/>
      <c r="BJ87" s="2267"/>
      <c r="BK87" s="2267"/>
      <c r="BL87" s="2267"/>
      <c r="BM87" s="4278"/>
      <c r="BN87" s="2267"/>
      <c r="BO87" s="2267"/>
      <c r="BP87" s="2267"/>
      <c r="BQ87" s="4286"/>
      <c r="BR87" s="4286"/>
      <c r="BS87" s="4286"/>
      <c r="BT87" s="4286"/>
      <c r="BU87" s="2267"/>
    </row>
    <row r="88" spans="1:73" s="3" customFormat="1" ht="56.25" customHeight="1" x14ac:dyDescent="0.25">
      <c r="A88" s="1578"/>
      <c r="B88" s="1579"/>
      <c r="C88" s="410"/>
      <c r="D88" s="411"/>
      <c r="E88" s="1365"/>
      <c r="F88" s="1365"/>
      <c r="G88" s="2946"/>
      <c r="H88" s="3312"/>
      <c r="I88" s="2946"/>
      <c r="J88" s="3312"/>
      <c r="K88" s="4250"/>
      <c r="L88" s="3312"/>
      <c r="M88" s="4250"/>
      <c r="N88" s="3312"/>
      <c r="O88" s="3385"/>
      <c r="P88" s="4248"/>
      <c r="Q88" s="3385"/>
      <c r="R88" s="2476"/>
      <c r="S88" s="3710"/>
      <c r="T88" s="4254"/>
      <c r="U88" s="2702"/>
      <c r="V88" s="2699"/>
      <c r="W88" s="1447" t="s">
        <v>2134</v>
      </c>
      <c r="X88" s="1584">
        <v>4000000</v>
      </c>
      <c r="Y88" s="1585">
        <v>540000</v>
      </c>
      <c r="Z88" s="1604">
        <v>2655000</v>
      </c>
      <c r="AA88" s="1583" t="s">
        <v>2132</v>
      </c>
      <c r="AB88" s="1495">
        <v>20</v>
      </c>
      <c r="AC88" s="1442" t="s">
        <v>86</v>
      </c>
      <c r="AD88" s="2267"/>
      <c r="AE88" s="2267"/>
      <c r="AF88" s="2267"/>
      <c r="AG88" s="2267"/>
      <c r="AH88" s="4272"/>
      <c r="AI88" s="2267"/>
      <c r="AJ88" s="2267"/>
      <c r="AK88" s="2267"/>
      <c r="AL88" s="2267"/>
      <c r="AM88" s="2267"/>
      <c r="AN88" s="2267"/>
      <c r="AO88" s="2267"/>
      <c r="AP88" s="2267"/>
      <c r="AQ88" s="2267"/>
      <c r="AR88" s="2267"/>
      <c r="AS88" s="2267"/>
      <c r="AT88" s="2267"/>
      <c r="AU88" s="2267"/>
      <c r="AV88" s="2267"/>
      <c r="AW88" s="2267"/>
      <c r="AX88" s="2267"/>
      <c r="AY88" s="2267"/>
      <c r="AZ88" s="2267"/>
      <c r="BA88" s="2267"/>
      <c r="BB88" s="2267"/>
      <c r="BC88" s="2267"/>
      <c r="BD88" s="2267"/>
      <c r="BE88" s="2267"/>
      <c r="BF88" s="2267"/>
      <c r="BG88" s="2267"/>
      <c r="BH88" s="2267"/>
      <c r="BI88" s="2267"/>
      <c r="BJ88" s="2267"/>
      <c r="BK88" s="2267"/>
      <c r="BL88" s="2267"/>
      <c r="BM88" s="4278"/>
      <c r="BN88" s="2267"/>
      <c r="BO88" s="2267"/>
      <c r="BP88" s="2267"/>
      <c r="BQ88" s="4286"/>
      <c r="BR88" s="4286"/>
      <c r="BS88" s="4286"/>
      <c r="BT88" s="4286"/>
      <c r="BU88" s="2267"/>
    </row>
    <row r="89" spans="1:73" s="3" customFormat="1" ht="56.25" customHeight="1" x14ac:dyDescent="0.25">
      <c r="A89" s="1578"/>
      <c r="B89" s="1579"/>
      <c r="C89" s="410"/>
      <c r="D89" s="411"/>
      <c r="E89" s="1365"/>
      <c r="F89" s="1365"/>
      <c r="G89" s="2946"/>
      <c r="H89" s="3312"/>
      <c r="I89" s="2946"/>
      <c r="J89" s="3312"/>
      <c r="K89" s="4250"/>
      <c r="L89" s="3312"/>
      <c r="M89" s="4250"/>
      <c r="N89" s="3312"/>
      <c r="O89" s="3385"/>
      <c r="P89" s="4249"/>
      <c r="Q89" s="3385"/>
      <c r="R89" s="2476"/>
      <c r="S89" s="3710"/>
      <c r="T89" s="4254"/>
      <c r="U89" s="2702"/>
      <c r="V89" s="2699"/>
      <c r="W89" s="1447" t="s">
        <v>2135</v>
      </c>
      <c r="X89" s="1584">
        <v>3000000</v>
      </c>
      <c r="Y89" s="1585">
        <v>3000000</v>
      </c>
      <c r="Z89" s="1604">
        <v>2050000</v>
      </c>
      <c r="AA89" s="1583" t="s">
        <v>2132</v>
      </c>
      <c r="AB89" s="1495">
        <v>20</v>
      </c>
      <c r="AC89" s="1442" t="s">
        <v>86</v>
      </c>
      <c r="AD89" s="2267"/>
      <c r="AE89" s="2267"/>
      <c r="AF89" s="2267"/>
      <c r="AG89" s="2267"/>
      <c r="AH89" s="4272"/>
      <c r="AI89" s="2267"/>
      <c r="AJ89" s="2267"/>
      <c r="AK89" s="2267"/>
      <c r="AL89" s="2267"/>
      <c r="AM89" s="2267"/>
      <c r="AN89" s="2267"/>
      <c r="AO89" s="2267"/>
      <c r="AP89" s="2267"/>
      <c r="AQ89" s="2267"/>
      <c r="AR89" s="2267"/>
      <c r="AS89" s="2267"/>
      <c r="AT89" s="2267"/>
      <c r="AU89" s="2267"/>
      <c r="AV89" s="2267"/>
      <c r="AW89" s="2267"/>
      <c r="AX89" s="2267"/>
      <c r="AY89" s="2267"/>
      <c r="AZ89" s="2267"/>
      <c r="BA89" s="2267"/>
      <c r="BB89" s="2267"/>
      <c r="BC89" s="2267"/>
      <c r="BD89" s="2267"/>
      <c r="BE89" s="2267"/>
      <c r="BF89" s="2267"/>
      <c r="BG89" s="2267"/>
      <c r="BH89" s="2267"/>
      <c r="BI89" s="2267"/>
      <c r="BJ89" s="2267"/>
      <c r="BK89" s="2267"/>
      <c r="BL89" s="2267"/>
      <c r="BM89" s="4278"/>
      <c r="BN89" s="2267"/>
      <c r="BO89" s="2267"/>
      <c r="BP89" s="2267"/>
      <c r="BQ89" s="4286"/>
      <c r="BR89" s="4286"/>
      <c r="BS89" s="4286"/>
      <c r="BT89" s="4286"/>
      <c r="BU89" s="2267"/>
    </row>
    <row r="90" spans="1:73" s="3" customFormat="1" ht="50.25" customHeight="1" x14ac:dyDescent="0.25">
      <c r="A90" s="1578"/>
      <c r="B90" s="1579"/>
      <c r="C90" s="410"/>
      <c r="D90" s="411"/>
      <c r="E90" s="1365"/>
      <c r="F90" s="1365"/>
      <c r="G90" s="2664">
        <v>1903011</v>
      </c>
      <c r="H90" s="2475" t="s">
        <v>2044</v>
      </c>
      <c r="I90" s="2664">
        <v>1903011</v>
      </c>
      <c r="J90" s="2475" t="s">
        <v>2044</v>
      </c>
      <c r="K90" s="4250">
        <v>190301101</v>
      </c>
      <c r="L90" s="2475" t="s">
        <v>2104</v>
      </c>
      <c r="M90" s="4250">
        <v>190301101</v>
      </c>
      <c r="N90" s="2475" t="s">
        <v>2104</v>
      </c>
      <c r="O90" s="3385">
        <v>12</v>
      </c>
      <c r="P90" s="4247">
        <v>9</v>
      </c>
      <c r="Q90" s="3385"/>
      <c r="R90" s="2476"/>
      <c r="S90" s="3710">
        <f>SUM(X90:X91)/T84</f>
        <v>0.23206881613961261</v>
      </c>
      <c r="T90" s="4254"/>
      <c r="U90" s="2702"/>
      <c r="V90" s="2699"/>
      <c r="W90" s="1447" t="s">
        <v>2136</v>
      </c>
      <c r="X90" s="1584">
        <v>7500000</v>
      </c>
      <c r="Y90" s="1585">
        <v>6304000</v>
      </c>
      <c r="Z90" s="1604">
        <v>6304000</v>
      </c>
      <c r="AA90" s="1583" t="s">
        <v>2137</v>
      </c>
      <c r="AB90" s="1495">
        <v>20</v>
      </c>
      <c r="AC90" s="1442" t="s">
        <v>86</v>
      </c>
      <c r="AD90" s="2267"/>
      <c r="AE90" s="2267"/>
      <c r="AF90" s="2267"/>
      <c r="AG90" s="2267"/>
      <c r="AH90" s="4272"/>
      <c r="AI90" s="2267"/>
      <c r="AJ90" s="2267"/>
      <c r="AK90" s="2267"/>
      <c r="AL90" s="2267"/>
      <c r="AM90" s="2267"/>
      <c r="AN90" s="2267"/>
      <c r="AO90" s="2267"/>
      <c r="AP90" s="2267"/>
      <c r="AQ90" s="2267"/>
      <c r="AR90" s="2267"/>
      <c r="AS90" s="2267"/>
      <c r="AT90" s="2267"/>
      <c r="AU90" s="2267"/>
      <c r="AV90" s="2267"/>
      <c r="AW90" s="2267"/>
      <c r="AX90" s="2267"/>
      <c r="AY90" s="2267"/>
      <c r="AZ90" s="2267"/>
      <c r="BA90" s="2267"/>
      <c r="BB90" s="2267"/>
      <c r="BC90" s="2267"/>
      <c r="BD90" s="2267"/>
      <c r="BE90" s="2267"/>
      <c r="BF90" s="2267"/>
      <c r="BG90" s="2267"/>
      <c r="BH90" s="2267"/>
      <c r="BI90" s="2267"/>
      <c r="BJ90" s="2267"/>
      <c r="BK90" s="2267"/>
      <c r="BL90" s="2267"/>
      <c r="BM90" s="4278"/>
      <c r="BN90" s="2267"/>
      <c r="BO90" s="2267"/>
      <c r="BP90" s="2267"/>
      <c r="BQ90" s="4286"/>
      <c r="BR90" s="4286"/>
      <c r="BS90" s="4286"/>
      <c r="BT90" s="4286"/>
      <c r="BU90" s="2267"/>
    </row>
    <row r="91" spans="1:73" s="3" customFormat="1" ht="72" customHeight="1" x14ac:dyDescent="0.25">
      <c r="A91" s="1578"/>
      <c r="B91" s="1579"/>
      <c r="C91" s="410"/>
      <c r="D91" s="411"/>
      <c r="E91" s="1365"/>
      <c r="F91" s="1365"/>
      <c r="G91" s="2664"/>
      <c r="H91" s="2475"/>
      <c r="I91" s="2664"/>
      <c r="J91" s="2475"/>
      <c r="K91" s="4250"/>
      <c r="L91" s="2475"/>
      <c r="M91" s="4250"/>
      <c r="N91" s="2475"/>
      <c r="O91" s="3385"/>
      <c r="P91" s="4249"/>
      <c r="Q91" s="3385"/>
      <c r="R91" s="2476"/>
      <c r="S91" s="3710"/>
      <c r="T91" s="4254"/>
      <c r="U91" s="2703"/>
      <c r="V91" s="2700"/>
      <c r="W91" s="1456" t="s">
        <v>2138</v>
      </c>
      <c r="X91" s="1585">
        <v>7500000</v>
      </c>
      <c r="Y91" s="1585"/>
      <c r="Z91" s="1604"/>
      <c r="AA91" s="1583" t="s">
        <v>2137</v>
      </c>
      <c r="AB91" s="1495">
        <v>20</v>
      </c>
      <c r="AC91" s="1442" t="s">
        <v>86</v>
      </c>
      <c r="AD91" s="2439"/>
      <c r="AE91" s="2439"/>
      <c r="AF91" s="2267"/>
      <c r="AG91" s="2439"/>
      <c r="AH91" s="4272"/>
      <c r="AI91" s="2439"/>
      <c r="AJ91" s="2267"/>
      <c r="AK91" s="2439"/>
      <c r="AL91" s="2267"/>
      <c r="AM91" s="2439"/>
      <c r="AN91" s="2267"/>
      <c r="AO91" s="2439"/>
      <c r="AP91" s="2267"/>
      <c r="AQ91" s="2439"/>
      <c r="AR91" s="2267"/>
      <c r="AS91" s="2439"/>
      <c r="AT91" s="2267"/>
      <c r="AU91" s="2439"/>
      <c r="AV91" s="2267"/>
      <c r="AW91" s="2439"/>
      <c r="AX91" s="2267"/>
      <c r="AY91" s="2439"/>
      <c r="AZ91" s="2267"/>
      <c r="BA91" s="2439"/>
      <c r="BB91" s="2267"/>
      <c r="BC91" s="2439"/>
      <c r="BD91" s="2267"/>
      <c r="BE91" s="2439"/>
      <c r="BF91" s="2267"/>
      <c r="BG91" s="2439"/>
      <c r="BH91" s="2267"/>
      <c r="BI91" s="2439"/>
      <c r="BJ91" s="2439"/>
      <c r="BK91" s="2439"/>
      <c r="BL91" s="2439"/>
      <c r="BM91" s="4279"/>
      <c r="BN91" s="2439"/>
      <c r="BO91" s="2439"/>
      <c r="BP91" s="2439"/>
      <c r="BQ91" s="4286"/>
      <c r="BR91" s="4286"/>
      <c r="BS91" s="4286"/>
      <c r="BT91" s="4286"/>
      <c r="BU91" s="2267"/>
    </row>
    <row r="92" spans="1:73" s="3" customFormat="1" ht="45" x14ac:dyDescent="0.25">
      <c r="A92" s="1578"/>
      <c r="B92" s="1579"/>
      <c r="C92" s="410"/>
      <c r="D92" s="411"/>
      <c r="E92" s="1365"/>
      <c r="F92" s="1365"/>
      <c r="G92" s="1465">
        <v>1903047</v>
      </c>
      <c r="H92" s="1462" t="s">
        <v>2139</v>
      </c>
      <c r="I92" s="1465">
        <v>1903047</v>
      </c>
      <c r="J92" s="1462" t="s">
        <v>2139</v>
      </c>
      <c r="K92" s="1611">
        <v>190304701</v>
      </c>
      <c r="L92" s="1612" t="s">
        <v>2140</v>
      </c>
      <c r="M92" s="1611">
        <v>190304701</v>
      </c>
      <c r="N92" s="1612" t="s">
        <v>2140</v>
      </c>
      <c r="O92" s="1466">
        <v>1</v>
      </c>
      <c r="P92" s="1593">
        <v>0</v>
      </c>
      <c r="Q92" s="3385" t="s">
        <v>2141</v>
      </c>
      <c r="R92" s="2476" t="s">
        <v>2142</v>
      </c>
      <c r="S92" s="1471">
        <f>X92/T92</f>
        <v>0.1097923765773116</v>
      </c>
      <c r="T92" s="4254">
        <f>SUM(X92:X96)</f>
        <v>91081005</v>
      </c>
      <c r="U92" s="2476" t="s">
        <v>2143</v>
      </c>
      <c r="V92" s="2718" t="s">
        <v>2144</v>
      </c>
      <c r="W92" s="1447" t="s">
        <v>2145</v>
      </c>
      <c r="X92" s="1584">
        <v>10000000</v>
      </c>
      <c r="Y92" s="1584"/>
      <c r="Z92" s="1605"/>
      <c r="AA92" s="1583" t="s">
        <v>2146</v>
      </c>
      <c r="AB92" s="1411">
        <v>72</v>
      </c>
      <c r="AC92" s="1441" t="s">
        <v>2147</v>
      </c>
      <c r="AD92" s="2438">
        <v>292684</v>
      </c>
      <c r="AE92" s="2438"/>
      <c r="AF92" s="2438">
        <v>282326</v>
      </c>
      <c r="AG92" s="2438"/>
      <c r="AH92" s="3809">
        <v>135912</v>
      </c>
      <c r="AI92" s="2438"/>
      <c r="AJ92" s="2438">
        <v>45122</v>
      </c>
      <c r="AK92" s="2438"/>
      <c r="AL92" s="2438">
        <v>365607</v>
      </c>
      <c r="AM92" s="2438"/>
      <c r="AN92" s="2438">
        <v>86875</v>
      </c>
      <c r="AO92" s="2438"/>
      <c r="AP92" s="2438">
        <v>2145</v>
      </c>
      <c r="AQ92" s="2438"/>
      <c r="AR92" s="2438">
        <v>12718</v>
      </c>
      <c r="AS92" s="2438"/>
      <c r="AT92" s="2438">
        <v>26</v>
      </c>
      <c r="AU92" s="2438"/>
      <c r="AV92" s="2438">
        <v>37</v>
      </c>
      <c r="AW92" s="2438"/>
      <c r="AX92" s="2438" t="s">
        <v>2115</v>
      </c>
      <c r="AY92" s="2438"/>
      <c r="AZ92" s="2438" t="s">
        <v>2115</v>
      </c>
      <c r="BA92" s="2438"/>
      <c r="BB92" s="2438">
        <v>53164</v>
      </c>
      <c r="BC92" s="2438"/>
      <c r="BD92" s="2438">
        <v>16982</v>
      </c>
      <c r="BE92" s="2438"/>
      <c r="BF92" s="2438">
        <v>60013</v>
      </c>
      <c r="BG92" s="2438"/>
      <c r="BH92" s="2438">
        <v>575010</v>
      </c>
      <c r="BI92" s="2438"/>
      <c r="BJ92" s="2438">
        <v>3</v>
      </c>
      <c r="BK92" s="4287">
        <f>SUM(Y92:Y96)</f>
        <v>29680000</v>
      </c>
      <c r="BL92" s="4287">
        <f>SUM(Z92:Z96)</f>
        <v>28030000</v>
      </c>
      <c r="BM92" s="4277">
        <f>BL92/BK92</f>
        <v>0.94440700808625333</v>
      </c>
      <c r="BN92" s="2438">
        <v>72</v>
      </c>
      <c r="BO92" s="2438" t="s">
        <v>2147</v>
      </c>
      <c r="BP92" s="2438" t="s">
        <v>2148</v>
      </c>
      <c r="BQ92" s="4285">
        <v>44197</v>
      </c>
      <c r="BR92" s="4285">
        <v>44244</v>
      </c>
      <c r="BS92" s="4285">
        <v>44561</v>
      </c>
      <c r="BT92" s="4285">
        <v>44561</v>
      </c>
      <c r="BU92" s="2438" t="s">
        <v>1991</v>
      </c>
    </row>
    <row r="93" spans="1:73" s="3" customFormat="1" ht="60" x14ac:dyDescent="0.25">
      <c r="A93" s="1578"/>
      <c r="B93" s="1579"/>
      <c r="C93" s="410"/>
      <c r="D93" s="411"/>
      <c r="E93" s="1365"/>
      <c r="F93" s="1365"/>
      <c r="G93" s="1465">
        <v>1903019</v>
      </c>
      <c r="H93" s="1462" t="s">
        <v>2149</v>
      </c>
      <c r="I93" s="1465">
        <v>1903019</v>
      </c>
      <c r="J93" s="1462" t="s">
        <v>2149</v>
      </c>
      <c r="K93" s="1611">
        <v>190301900</v>
      </c>
      <c r="L93" s="1612" t="s">
        <v>2150</v>
      </c>
      <c r="M93" s="1611">
        <v>190301900</v>
      </c>
      <c r="N93" s="1612" t="s">
        <v>2150</v>
      </c>
      <c r="O93" s="1466">
        <v>75</v>
      </c>
      <c r="P93" s="1593">
        <v>30</v>
      </c>
      <c r="Q93" s="3385"/>
      <c r="R93" s="2476"/>
      <c r="S93" s="1471">
        <f>X93/T92</f>
        <v>0.29732878990520584</v>
      </c>
      <c r="T93" s="4254"/>
      <c r="U93" s="2476"/>
      <c r="V93" s="2783"/>
      <c r="W93" s="1447" t="s">
        <v>2151</v>
      </c>
      <c r="X93" s="1584">
        <v>27081005</v>
      </c>
      <c r="Y93" s="1584"/>
      <c r="Z93" s="1605"/>
      <c r="AA93" s="1583" t="s">
        <v>2152</v>
      </c>
      <c r="AB93" s="1411">
        <v>72</v>
      </c>
      <c r="AC93" s="1441" t="s">
        <v>2147</v>
      </c>
      <c r="AD93" s="2267"/>
      <c r="AE93" s="2267"/>
      <c r="AF93" s="2267"/>
      <c r="AG93" s="2267"/>
      <c r="AH93" s="4272"/>
      <c r="AI93" s="2267"/>
      <c r="AJ93" s="2267"/>
      <c r="AK93" s="2267"/>
      <c r="AL93" s="2267"/>
      <c r="AM93" s="2267"/>
      <c r="AN93" s="2267"/>
      <c r="AO93" s="2267"/>
      <c r="AP93" s="2267"/>
      <c r="AQ93" s="2267"/>
      <c r="AR93" s="2267"/>
      <c r="AS93" s="2267"/>
      <c r="AT93" s="2267"/>
      <c r="AU93" s="2267"/>
      <c r="AV93" s="2267"/>
      <c r="AW93" s="2267"/>
      <c r="AX93" s="2267"/>
      <c r="AY93" s="2267"/>
      <c r="AZ93" s="2267"/>
      <c r="BA93" s="2267"/>
      <c r="BB93" s="2267"/>
      <c r="BC93" s="2267"/>
      <c r="BD93" s="2267"/>
      <c r="BE93" s="2267"/>
      <c r="BF93" s="2267"/>
      <c r="BG93" s="2267"/>
      <c r="BH93" s="2267"/>
      <c r="BI93" s="2267"/>
      <c r="BJ93" s="2267"/>
      <c r="BK93" s="2267"/>
      <c r="BL93" s="2267"/>
      <c r="BM93" s="4278"/>
      <c r="BN93" s="2267"/>
      <c r="BO93" s="2267"/>
      <c r="BP93" s="2267"/>
      <c r="BQ93" s="4286"/>
      <c r="BR93" s="4286"/>
      <c r="BS93" s="4286"/>
      <c r="BT93" s="4286"/>
      <c r="BU93" s="2267"/>
    </row>
    <row r="94" spans="1:73" s="3" customFormat="1" ht="45" x14ac:dyDescent="0.25">
      <c r="A94" s="1578"/>
      <c r="B94" s="1579"/>
      <c r="C94" s="410"/>
      <c r="D94" s="411"/>
      <c r="E94" s="1365"/>
      <c r="F94" s="1365"/>
      <c r="G94" s="1465">
        <v>1903028</v>
      </c>
      <c r="H94" s="1462" t="s">
        <v>2153</v>
      </c>
      <c r="I94" s="1465">
        <v>1903028</v>
      </c>
      <c r="J94" s="1462" t="s">
        <v>2153</v>
      </c>
      <c r="K94" s="1611">
        <v>190302800</v>
      </c>
      <c r="L94" s="1453" t="s">
        <v>2154</v>
      </c>
      <c r="M94" s="1611">
        <v>190302800</v>
      </c>
      <c r="N94" s="1453" t="s">
        <v>2154</v>
      </c>
      <c r="O94" s="1466">
        <v>250</v>
      </c>
      <c r="P94" s="1593">
        <v>160</v>
      </c>
      <c r="Q94" s="3385"/>
      <c r="R94" s="2476"/>
      <c r="S94" s="1471">
        <f>X94/T92</f>
        <v>0.15370932720823624</v>
      </c>
      <c r="T94" s="4254"/>
      <c r="U94" s="2476"/>
      <c r="V94" s="2783"/>
      <c r="W94" s="1447" t="s">
        <v>2155</v>
      </c>
      <c r="X94" s="1584">
        <v>14000000</v>
      </c>
      <c r="Y94" s="1584">
        <v>6600000</v>
      </c>
      <c r="Z94" s="1605">
        <v>4950000</v>
      </c>
      <c r="AA94" s="1583" t="s">
        <v>2156</v>
      </c>
      <c r="AB94" s="1411">
        <v>72</v>
      </c>
      <c r="AC94" s="1441" t="s">
        <v>2147</v>
      </c>
      <c r="AD94" s="2267"/>
      <c r="AE94" s="2267"/>
      <c r="AF94" s="2267"/>
      <c r="AG94" s="2267"/>
      <c r="AH94" s="4272"/>
      <c r="AI94" s="2267"/>
      <c r="AJ94" s="2267"/>
      <c r="AK94" s="2267"/>
      <c r="AL94" s="2267"/>
      <c r="AM94" s="2267"/>
      <c r="AN94" s="2267"/>
      <c r="AO94" s="2267"/>
      <c r="AP94" s="2267"/>
      <c r="AQ94" s="2267"/>
      <c r="AR94" s="2267"/>
      <c r="AS94" s="2267"/>
      <c r="AT94" s="2267"/>
      <c r="AU94" s="2267"/>
      <c r="AV94" s="2267"/>
      <c r="AW94" s="2267"/>
      <c r="AX94" s="2267"/>
      <c r="AY94" s="2267"/>
      <c r="AZ94" s="2267"/>
      <c r="BA94" s="2267"/>
      <c r="BB94" s="2267"/>
      <c r="BC94" s="2267"/>
      <c r="BD94" s="2267"/>
      <c r="BE94" s="2267"/>
      <c r="BF94" s="2267"/>
      <c r="BG94" s="2267"/>
      <c r="BH94" s="2267"/>
      <c r="BI94" s="2267"/>
      <c r="BJ94" s="2267"/>
      <c r="BK94" s="2267"/>
      <c r="BL94" s="2267"/>
      <c r="BM94" s="4278"/>
      <c r="BN94" s="2267"/>
      <c r="BO94" s="2267"/>
      <c r="BP94" s="2267"/>
      <c r="BQ94" s="4286"/>
      <c r="BR94" s="4286"/>
      <c r="BS94" s="4286"/>
      <c r="BT94" s="4286"/>
      <c r="BU94" s="2267"/>
    </row>
    <row r="95" spans="1:73" s="3" customFormat="1" ht="54.75" customHeight="1" x14ac:dyDescent="0.25">
      <c r="A95" s="1578"/>
      <c r="B95" s="1579"/>
      <c r="C95" s="410"/>
      <c r="D95" s="411"/>
      <c r="E95" s="1365"/>
      <c r="F95" s="1365"/>
      <c r="G95" s="3384">
        <v>1903025</v>
      </c>
      <c r="H95" s="3104" t="s">
        <v>2157</v>
      </c>
      <c r="I95" s="3384">
        <v>1903025</v>
      </c>
      <c r="J95" s="3104" t="s">
        <v>2157</v>
      </c>
      <c r="K95" s="4265">
        <v>190302500</v>
      </c>
      <c r="L95" s="4263" t="s">
        <v>2158</v>
      </c>
      <c r="M95" s="4265">
        <v>190302500</v>
      </c>
      <c r="N95" s="4263" t="s">
        <v>2158</v>
      </c>
      <c r="O95" s="3408">
        <v>12</v>
      </c>
      <c r="P95" s="4247">
        <v>12</v>
      </c>
      <c r="Q95" s="3385"/>
      <c r="R95" s="2476"/>
      <c r="S95" s="3474">
        <f>SUM(X95:X96)/T92</f>
        <v>0.43916950630924639</v>
      </c>
      <c r="T95" s="4254"/>
      <c r="U95" s="2476"/>
      <c r="V95" s="2783"/>
      <c r="W95" s="1447" t="s">
        <v>2159</v>
      </c>
      <c r="X95" s="1584">
        <v>20000000</v>
      </c>
      <c r="Y95" s="1584">
        <v>11540000</v>
      </c>
      <c r="Z95" s="1605">
        <v>11540000</v>
      </c>
      <c r="AA95" s="1583" t="s">
        <v>2160</v>
      </c>
      <c r="AB95" s="4303">
        <v>72</v>
      </c>
      <c r="AC95" s="2296" t="s">
        <v>2147</v>
      </c>
      <c r="AD95" s="2267"/>
      <c r="AE95" s="2267"/>
      <c r="AF95" s="2267"/>
      <c r="AG95" s="2267"/>
      <c r="AH95" s="4272"/>
      <c r="AI95" s="2267"/>
      <c r="AJ95" s="2267"/>
      <c r="AK95" s="2267"/>
      <c r="AL95" s="2267"/>
      <c r="AM95" s="2267"/>
      <c r="AN95" s="2267"/>
      <c r="AO95" s="2267"/>
      <c r="AP95" s="2267"/>
      <c r="AQ95" s="2267"/>
      <c r="AR95" s="2267"/>
      <c r="AS95" s="2267"/>
      <c r="AT95" s="2267"/>
      <c r="AU95" s="2267"/>
      <c r="AV95" s="2267"/>
      <c r="AW95" s="2267"/>
      <c r="AX95" s="2267"/>
      <c r="AY95" s="2267"/>
      <c r="AZ95" s="2267"/>
      <c r="BA95" s="2267"/>
      <c r="BB95" s="2267"/>
      <c r="BC95" s="2267"/>
      <c r="BD95" s="2267"/>
      <c r="BE95" s="2267"/>
      <c r="BF95" s="2267"/>
      <c r="BG95" s="2267"/>
      <c r="BH95" s="2267"/>
      <c r="BI95" s="2267"/>
      <c r="BJ95" s="2267"/>
      <c r="BK95" s="2267"/>
      <c r="BL95" s="2267"/>
      <c r="BM95" s="4278"/>
      <c r="BN95" s="2267"/>
      <c r="BO95" s="2267"/>
      <c r="BP95" s="2267"/>
      <c r="BQ95" s="4286"/>
      <c r="BR95" s="4286"/>
      <c r="BS95" s="4286"/>
      <c r="BT95" s="4286"/>
      <c r="BU95" s="2267"/>
    </row>
    <row r="96" spans="1:73" s="3" customFormat="1" ht="60.75" customHeight="1" x14ac:dyDescent="0.25">
      <c r="A96" s="1578"/>
      <c r="B96" s="1579"/>
      <c r="C96" s="410"/>
      <c r="D96" s="411"/>
      <c r="E96" s="1365"/>
      <c r="F96" s="1365"/>
      <c r="G96" s="4267"/>
      <c r="H96" s="3105"/>
      <c r="I96" s="4267"/>
      <c r="J96" s="3105"/>
      <c r="K96" s="4266"/>
      <c r="L96" s="4264"/>
      <c r="M96" s="4266"/>
      <c r="N96" s="4264"/>
      <c r="O96" s="3409"/>
      <c r="P96" s="4305"/>
      <c r="Q96" s="3408"/>
      <c r="R96" s="2701"/>
      <c r="S96" s="2463"/>
      <c r="T96" s="4262"/>
      <c r="U96" s="2701"/>
      <c r="V96" s="2783"/>
      <c r="W96" s="1456" t="s">
        <v>2161</v>
      </c>
      <c r="X96" s="1585">
        <v>20000000</v>
      </c>
      <c r="Y96" s="1585">
        <v>11540000</v>
      </c>
      <c r="Z96" s="1604">
        <v>11540000</v>
      </c>
      <c r="AA96" s="1583" t="s">
        <v>2160</v>
      </c>
      <c r="AB96" s="4304"/>
      <c r="AC96" s="2297"/>
      <c r="AD96" s="2267"/>
      <c r="AE96" s="2267"/>
      <c r="AF96" s="2267"/>
      <c r="AG96" s="2267"/>
      <c r="AH96" s="4272"/>
      <c r="AI96" s="2267"/>
      <c r="AJ96" s="2267"/>
      <c r="AK96" s="2267"/>
      <c r="AL96" s="2267"/>
      <c r="AM96" s="2267"/>
      <c r="AN96" s="2267"/>
      <c r="AO96" s="2267"/>
      <c r="AP96" s="2267"/>
      <c r="AQ96" s="2267"/>
      <c r="AR96" s="2267"/>
      <c r="AS96" s="2267"/>
      <c r="AT96" s="2267"/>
      <c r="AU96" s="2267"/>
      <c r="AV96" s="2267"/>
      <c r="AW96" s="2267"/>
      <c r="AX96" s="2267"/>
      <c r="AY96" s="2267"/>
      <c r="AZ96" s="2267"/>
      <c r="BA96" s="2267"/>
      <c r="BB96" s="2267"/>
      <c r="BC96" s="2267"/>
      <c r="BD96" s="2267"/>
      <c r="BE96" s="2267"/>
      <c r="BF96" s="2267"/>
      <c r="BG96" s="2267"/>
      <c r="BH96" s="2267"/>
      <c r="BI96" s="2267"/>
      <c r="BJ96" s="2267"/>
      <c r="BK96" s="2267"/>
      <c r="BL96" s="2267"/>
      <c r="BM96" s="4278"/>
      <c r="BN96" s="2267"/>
      <c r="BO96" s="2267"/>
      <c r="BP96" s="2267"/>
      <c r="BQ96" s="4286"/>
      <c r="BR96" s="4286"/>
      <c r="BS96" s="4286"/>
      <c r="BT96" s="4286"/>
      <c r="BU96" s="2267"/>
    </row>
    <row r="97" spans="1:73" s="3" customFormat="1" ht="31.5" customHeight="1" x14ac:dyDescent="0.25">
      <c r="A97" s="1578"/>
      <c r="B97" s="1579"/>
      <c r="C97" s="410"/>
      <c r="D97" s="411"/>
      <c r="E97" s="188">
        <v>1905</v>
      </c>
      <c r="F97" s="181" t="s">
        <v>1082</v>
      </c>
      <c r="G97" s="181"/>
      <c r="H97" s="323"/>
      <c r="I97" s="1613"/>
      <c r="J97" s="1614"/>
      <c r="K97" s="1613"/>
      <c r="L97" s="1614"/>
      <c r="M97" s="1613"/>
      <c r="N97" s="882"/>
      <c r="O97" s="848"/>
      <c r="P97" s="1615"/>
      <c r="Q97" s="848"/>
      <c r="R97" s="882"/>
      <c r="S97" s="849"/>
      <c r="T97" s="1616"/>
      <c r="U97" s="882"/>
      <c r="V97" s="882"/>
      <c r="W97" s="882"/>
      <c r="X97" s="1616"/>
      <c r="Y97" s="1616"/>
      <c r="Z97" s="1616"/>
      <c r="AA97" s="1617"/>
      <c r="AB97" s="852"/>
      <c r="AC97" s="848"/>
      <c r="AD97" s="848"/>
      <c r="AE97" s="848"/>
      <c r="AF97" s="848"/>
      <c r="AG97" s="848"/>
      <c r="AH97" s="852"/>
      <c r="AI97" s="852"/>
      <c r="AJ97" s="848"/>
      <c r="AK97" s="848"/>
      <c r="AL97" s="848"/>
      <c r="AM97" s="848"/>
      <c r="AN97" s="848"/>
      <c r="AO97" s="848"/>
      <c r="AP97" s="848"/>
      <c r="AQ97" s="848"/>
      <c r="AR97" s="848"/>
      <c r="AS97" s="848"/>
      <c r="AT97" s="848"/>
      <c r="AU97" s="848"/>
      <c r="AV97" s="848"/>
      <c r="AW97" s="848"/>
      <c r="AX97" s="848"/>
      <c r="AY97" s="848"/>
      <c r="AZ97" s="848"/>
      <c r="BA97" s="848"/>
      <c r="BB97" s="848"/>
      <c r="BC97" s="848"/>
      <c r="BD97" s="848"/>
      <c r="BE97" s="848"/>
      <c r="BF97" s="848"/>
      <c r="BG97" s="848"/>
      <c r="BH97" s="848"/>
      <c r="BI97" s="848"/>
      <c r="BJ97" s="848"/>
      <c r="BK97" s="848"/>
      <c r="BL97" s="848"/>
      <c r="BM97" s="848"/>
      <c r="BN97" s="848"/>
      <c r="BO97" s="848"/>
      <c r="BP97" s="848"/>
      <c r="BQ97" s="1581"/>
      <c r="BR97" s="1581"/>
      <c r="BS97" s="1581"/>
      <c r="BT97" s="1581"/>
      <c r="BU97" s="854"/>
    </row>
    <row r="98" spans="1:73" s="3" customFormat="1" ht="58.5" customHeight="1" x14ac:dyDescent="0.25">
      <c r="A98" s="1473"/>
      <c r="B98" s="1443"/>
      <c r="C98" s="1452"/>
      <c r="D98" s="1443"/>
      <c r="E98" s="1618"/>
      <c r="F98" s="1618"/>
      <c r="G98" s="2664">
        <v>1905028</v>
      </c>
      <c r="H98" s="2475" t="s">
        <v>2162</v>
      </c>
      <c r="I98" s="3428">
        <v>1905028</v>
      </c>
      <c r="J98" s="2475" t="s">
        <v>2162</v>
      </c>
      <c r="K98" s="4250">
        <v>190502800</v>
      </c>
      <c r="L98" s="2475" t="s">
        <v>2163</v>
      </c>
      <c r="M98" s="4250">
        <v>190502800</v>
      </c>
      <c r="N98" s="2479" t="s">
        <v>2163</v>
      </c>
      <c r="O98" s="3601">
        <v>12</v>
      </c>
      <c r="P98" s="4261">
        <v>12</v>
      </c>
      <c r="Q98" s="3601" t="s">
        <v>2164</v>
      </c>
      <c r="R98" s="2702" t="s">
        <v>2165</v>
      </c>
      <c r="S98" s="2411">
        <f>SUM(X98:X101)/T98</f>
        <v>0.5</v>
      </c>
      <c r="T98" s="4310">
        <f>SUM(X98:X106)</f>
        <v>76000000</v>
      </c>
      <c r="U98" s="2703" t="s">
        <v>2166</v>
      </c>
      <c r="V98" s="2700" t="s">
        <v>2167</v>
      </c>
      <c r="W98" s="1457" t="s">
        <v>2168</v>
      </c>
      <c r="X98" s="1582">
        <v>13000000</v>
      </c>
      <c r="Y98" s="1582">
        <v>6924000</v>
      </c>
      <c r="Z98" s="1607">
        <v>4700000</v>
      </c>
      <c r="AA98" s="1583" t="s">
        <v>2169</v>
      </c>
      <c r="AB98" s="1474">
        <v>61</v>
      </c>
      <c r="AC98" s="1450" t="s">
        <v>1987</v>
      </c>
      <c r="AD98" s="4306" t="s">
        <v>2115</v>
      </c>
      <c r="AE98" s="4306"/>
      <c r="AF98" s="4306" t="s">
        <v>2115</v>
      </c>
      <c r="AG98" s="4306"/>
      <c r="AH98" s="4308">
        <v>64149</v>
      </c>
      <c r="AI98" s="4306"/>
      <c r="AJ98" s="4306" t="s">
        <v>2115</v>
      </c>
      <c r="AK98" s="4306"/>
      <c r="AL98" s="4306" t="s">
        <v>2115</v>
      </c>
      <c r="AM98" s="4306"/>
      <c r="AN98" s="4306" t="s">
        <v>2115</v>
      </c>
      <c r="AO98" s="4306"/>
      <c r="AP98" s="4306" t="s">
        <v>2115</v>
      </c>
      <c r="AQ98" s="4306"/>
      <c r="AR98" s="4306" t="s">
        <v>2115</v>
      </c>
      <c r="AS98" s="4306"/>
      <c r="AT98" s="4306" t="s">
        <v>2115</v>
      </c>
      <c r="AU98" s="4306"/>
      <c r="AV98" s="4306" t="s">
        <v>2115</v>
      </c>
      <c r="AW98" s="4306"/>
      <c r="AX98" s="4306" t="s">
        <v>2115</v>
      </c>
      <c r="AY98" s="4306"/>
      <c r="AZ98" s="4306" t="s">
        <v>2115</v>
      </c>
      <c r="BA98" s="4306"/>
      <c r="BB98" s="4306" t="s">
        <v>2115</v>
      </c>
      <c r="BC98" s="4306"/>
      <c r="BD98" s="4306" t="s">
        <v>2115</v>
      </c>
      <c r="BE98" s="4306"/>
      <c r="BF98" s="4306" t="s">
        <v>2115</v>
      </c>
      <c r="BG98" s="4306"/>
      <c r="BH98" s="4306" t="s">
        <v>2115</v>
      </c>
      <c r="BI98" s="4306"/>
      <c r="BJ98" s="4306">
        <v>4</v>
      </c>
      <c r="BK98" s="4319">
        <f>SUM(Y98:Y106)</f>
        <v>53700000</v>
      </c>
      <c r="BL98" s="4319">
        <f>SUM(Z98:Z106)</f>
        <v>34505000</v>
      </c>
      <c r="BM98" s="4320">
        <f>BL98/BK98</f>
        <v>0.64255121042830543</v>
      </c>
      <c r="BN98" s="4306">
        <v>61</v>
      </c>
      <c r="BO98" s="4315" t="s">
        <v>2056</v>
      </c>
      <c r="BP98" s="4315" t="s">
        <v>2170</v>
      </c>
      <c r="BQ98" s="4317">
        <v>44197</v>
      </c>
      <c r="BR98" s="4317">
        <v>44249</v>
      </c>
      <c r="BS98" s="4317">
        <v>44561</v>
      </c>
      <c r="BT98" s="4317">
        <v>44561</v>
      </c>
      <c r="BU98" s="2267" t="s">
        <v>1991</v>
      </c>
    </row>
    <row r="99" spans="1:73" s="3" customFormat="1" ht="58.5" customHeight="1" x14ac:dyDescent="0.25">
      <c r="A99" s="1473"/>
      <c r="B99" s="1443"/>
      <c r="C99" s="1452"/>
      <c r="D99" s="1443"/>
      <c r="E99" s="1618"/>
      <c r="F99" s="1618"/>
      <c r="G99" s="2664"/>
      <c r="H99" s="2475"/>
      <c r="I99" s="3428"/>
      <c r="J99" s="2475"/>
      <c r="K99" s="4250"/>
      <c r="L99" s="2475"/>
      <c r="M99" s="4250"/>
      <c r="N99" s="2475"/>
      <c r="O99" s="3385"/>
      <c r="P99" s="4248"/>
      <c r="Q99" s="3385"/>
      <c r="R99" s="2702"/>
      <c r="S99" s="2411"/>
      <c r="T99" s="4311"/>
      <c r="U99" s="2476"/>
      <c r="V99" s="2285"/>
      <c r="W99" s="1447" t="s">
        <v>2171</v>
      </c>
      <c r="X99" s="1584">
        <v>13000000</v>
      </c>
      <c r="Y99" s="1584">
        <v>13000000</v>
      </c>
      <c r="Z99" s="1605">
        <v>7605000</v>
      </c>
      <c r="AA99" s="1583" t="s">
        <v>2169</v>
      </c>
      <c r="AB99" s="1621">
        <v>61</v>
      </c>
      <c r="AC99" s="1441" t="s">
        <v>1987</v>
      </c>
      <c r="AD99" s="4306"/>
      <c r="AE99" s="4306"/>
      <c r="AF99" s="4306"/>
      <c r="AG99" s="4306"/>
      <c r="AH99" s="4308"/>
      <c r="AI99" s="4306"/>
      <c r="AJ99" s="4306"/>
      <c r="AK99" s="4306"/>
      <c r="AL99" s="4306"/>
      <c r="AM99" s="4306"/>
      <c r="AN99" s="4306"/>
      <c r="AO99" s="4306"/>
      <c r="AP99" s="4306"/>
      <c r="AQ99" s="4306"/>
      <c r="AR99" s="4306"/>
      <c r="AS99" s="4306"/>
      <c r="AT99" s="4306"/>
      <c r="AU99" s="4306"/>
      <c r="AV99" s="4306"/>
      <c r="AW99" s="4306"/>
      <c r="AX99" s="4306"/>
      <c r="AY99" s="4306"/>
      <c r="AZ99" s="4306"/>
      <c r="BA99" s="4306"/>
      <c r="BB99" s="4306"/>
      <c r="BC99" s="4306"/>
      <c r="BD99" s="4306"/>
      <c r="BE99" s="4306"/>
      <c r="BF99" s="4306"/>
      <c r="BG99" s="4306"/>
      <c r="BH99" s="4306"/>
      <c r="BI99" s="4306"/>
      <c r="BJ99" s="4306"/>
      <c r="BK99" s="4306"/>
      <c r="BL99" s="4306"/>
      <c r="BM99" s="4320"/>
      <c r="BN99" s="4306"/>
      <c r="BO99" s="4315"/>
      <c r="BP99" s="4315"/>
      <c r="BQ99" s="4317"/>
      <c r="BR99" s="4317"/>
      <c r="BS99" s="4317"/>
      <c r="BT99" s="4317"/>
      <c r="BU99" s="3112"/>
    </row>
    <row r="100" spans="1:73" s="3" customFormat="1" ht="58.5" customHeight="1" x14ac:dyDescent="0.25">
      <c r="A100" s="1473"/>
      <c r="B100" s="1443"/>
      <c r="C100" s="1452"/>
      <c r="D100" s="1443"/>
      <c r="E100" s="1618"/>
      <c r="F100" s="1618"/>
      <c r="G100" s="2664"/>
      <c r="H100" s="2475"/>
      <c r="I100" s="3428"/>
      <c r="J100" s="2475"/>
      <c r="K100" s="4250"/>
      <c r="L100" s="2475"/>
      <c r="M100" s="4250"/>
      <c r="N100" s="2475"/>
      <c r="O100" s="3385"/>
      <c r="P100" s="4248"/>
      <c r="Q100" s="3385"/>
      <c r="R100" s="2702"/>
      <c r="S100" s="2411"/>
      <c r="T100" s="4311"/>
      <c r="U100" s="2476"/>
      <c r="V100" s="2285"/>
      <c r="W100" s="1447" t="s">
        <v>2172</v>
      </c>
      <c r="X100" s="1584">
        <v>5000000</v>
      </c>
      <c r="Y100" s="1584">
        <v>2308000</v>
      </c>
      <c r="Z100" s="1605">
        <v>1700000</v>
      </c>
      <c r="AA100" s="1583" t="s">
        <v>2169</v>
      </c>
      <c r="AB100" s="1621">
        <v>61</v>
      </c>
      <c r="AC100" s="1441" t="s">
        <v>1987</v>
      </c>
      <c r="AD100" s="4306"/>
      <c r="AE100" s="4306"/>
      <c r="AF100" s="4306"/>
      <c r="AG100" s="4306"/>
      <c r="AH100" s="4308"/>
      <c r="AI100" s="4306"/>
      <c r="AJ100" s="4306"/>
      <c r="AK100" s="4306"/>
      <c r="AL100" s="4306"/>
      <c r="AM100" s="4306"/>
      <c r="AN100" s="4306"/>
      <c r="AO100" s="4306"/>
      <c r="AP100" s="4306"/>
      <c r="AQ100" s="4306"/>
      <c r="AR100" s="4306"/>
      <c r="AS100" s="4306"/>
      <c r="AT100" s="4306"/>
      <c r="AU100" s="4306"/>
      <c r="AV100" s="4306"/>
      <c r="AW100" s="4306"/>
      <c r="AX100" s="4306"/>
      <c r="AY100" s="4306"/>
      <c r="AZ100" s="4306"/>
      <c r="BA100" s="4306"/>
      <c r="BB100" s="4306"/>
      <c r="BC100" s="4306"/>
      <c r="BD100" s="4306"/>
      <c r="BE100" s="4306"/>
      <c r="BF100" s="4306"/>
      <c r="BG100" s="4306"/>
      <c r="BH100" s="4306"/>
      <c r="BI100" s="4306"/>
      <c r="BJ100" s="4306"/>
      <c r="BK100" s="4306"/>
      <c r="BL100" s="4306"/>
      <c r="BM100" s="4320"/>
      <c r="BN100" s="4306"/>
      <c r="BO100" s="4315"/>
      <c r="BP100" s="4315"/>
      <c r="BQ100" s="4317"/>
      <c r="BR100" s="4317"/>
      <c r="BS100" s="4317"/>
      <c r="BT100" s="4317"/>
      <c r="BU100" s="3112"/>
    </row>
    <row r="101" spans="1:73" s="3" customFormat="1" ht="58.5" customHeight="1" x14ac:dyDescent="0.25">
      <c r="A101" s="1473"/>
      <c r="B101" s="1443"/>
      <c r="C101" s="1452"/>
      <c r="D101" s="1443"/>
      <c r="E101" s="1618"/>
      <c r="F101" s="1618"/>
      <c r="G101" s="2664"/>
      <c r="H101" s="2475"/>
      <c r="I101" s="3428"/>
      <c r="J101" s="2475"/>
      <c r="K101" s="4250"/>
      <c r="L101" s="2475"/>
      <c r="M101" s="4250"/>
      <c r="N101" s="2475"/>
      <c r="O101" s="3385"/>
      <c r="P101" s="4249"/>
      <c r="Q101" s="3385"/>
      <c r="R101" s="2702"/>
      <c r="S101" s="2412"/>
      <c r="T101" s="4311"/>
      <c r="U101" s="2476"/>
      <c r="V101" s="2285"/>
      <c r="W101" s="1447" t="s">
        <v>2173</v>
      </c>
      <c r="X101" s="1584">
        <v>7000000</v>
      </c>
      <c r="Y101" s="1584">
        <v>848000</v>
      </c>
      <c r="Z101" s="1605">
        <v>420000</v>
      </c>
      <c r="AA101" s="1583" t="s">
        <v>2169</v>
      </c>
      <c r="AB101" s="1621">
        <v>61</v>
      </c>
      <c r="AC101" s="1441" t="s">
        <v>1987</v>
      </c>
      <c r="AD101" s="4306"/>
      <c r="AE101" s="4306"/>
      <c r="AF101" s="4306"/>
      <c r="AG101" s="4306"/>
      <c r="AH101" s="4308"/>
      <c r="AI101" s="4306"/>
      <c r="AJ101" s="4306"/>
      <c r="AK101" s="4306"/>
      <c r="AL101" s="4306"/>
      <c r="AM101" s="4306"/>
      <c r="AN101" s="4306"/>
      <c r="AO101" s="4306"/>
      <c r="AP101" s="4306"/>
      <c r="AQ101" s="4306"/>
      <c r="AR101" s="4306"/>
      <c r="AS101" s="4306"/>
      <c r="AT101" s="4306"/>
      <c r="AU101" s="4306"/>
      <c r="AV101" s="4306"/>
      <c r="AW101" s="4306"/>
      <c r="AX101" s="4306"/>
      <c r="AY101" s="4306"/>
      <c r="AZ101" s="4306"/>
      <c r="BA101" s="4306"/>
      <c r="BB101" s="4306"/>
      <c r="BC101" s="4306"/>
      <c r="BD101" s="4306"/>
      <c r="BE101" s="4306"/>
      <c r="BF101" s="4306"/>
      <c r="BG101" s="4306"/>
      <c r="BH101" s="4306"/>
      <c r="BI101" s="4306"/>
      <c r="BJ101" s="4306"/>
      <c r="BK101" s="4306"/>
      <c r="BL101" s="4306"/>
      <c r="BM101" s="4320"/>
      <c r="BN101" s="4306"/>
      <c r="BO101" s="4315"/>
      <c r="BP101" s="4315"/>
      <c r="BQ101" s="4317"/>
      <c r="BR101" s="4317"/>
      <c r="BS101" s="4317"/>
      <c r="BT101" s="4317"/>
      <c r="BU101" s="3112"/>
    </row>
    <row r="102" spans="1:73" s="3" customFormat="1" ht="90" customHeight="1" x14ac:dyDescent="0.25">
      <c r="A102" s="1473"/>
      <c r="B102" s="1443"/>
      <c r="C102" s="1452"/>
      <c r="D102" s="1443"/>
      <c r="E102" s="1622"/>
      <c r="F102" s="1623"/>
      <c r="G102" s="4312">
        <v>1905031</v>
      </c>
      <c r="H102" s="3073" t="s">
        <v>2174</v>
      </c>
      <c r="I102" s="4313">
        <v>1905031</v>
      </c>
      <c r="J102" s="4314" t="s">
        <v>2174</v>
      </c>
      <c r="K102" s="4250">
        <v>190503100</v>
      </c>
      <c r="L102" s="2475" t="s">
        <v>2175</v>
      </c>
      <c r="M102" s="4250">
        <v>190503100</v>
      </c>
      <c r="N102" s="2475" t="s">
        <v>2175</v>
      </c>
      <c r="O102" s="3385">
        <v>12</v>
      </c>
      <c r="P102" s="4247">
        <v>8</v>
      </c>
      <c r="Q102" s="3385"/>
      <c r="R102" s="2702"/>
      <c r="S102" s="2410">
        <f>SUM(X102:X106)/T98</f>
        <v>0.5</v>
      </c>
      <c r="T102" s="4311"/>
      <c r="U102" s="2476"/>
      <c r="V102" s="2285" t="s">
        <v>2176</v>
      </c>
      <c r="W102" s="1447" t="s">
        <v>2177</v>
      </c>
      <c r="X102" s="1584">
        <v>8000000</v>
      </c>
      <c r="Y102" s="1584">
        <v>5805000</v>
      </c>
      <c r="Z102" s="1605">
        <v>3200000</v>
      </c>
      <c r="AA102" s="1583" t="s">
        <v>2178</v>
      </c>
      <c r="AB102" s="1621">
        <v>61</v>
      </c>
      <c r="AC102" s="1441" t="s">
        <v>1987</v>
      </c>
      <c r="AD102" s="4306"/>
      <c r="AE102" s="4306"/>
      <c r="AF102" s="4306"/>
      <c r="AG102" s="4306"/>
      <c r="AH102" s="4308"/>
      <c r="AI102" s="4306"/>
      <c r="AJ102" s="4306"/>
      <c r="AK102" s="4306"/>
      <c r="AL102" s="4306"/>
      <c r="AM102" s="4306"/>
      <c r="AN102" s="4306"/>
      <c r="AO102" s="4306"/>
      <c r="AP102" s="4306"/>
      <c r="AQ102" s="4306"/>
      <c r="AR102" s="4306"/>
      <c r="AS102" s="4306"/>
      <c r="AT102" s="4306"/>
      <c r="AU102" s="4306"/>
      <c r="AV102" s="4306"/>
      <c r="AW102" s="4306"/>
      <c r="AX102" s="4306"/>
      <c r="AY102" s="4306"/>
      <c r="AZ102" s="4306"/>
      <c r="BA102" s="4306"/>
      <c r="BB102" s="4306"/>
      <c r="BC102" s="4306"/>
      <c r="BD102" s="4306"/>
      <c r="BE102" s="4306"/>
      <c r="BF102" s="4306"/>
      <c r="BG102" s="4306"/>
      <c r="BH102" s="4306"/>
      <c r="BI102" s="4306"/>
      <c r="BJ102" s="4306"/>
      <c r="BK102" s="4306"/>
      <c r="BL102" s="4306"/>
      <c r="BM102" s="4320"/>
      <c r="BN102" s="4306"/>
      <c r="BO102" s="4315"/>
      <c r="BP102" s="4315"/>
      <c r="BQ102" s="4317"/>
      <c r="BR102" s="4317"/>
      <c r="BS102" s="4317"/>
      <c r="BT102" s="4317"/>
      <c r="BU102" s="3112"/>
    </row>
    <row r="103" spans="1:73" s="3" customFormat="1" ht="105.75" customHeight="1" x14ac:dyDescent="0.25">
      <c r="A103" s="1473"/>
      <c r="B103" s="1443"/>
      <c r="C103" s="1452"/>
      <c r="D103" s="1443"/>
      <c r="E103" s="1622"/>
      <c r="F103" s="1623"/>
      <c r="G103" s="4313"/>
      <c r="H103" s="4314"/>
      <c r="I103" s="4313"/>
      <c r="J103" s="4314"/>
      <c r="K103" s="4250"/>
      <c r="L103" s="2475"/>
      <c r="M103" s="4250"/>
      <c r="N103" s="2475"/>
      <c r="O103" s="3385"/>
      <c r="P103" s="4248"/>
      <c r="Q103" s="3385"/>
      <c r="R103" s="2702"/>
      <c r="S103" s="2411"/>
      <c r="T103" s="4311"/>
      <c r="U103" s="2476"/>
      <c r="V103" s="2285"/>
      <c r="W103" s="1447" t="s">
        <v>2179</v>
      </c>
      <c r="X103" s="1584">
        <v>8000000</v>
      </c>
      <c r="Y103" s="1584">
        <v>8000000</v>
      </c>
      <c r="Z103" s="1605">
        <v>5935000</v>
      </c>
      <c r="AA103" s="1583" t="s">
        <v>2178</v>
      </c>
      <c r="AB103" s="1621">
        <v>61</v>
      </c>
      <c r="AC103" s="1441" t="s">
        <v>1987</v>
      </c>
      <c r="AD103" s="4306"/>
      <c r="AE103" s="4306"/>
      <c r="AF103" s="4306"/>
      <c r="AG103" s="4306"/>
      <c r="AH103" s="4308"/>
      <c r="AI103" s="4306"/>
      <c r="AJ103" s="4306"/>
      <c r="AK103" s="4306"/>
      <c r="AL103" s="4306"/>
      <c r="AM103" s="4306"/>
      <c r="AN103" s="4306"/>
      <c r="AO103" s="4306"/>
      <c r="AP103" s="4306"/>
      <c r="AQ103" s="4306"/>
      <c r="AR103" s="4306"/>
      <c r="AS103" s="4306"/>
      <c r="AT103" s="4306"/>
      <c r="AU103" s="4306"/>
      <c r="AV103" s="4306"/>
      <c r="AW103" s="4306"/>
      <c r="AX103" s="4306"/>
      <c r="AY103" s="4306"/>
      <c r="AZ103" s="4306"/>
      <c r="BA103" s="4306"/>
      <c r="BB103" s="4306"/>
      <c r="BC103" s="4306"/>
      <c r="BD103" s="4306"/>
      <c r="BE103" s="4306"/>
      <c r="BF103" s="4306"/>
      <c r="BG103" s="4306"/>
      <c r="BH103" s="4306"/>
      <c r="BI103" s="4306"/>
      <c r="BJ103" s="4306"/>
      <c r="BK103" s="4306"/>
      <c r="BL103" s="4306"/>
      <c r="BM103" s="4320"/>
      <c r="BN103" s="4306"/>
      <c r="BO103" s="4315"/>
      <c r="BP103" s="4315"/>
      <c r="BQ103" s="4317"/>
      <c r="BR103" s="4317"/>
      <c r="BS103" s="4317"/>
      <c r="BT103" s="4317"/>
      <c r="BU103" s="3112"/>
    </row>
    <row r="104" spans="1:73" s="3" customFormat="1" ht="56.25" customHeight="1" x14ac:dyDescent="0.25">
      <c r="A104" s="1473"/>
      <c r="B104" s="1443"/>
      <c r="C104" s="1452"/>
      <c r="D104" s="1443"/>
      <c r="E104" s="1622"/>
      <c r="F104" s="1623"/>
      <c r="G104" s="4313"/>
      <c r="H104" s="4314"/>
      <c r="I104" s="4313"/>
      <c r="J104" s="4314"/>
      <c r="K104" s="4250"/>
      <c r="L104" s="2475"/>
      <c r="M104" s="4250"/>
      <c r="N104" s="2475"/>
      <c r="O104" s="3385"/>
      <c r="P104" s="4248"/>
      <c r="Q104" s="3385"/>
      <c r="R104" s="2702"/>
      <c r="S104" s="2411"/>
      <c r="T104" s="4311"/>
      <c r="U104" s="2476"/>
      <c r="V104" s="2285"/>
      <c r="W104" s="1447" t="s">
        <v>2180</v>
      </c>
      <c r="X104" s="1584">
        <v>8000000</v>
      </c>
      <c r="Y104" s="1584">
        <v>5775000</v>
      </c>
      <c r="Z104" s="1605">
        <v>3900000</v>
      </c>
      <c r="AA104" s="1583" t="s">
        <v>2178</v>
      </c>
      <c r="AB104" s="1621">
        <v>61</v>
      </c>
      <c r="AC104" s="1441" t="s">
        <v>1987</v>
      </c>
      <c r="AD104" s="4306"/>
      <c r="AE104" s="4306"/>
      <c r="AF104" s="4306"/>
      <c r="AG104" s="4306"/>
      <c r="AH104" s="4308"/>
      <c r="AI104" s="4306"/>
      <c r="AJ104" s="4306"/>
      <c r="AK104" s="4306"/>
      <c r="AL104" s="4306"/>
      <c r="AM104" s="4306"/>
      <c r="AN104" s="4306"/>
      <c r="AO104" s="4306"/>
      <c r="AP104" s="4306"/>
      <c r="AQ104" s="4306"/>
      <c r="AR104" s="4306"/>
      <c r="AS104" s="4306"/>
      <c r="AT104" s="4306"/>
      <c r="AU104" s="4306"/>
      <c r="AV104" s="4306"/>
      <c r="AW104" s="4306"/>
      <c r="AX104" s="4306"/>
      <c r="AY104" s="4306"/>
      <c r="AZ104" s="4306"/>
      <c r="BA104" s="4306"/>
      <c r="BB104" s="4306"/>
      <c r="BC104" s="4306"/>
      <c r="BD104" s="4306"/>
      <c r="BE104" s="4306"/>
      <c r="BF104" s="4306"/>
      <c r="BG104" s="4306"/>
      <c r="BH104" s="4306"/>
      <c r="BI104" s="4306"/>
      <c r="BJ104" s="4306"/>
      <c r="BK104" s="4306"/>
      <c r="BL104" s="4306"/>
      <c r="BM104" s="4320"/>
      <c r="BN104" s="4306"/>
      <c r="BO104" s="4315"/>
      <c r="BP104" s="4315"/>
      <c r="BQ104" s="4317"/>
      <c r="BR104" s="4317"/>
      <c r="BS104" s="4317"/>
      <c r="BT104" s="4317"/>
      <c r="BU104" s="3112"/>
    </row>
    <row r="105" spans="1:73" s="3" customFormat="1" ht="65.25" customHeight="1" x14ac:dyDescent="0.25">
      <c r="A105" s="1473"/>
      <c r="B105" s="1443"/>
      <c r="C105" s="1452"/>
      <c r="D105" s="1443"/>
      <c r="E105" s="1622"/>
      <c r="F105" s="1623"/>
      <c r="G105" s="4313"/>
      <c r="H105" s="4314"/>
      <c r="I105" s="4313"/>
      <c r="J105" s="4314"/>
      <c r="K105" s="4250"/>
      <c r="L105" s="2475"/>
      <c r="M105" s="4250"/>
      <c r="N105" s="2475"/>
      <c r="O105" s="3385"/>
      <c r="P105" s="4248"/>
      <c r="Q105" s="3385"/>
      <c r="R105" s="2702"/>
      <c r="S105" s="2411"/>
      <c r="T105" s="4311"/>
      <c r="U105" s="2476"/>
      <c r="V105" s="2285"/>
      <c r="W105" s="1447" t="s">
        <v>2181</v>
      </c>
      <c r="X105" s="1584">
        <v>6000000</v>
      </c>
      <c r="Y105" s="1584">
        <v>6000000</v>
      </c>
      <c r="Z105" s="1605">
        <v>4000000</v>
      </c>
      <c r="AA105" s="1583" t="s">
        <v>2178</v>
      </c>
      <c r="AB105" s="1621">
        <v>61</v>
      </c>
      <c r="AC105" s="1441" t="s">
        <v>1987</v>
      </c>
      <c r="AD105" s="4306"/>
      <c r="AE105" s="4306"/>
      <c r="AF105" s="4306"/>
      <c r="AG105" s="4306"/>
      <c r="AH105" s="4308"/>
      <c r="AI105" s="4306"/>
      <c r="AJ105" s="4306"/>
      <c r="AK105" s="4306"/>
      <c r="AL105" s="4306"/>
      <c r="AM105" s="4306"/>
      <c r="AN105" s="4306"/>
      <c r="AO105" s="4306"/>
      <c r="AP105" s="4306"/>
      <c r="AQ105" s="4306"/>
      <c r="AR105" s="4306"/>
      <c r="AS105" s="4306"/>
      <c r="AT105" s="4306"/>
      <c r="AU105" s="4306"/>
      <c r="AV105" s="4306"/>
      <c r="AW105" s="4306"/>
      <c r="AX105" s="4306"/>
      <c r="AY105" s="4306"/>
      <c r="AZ105" s="4306"/>
      <c r="BA105" s="4306"/>
      <c r="BB105" s="4306"/>
      <c r="BC105" s="4306"/>
      <c r="BD105" s="4306"/>
      <c r="BE105" s="4306"/>
      <c r="BF105" s="4306"/>
      <c r="BG105" s="4306"/>
      <c r="BH105" s="4306"/>
      <c r="BI105" s="4306"/>
      <c r="BJ105" s="4306"/>
      <c r="BK105" s="4306"/>
      <c r="BL105" s="4306"/>
      <c r="BM105" s="4320"/>
      <c r="BN105" s="4306"/>
      <c r="BO105" s="4315"/>
      <c r="BP105" s="4315"/>
      <c r="BQ105" s="4317"/>
      <c r="BR105" s="4317"/>
      <c r="BS105" s="4317"/>
      <c r="BT105" s="4317"/>
      <c r="BU105" s="3112"/>
    </row>
    <row r="106" spans="1:73" s="3" customFormat="1" ht="71.25" customHeight="1" x14ac:dyDescent="0.25">
      <c r="A106" s="1473"/>
      <c r="B106" s="1443"/>
      <c r="C106" s="1452"/>
      <c r="D106" s="1443"/>
      <c r="E106" s="1622"/>
      <c r="F106" s="1623"/>
      <c r="G106" s="4313"/>
      <c r="H106" s="4314"/>
      <c r="I106" s="4313"/>
      <c r="J106" s="4314"/>
      <c r="K106" s="4250"/>
      <c r="L106" s="2475"/>
      <c r="M106" s="4250"/>
      <c r="N106" s="2475"/>
      <c r="O106" s="3385"/>
      <c r="P106" s="4249"/>
      <c r="Q106" s="3385"/>
      <c r="R106" s="2703"/>
      <c r="S106" s="2412"/>
      <c r="T106" s="4311"/>
      <c r="U106" s="2476"/>
      <c r="V106" s="2285"/>
      <c r="W106" s="1447" t="s">
        <v>2182</v>
      </c>
      <c r="X106" s="1584">
        <v>8000000</v>
      </c>
      <c r="Y106" s="1584">
        <v>5040000</v>
      </c>
      <c r="Z106" s="1605">
        <v>3045000</v>
      </c>
      <c r="AA106" s="1583" t="s">
        <v>2178</v>
      </c>
      <c r="AB106" s="1621">
        <v>61</v>
      </c>
      <c r="AC106" s="1441" t="s">
        <v>1987</v>
      </c>
      <c r="AD106" s="4307"/>
      <c r="AE106" s="4307"/>
      <c r="AF106" s="4307"/>
      <c r="AG106" s="4307"/>
      <c r="AH106" s="4309"/>
      <c r="AI106" s="4307"/>
      <c r="AJ106" s="4307"/>
      <c r="AK106" s="4307"/>
      <c r="AL106" s="4307"/>
      <c r="AM106" s="4307"/>
      <c r="AN106" s="4307"/>
      <c r="AO106" s="4307"/>
      <c r="AP106" s="4307"/>
      <c r="AQ106" s="4307"/>
      <c r="AR106" s="4307"/>
      <c r="AS106" s="4307"/>
      <c r="AT106" s="4307"/>
      <c r="AU106" s="4307"/>
      <c r="AV106" s="4307"/>
      <c r="AW106" s="4307"/>
      <c r="AX106" s="4307"/>
      <c r="AY106" s="4307"/>
      <c r="AZ106" s="4307"/>
      <c r="BA106" s="4307"/>
      <c r="BB106" s="4307"/>
      <c r="BC106" s="4307"/>
      <c r="BD106" s="4307"/>
      <c r="BE106" s="4307"/>
      <c r="BF106" s="4307"/>
      <c r="BG106" s="4307"/>
      <c r="BH106" s="4307"/>
      <c r="BI106" s="4307"/>
      <c r="BJ106" s="4307"/>
      <c r="BK106" s="4307"/>
      <c r="BL106" s="4307"/>
      <c r="BM106" s="4321"/>
      <c r="BN106" s="4307"/>
      <c r="BO106" s="4316"/>
      <c r="BP106" s="4316"/>
      <c r="BQ106" s="4318"/>
      <c r="BR106" s="4318"/>
      <c r="BS106" s="4318"/>
      <c r="BT106" s="4318"/>
      <c r="BU106" s="3898"/>
    </row>
    <row r="107" spans="1:73" s="3" customFormat="1" ht="30" x14ac:dyDescent="0.25">
      <c r="A107" s="1473"/>
      <c r="B107" s="1443"/>
      <c r="C107" s="1452"/>
      <c r="D107" s="1443"/>
      <c r="E107" s="1622"/>
      <c r="F107" s="1623"/>
      <c r="G107" s="877">
        <v>1905019</v>
      </c>
      <c r="H107" s="1627" t="s">
        <v>2183</v>
      </c>
      <c r="I107" s="877">
        <v>1905019</v>
      </c>
      <c r="J107" s="1627" t="s">
        <v>2183</v>
      </c>
      <c r="K107" s="1628">
        <v>190501900</v>
      </c>
      <c r="L107" s="1453" t="s">
        <v>1399</v>
      </c>
      <c r="M107" s="1628">
        <v>190501900</v>
      </c>
      <c r="N107" s="1453" t="s">
        <v>1399</v>
      </c>
      <c r="O107" s="573">
        <v>60</v>
      </c>
      <c r="P107" s="1629">
        <v>58</v>
      </c>
      <c r="Q107" s="3385" t="s">
        <v>2184</v>
      </c>
      <c r="R107" s="2476" t="s">
        <v>2185</v>
      </c>
      <c r="S107" s="1630">
        <f>X107/T107</f>
        <v>0.1</v>
      </c>
      <c r="T107" s="4311">
        <f>SUM(X107:X123)</f>
        <v>200000000</v>
      </c>
      <c r="U107" s="2476" t="s">
        <v>2186</v>
      </c>
      <c r="V107" s="2295" t="s">
        <v>2187</v>
      </c>
      <c r="W107" s="1631" t="s">
        <v>2188</v>
      </c>
      <c r="X107" s="1632">
        <v>20000000</v>
      </c>
      <c r="Y107" s="1632">
        <v>20000000</v>
      </c>
      <c r="Z107" s="1633">
        <v>8655000</v>
      </c>
      <c r="AA107" s="1583" t="s">
        <v>2189</v>
      </c>
      <c r="AB107" s="1621">
        <v>61</v>
      </c>
      <c r="AC107" s="1450" t="s">
        <v>1987</v>
      </c>
      <c r="AD107" s="2438">
        <v>292684</v>
      </c>
      <c r="AE107" s="2438"/>
      <c r="AF107" s="2438">
        <v>282326</v>
      </c>
      <c r="AG107" s="2438"/>
      <c r="AH107" s="3809">
        <v>135912</v>
      </c>
      <c r="AI107" s="2438"/>
      <c r="AJ107" s="2438">
        <v>45122</v>
      </c>
      <c r="AK107" s="2438"/>
      <c r="AL107" s="2438">
        <v>307101</v>
      </c>
      <c r="AM107" s="2438"/>
      <c r="AN107" s="2438">
        <v>86875</v>
      </c>
      <c r="AO107" s="2438"/>
      <c r="AP107" s="2438">
        <v>2145</v>
      </c>
      <c r="AQ107" s="2438"/>
      <c r="AR107" s="2438">
        <v>12718</v>
      </c>
      <c r="AS107" s="2438"/>
      <c r="AT107" s="2438">
        <v>26</v>
      </c>
      <c r="AU107" s="2438"/>
      <c r="AV107" s="2438">
        <v>37</v>
      </c>
      <c r="AW107" s="2438"/>
      <c r="AX107" s="2438">
        <v>16897</v>
      </c>
      <c r="AY107" s="2438"/>
      <c r="AZ107" s="2438" t="s">
        <v>2115</v>
      </c>
      <c r="BA107" s="2438"/>
      <c r="BB107" s="2438">
        <v>53164</v>
      </c>
      <c r="BC107" s="2438"/>
      <c r="BD107" s="2438">
        <v>16982</v>
      </c>
      <c r="BE107" s="2438"/>
      <c r="BF107" s="2438">
        <v>60013</v>
      </c>
      <c r="BG107" s="2438"/>
      <c r="BH107" s="2438">
        <v>575010</v>
      </c>
      <c r="BI107" s="2438"/>
      <c r="BJ107" s="2438">
        <v>11</v>
      </c>
      <c r="BK107" s="4287">
        <f>SUM(Y107:Y123)</f>
        <v>142620000</v>
      </c>
      <c r="BL107" s="4287">
        <f>SUM(Z107:Z123)</f>
        <v>93360000</v>
      </c>
      <c r="BM107" s="4277">
        <f>BL107/BK107</f>
        <v>0.65460664703407656</v>
      </c>
      <c r="BN107" s="2438">
        <v>61</v>
      </c>
      <c r="BO107" s="2438" t="s">
        <v>2056</v>
      </c>
      <c r="BP107" s="2438" t="s">
        <v>2170</v>
      </c>
      <c r="BQ107" s="4285">
        <v>44197</v>
      </c>
      <c r="BR107" s="4285">
        <v>44245</v>
      </c>
      <c r="BS107" s="4285">
        <v>44561</v>
      </c>
      <c r="BT107" s="4285">
        <v>44561</v>
      </c>
      <c r="BU107" s="2438" t="s">
        <v>1991</v>
      </c>
    </row>
    <row r="108" spans="1:73" s="3" customFormat="1" ht="78.75" customHeight="1" x14ac:dyDescent="0.25">
      <c r="A108" s="1473"/>
      <c r="B108" s="1443"/>
      <c r="C108" s="1452"/>
      <c r="D108" s="1443"/>
      <c r="E108" s="1622"/>
      <c r="F108" s="1623"/>
      <c r="G108" s="4313" t="s">
        <v>74</v>
      </c>
      <c r="H108" s="4322" t="s">
        <v>2190</v>
      </c>
      <c r="I108" s="4313">
        <v>1905031</v>
      </c>
      <c r="J108" s="4322" t="s">
        <v>2191</v>
      </c>
      <c r="K108" s="3169" t="s">
        <v>74</v>
      </c>
      <c r="L108" s="4194" t="s">
        <v>2192</v>
      </c>
      <c r="M108" s="3169">
        <v>190503100</v>
      </c>
      <c r="N108" s="4194" t="s">
        <v>2193</v>
      </c>
      <c r="O108" s="4325">
        <v>11</v>
      </c>
      <c r="P108" s="4330">
        <v>6</v>
      </c>
      <c r="Q108" s="3385"/>
      <c r="R108" s="2476"/>
      <c r="S108" s="2410">
        <f>SUM(X108:X109)/T107</f>
        <v>0.1</v>
      </c>
      <c r="T108" s="4311"/>
      <c r="U108" s="2476"/>
      <c r="V108" s="2699"/>
      <c r="W108" s="1447" t="s">
        <v>2194</v>
      </c>
      <c r="X108" s="1632">
        <v>10000000</v>
      </c>
      <c r="Y108" s="1608">
        <v>9800000</v>
      </c>
      <c r="Z108" s="1609">
        <v>5500000</v>
      </c>
      <c r="AA108" s="1583" t="s">
        <v>2195</v>
      </c>
      <c r="AB108" s="1621">
        <v>61</v>
      </c>
      <c r="AC108" s="1441" t="s">
        <v>1987</v>
      </c>
      <c r="AD108" s="2267"/>
      <c r="AE108" s="2267"/>
      <c r="AF108" s="2267"/>
      <c r="AG108" s="2267"/>
      <c r="AH108" s="4272"/>
      <c r="AI108" s="2267"/>
      <c r="AJ108" s="2267"/>
      <c r="AK108" s="2267"/>
      <c r="AL108" s="2267"/>
      <c r="AM108" s="2267"/>
      <c r="AN108" s="2267"/>
      <c r="AO108" s="2267"/>
      <c r="AP108" s="2267"/>
      <c r="AQ108" s="2267"/>
      <c r="AR108" s="2267"/>
      <c r="AS108" s="2267"/>
      <c r="AT108" s="2267"/>
      <c r="AU108" s="2267"/>
      <c r="AV108" s="2267"/>
      <c r="AW108" s="2267"/>
      <c r="AX108" s="2267"/>
      <c r="AY108" s="2267"/>
      <c r="AZ108" s="2267"/>
      <c r="BA108" s="2267"/>
      <c r="BB108" s="2267"/>
      <c r="BC108" s="2267"/>
      <c r="BD108" s="2267"/>
      <c r="BE108" s="2267"/>
      <c r="BF108" s="2267"/>
      <c r="BG108" s="2267"/>
      <c r="BH108" s="2267"/>
      <c r="BI108" s="2267"/>
      <c r="BJ108" s="2267"/>
      <c r="BK108" s="2267"/>
      <c r="BL108" s="2267"/>
      <c r="BM108" s="4278"/>
      <c r="BN108" s="2267"/>
      <c r="BO108" s="2267"/>
      <c r="BP108" s="2267"/>
      <c r="BQ108" s="4286"/>
      <c r="BR108" s="4286"/>
      <c r="BS108" s="4286"/>
      <c r="BT108" s="4286"/>
      <c r="BU108" s="2267"/>
    </row>
    <row r="109" spans="1:73" s="3" customFormat="1" ht="78.75" customHeight="1" x14ac:dyDescent="0.25">
      <c r="A109" s="1473"/>
      <c r="B109" s="1443"/>
      <c r="C109" s="1452"/>
      <c r="D109" s="1443"/>
      <c r="E109" s="1622"/>
      <c r="F109" s="1623"/>
      <c r="G109" s="4313"/>
      <c r="H109" s="4323"/>
      <c r="I109" s="4313"/>
      <c r="J109" s="4323"/>
      <c r="K109" s="3171"/>
      <c r="L109" s="4324"/>
      <c r="M109" s="3171"/>
      <c r="N109" s="4324"/>
      <c r="O109" s="4326"/>
      <c r="P109" s="4331"/>
      <c r="Q109" s="3385"/>
      <c r="R109" s="2476"/>
      <c r="S109" s="2412"/>
      <c r="T109" s="4311"/>
      <c r="U109" s="2476"/>
      <c r="V109" s="2700"/>
      <c r="W109" s="1447" t="s">
        <v>2196</v>
      </c>
      <c r="X109" s="1633">
        <v>10000000</v>
      </c>
      <c r="Y109" s="1588">
        <v>10000000</v>
      </c>
      <c r="Z109" s="1634">
        <v>4400000</v>
      </c>
      <c r="AA109" s="1583" t="s">
        <v>2195</v>
      </c>
      <c r="AB109" s="1621">
        <v>61</v>
      </c>
      <c r="AC109" s="1441" t="s">
        <v>1987</v>
      </c>
      <c r="AD109" s="2267"/>
      <c r="AE109" s="2267"/>
      <c r="AF109" s="2267"/>
      <c r="AG109" s="2267"/>
      <c r="AH109" s="4272"/>
      <c r="AI109" s="2267"/>
      <c r="AJ109" s="2267"/>
      <c r="AK109" s="2267"/>
      <c r="AL109" s="2267"/>
      <c r="AM109" s="2267"/>
      <c r="AN109" s="2267"/>
      <c r="AO109" s="2267"/>
      <c r="AP109" s="2267"/>
      <c r="AQ109" s="2267"/>
      <c r="AR109" s="2267"/>
      <c r="AS109" s="2267"/>
      <c r="AT109" s="2267"/>
      <c r="AU109" s="2267"/>
      <c r="AV109" s="2267"/>
      <c r="AW109" s="2267"/>
      <c r="AX109" s="2267"/>
      <c r="AY109" s="2267"/>
      <c r="AZ109" s="2267"/>
      <c r="BA109" s="2267"/>
      <c r="BB109" s="2267"/>
      <c r="BC109" s="2267"/>
      <c r="BD109" s="2267"/>
      <c r="BE109" s="2267"/>
      <c r="BF109" s="2267"/>
      <c r="BG109" s="2267"/>
      <c r="BH109" s="2267"/>
      <c r="BI109" s="2267"/>
      <c r="BJ109" s="2267"/>
      <c r="BK109" s="2267"/>
      <c r="BL109" s="2267"/>
      <c r="BM109" s="4278"/>
      <c r="BN109" s="2267"/>
      <c r="BO109" s="2267"/>
      <c r="BP109" s="2267"/>
      <c r="BQ109" s="4286"/>
      <c r="BR109" s="4286"/>
      <c r="BS109" s="4286"/>
      <c r="BT109" s="4286"/>
      <c r="BU109" s="2267"/>
    </row>
    <row r="110" spans="1:73" s="3" customFormat="1" ht="88.5" customHeight="1" x14ac:dyDescent="0.25">
      <c r="A110" s="1473"/>
      <c r="B110" s="1443"/>
      <c r="C110" s="1452"/>
      <c r="D110" s="1443"/>
      <c r="E110" s="1622"/>
      <c r="F110" s="1623"/>
      <c r="G110" s="4313" t="s">
        <v>74</v>
      </c>
      <c r="H110" s="4322" t="s">
        <v>2197</v>
      </c>
      <c r="I110" s="4313">
        <v>1905015</v>
      </c>
      <c r="J110" s="4322" t="s">
        <v>791</v>
      </c>
      <c r="K110" s="3169" t="s">
        <v>74</v>
      </c>
      <c r="L110" s="4194" t="s">
        <v>2198</v>
      </c>
      <c r="M110" s="3169">
        <v>190501501</v>
      </c>
      <c r="N110" s="4194" t="s">
        <v>2199</v>
      </c>
      <c r="O110" s="4325">
        <v>1</v>
      </c>
      <c r="P110" s="4330">
        <v>1</v>
      </c>
      <c r="Q110" s="3385"/>
      <c r="R110" s="2476"/>
      <c r="S110" s="2410">
        <f>SUM(X110:X111)/T107</f>
        <v>0.1</v>
      </c>
      <c r="T110" s="4311"/>
      <c r="U110" s="2476"/>
      <c r="V110" s="2295" t="s">
        <v>2200</v>
      </c>
      <c r="W110" s="1447" t="s">
        <v>2201</v>
      </c>
      <c r="X110" s="1635">
        <v>10000000</v>
      </c>
      <c r="Y110" s="1588">
        <v>10000000</v>
      </c>
      <c r="Z110" s="1636">
        <v>6650000</v>
      </c>
      <c r="AA110" s="1583" t="s">
        <v>2202</v>
      </c>
      <c r="AB110" s="1621">
        <v>61</v>
      </c>
      <c r="AC110" s="1441" t="s">
        <v>1987</v>
      </c>
      <c r="AD110" s="2267"/>
      <c r="AE110" s="2267"/>
      <c r="AF110" s="2267"/>
      <c r="AG110" s="2267"/>
      <c r="AH110" s="4272"/>
      <c r="AI110" s="2267"/>
      <c r="AJ110" s="2267"/>
      <c r="AK110" s="2267"/>
      <c r="AL110" s="2267"/>
      <c r="AM110" s="2267"/>
      <c r="AN110" s="2267"/>
      <c r="AO110" s="2267"/>
      <c r="AP110" s="2267"/>
      <c r="AQ110" s="2267"/>
      <c r="AR110" s="2267"/>
      <c r="AS110" s="2267"/>
      <c r="AT110" s="2267"/>
      <c r="AU110" s="2267"/>
      <c r="AV110" s="2267"/>
      <c r="AW110" s="2267"/>
      <c r="AX110" s="2267"/>
      <c r="AY110" s="2267"/>
      <c r="AZ110" s="2267"/>
      <c r="BA110" s="2267"/>
      <c r="BB110" s="2267"/>
      <c r="BC110" s="2267"/>
      <c r="BD110" s="2267"/>
      <c r="BE110" s="2267"/>
      <c r="BF110" s="2267"/>
      <c r="BG110" s="2267"/>
      <c r="BH110" s="2267"/>
      <c r="BI110" s="2267"/>
      <c r="BJ110" s="2267"/>
      <c r="BK110" s="2267"/>
      <c r="BL110" s="2267"/>
      <c r="BM110" s="4278"/>
      <c r="BN110" s="2267"/>
      <c r="BO110" s="2267"/>
      <c r="BP110" s="2267"/>
      <c r="BQ110" s="4286"/>
      <c r="BR110" s="4286"/>
      <c r="BS110" s="4286"/>
      <c r="BT110" s="4286"/>
      <c r="BU110" s="2267"/>
    </row>
    <row r="111" spans="1:73" s="3" customFormat="1" ht="79.5" customHeight="1" x14ac:dyDescent="0.25">
      <c r="A111" s="1473"/>
      <c r="B111" s="1443"/>
      <c r="C111" s="1452"/>
      <c r="D111" s="1443"/>
      <c r="E111" s="1622"/>
      <c r="F111" s="1623"/>
      <c r="G111" s="4313"/>
      <c r="H111" s="4323"/>
      <c r="I111" s="4313"/>
      <c r="J111" s="4323"/>
      <c r="K111" s="3171"/>
      <c r="L111" s="4324"/>
      <c r="M111" s="3171"/>
      <c r="N111" s="4324"/>
      <c r="O111" s="4326"/>
      <c r="P111" s="4331"/>
      <c r="Q111" s="3385"/>
      <c r="R111" s="2476"/>
      <c r="S111" s="2412"/>
      <c r="T111" s="4311"/>
      <c r="U111" s="2476"/>
      <c r="V111" s="2699"/>
      <c r="W111" s="1447" t="s">
        <v>2203</v>
      </c>
      <c r="X111" s="1632">
        <v>10000000</v>
      </c>
      <c r="Y111" s="1637">
        <v>4620000</v>
      </c>
      <c r="Z111" s="1636">
        <v>2005000</v>
      </c>
      <c r="AA111" s="1583" t="s">
        <v>2202</v>
      </c>
      <c r="AB111" s="1621">
        <v>61</v>
      </c>
      <c r="AC111" s="1441" t="s">
        <v>1987</v>
      </c>
      <c r="AD111" s="2267"/>
      <c r="AE111" s="2267"/>
      <c r="AF111" s="2267"/>
      <c r="AG111" s="2267"/>
      <c r="AH111" s="4272"/>
      <c r="AI111" s="2267"/>
      <c r="AJ111" s="2267"/>
      <c r="AK111" s="2267"/>
      <c r="AL111" s="2267"/>
      <c r="AM111" s="2267"/>
      <c r="AN111" s="2267"/>
      <c r="AO111" s="2267"/>
      <c r="AP111" s="2267"/>
      <c r="AQ111" s="2267"/>
      <c r="AR111" s="2267"/>
      <c r="AS111" s="2267"/>
      <c r="AT111" s="2267"/>
      <c r="AU111" s="2267"/>
      <c r="AV111" s="2267"/>
      <c r="AW111" s="2267"/>
      <c r="AX111" s="2267"/>
      <c r="AY111" s="2267"/>
      <c r="AZ111" s="2267"/>
      <c r="BA111" s="2267"/>
      <c r="BB111" s="2267"/>
      <c r="BC111" s="2267"/>
      <c r="BD111" s="2267"/>
      <c r="BE111" s="2267"/>
      <c r="BF111" s="2267"/>
      <c r="BG111" s="2267"/>
      <c r="BH111" s="2267"/>
      <c r="BI111" s="2267"/>
      <c r="BJ111" s="2267"/>
      <c r="BK111" s="2267"/>
      <c r="BL111" s="2267"/>
      <c r="BM111" s="4278"/>
      <c r="BN111" s="2267"/>
      <c r="BO111" s="2267"/>
      <c r="BP111" s="2267"/>
      <c r="BQ111" s="4286"/>
      <c r="BR111" s="4286"/>
      <c r="BS111" s="4286"/>
      <c r="BT111" s="4286"/>
      <c r="BU111" s="2267"/>
    </row>
    <row r="112" spans="1:73" s="3" customFormat="1" ht="48.75" customHeight="1" x14ac:dyDescent="0.25">
      <c r="A112" s="1473"/>
      <c r="B112" s="1443"/>
      <c r="C112" s="1452"/>
      <c r="D112" s="1443"/>
      <c r="E112" s="1622"/>
      <c r="F112" s="1623"/>
      <c r="G112" s="4313" t="s">
        <v>74</v>
      </c>
      <c r="H112" s="4322" t="s">
        <v>2204</v>
      </c>
      <c r="I112" s="4313">
        <v>1905024</v>
      </c>
      <c r="J112" s="4322" t="s">
        <v>2205</v>
      </c>
      <c r="K112" s="3169" t="s">
        <v>74</v>
      </c>
      <c r="L112" s="4263" t="s">
        <v>2206</v>
      </c>
      <c r="M112" s="3169">
        <v>190502400</v>
      </c>
      <c r="N112" s="4263" t="s">
        <v>2207</v>
      </c>
      <c r="O112" s="4325">
        <v>3</v>
      </c>
      <c r="P112" s="4330">
        <v>2</v>
      </c>
      <c r="Q112" s="3385"/>
      <c r="R112" s="2476"/>
      <c r="S112" s="2410">
        <f>SUM(X112:X116)/T107</f>
        <v>0.32</v>
      </c>
      <c r="T112" s="4311"/>
      <c r="U112" s="2476"/>
      <c r="V112" s="2699"/>
      <c r="W112" s="1447" t="s">
        <v>2208</v>
      </c>
      <c r="X112" s="1584">
        <v>5000000</v>
      </c>
      <c r="Y112" s="1638">
        <v>5000000</v>
      </c>
      <c r="Z112" s="1605">
        <v>4500000</v>
      </c>
      <c r="AA112" s="1583" t="s">
        <v>2209</v>
      </c>
      <c r="AB112" s="1621">
        <v>61</v>
      </c>
      <c r="AC112" s="1441" t="s">
        <v>1987</v>
      </c>
      <c r="AD112" s="2267"/>
      <c r="AE112" s="2267"/>
      <c r="AF112" s="2267"/>
      <c r="AG112" s="2267"/>
      <c r="AH112" s="4272"/>
      <c r="AI112" s="2267"/>
      <c r="AJ112" s="2267"/>
      <c r="AK112" s="2267"/>
      <c r="AL112" s="2267"/>
      <c r="AM112" s="2267"/>
      <c r="AN112" s="2267"/>
      <c r="AO112" s="2267"/>
      <c r="AP112" s="2267"/>
      <c r="AQ112" s="2267"/>
      <c r="AR112" s="2267"/>
      <c r="AS112" s="2267"/>
      <c r="AT112" s="2267"/>
      <c r="AU112" s="2267"/>
      <c r="AV112" s="2267"/>
      <c r="AW112" s="2267"/>
      <c r="AX112" s="2267"/>
      <c r="AY112" s="2267"/>
      <c r="AZ112" s="2267"/>
      <c r="BA112" s="2267"/>
      <c r="BB112" s="2267"/>
      <c r="BC112" s="2267"/>
      <c r="BD112" s="2267"/>
      <c r="BE112" s="2267"/>
      <c r="BF112" s="2267"/>
      <c r="BG112" s="2267"/>
      <c r="BH112" s="2267"/>
      <c r="BI112" s="2267"/>
      <c r="BJ112" s="2267"/>
      <c r="BK112" s="2267"/>
      <c r="BL112" s="2267"/>
      <c r="BM112" s="4278"/>
      <c r="BN112" s="2267"/>
      <c r="BO112" s="2267"/>
      <c r="BP112" s="2267"/>
      <c r="BQ112" s="4286"/>
      <c r="BR112" s="4286"/>
      <c r="BS112" s="4286"/>
      <c r="BT112" s="4286"/>
      <c r="BU112" s="2267"/>
    </row>
    <row r="113" spans="1:73" s="3" customFormat="1" ht="48.75" customHeight="1" x14ac:dyDescent="0.25">
      <c r="A113" s="1473"/>
      <c r="B113" s="1443"/>
      <c r="C113" s="1452"/>
      <c r="D113" s="1443"/>
      <c r="E113" s="1622"/>
      <c r="F113" s="1623"/>
      <c r="G113" s="4313"/>
      <c r="H113" s="4328"/>
      <c r="I113" s="4313"/>
      <c r="J113" s="4328"/>
      <c r="K113" s="3170"/>
      <c r="L113" s="4264"/>
      <c r="M113" s="3170"/>
      <c r="N113" s="4264"/>
      <c r="O113" s="4332"/>
      <c r="P113" s="4333"/>
      <c r="Q113" s="3385"/>
      <c r="R113" s="2476"/>
      <c r="S113" s="2411"/>
      <c r="T113" s="4311"/>
      <c r="U113" s="2476"/>
      <c r="V113" s="2699"/>
      <c r="W113" s="1447" t="s">
        <v>2210</v>
      </c>
      <c r="X113" s="1584">
        <v>5000000</v>
      </c>
      <c r="Y113" s="1638">
        <v>5000000</v>
      </c>
      <c r="Z113" s="1605">
        <v>4500000</v>
      </c>
      <c r="AA113" s="1583" t="s">
        <v>2209</v>
      </c>
      <c r="AB113" s="1621">
        <v>61</v>
      </c>
      <c r="AC113" s="1441" t="s">
        <v>1987</v>
      </c>
      <c r="AD113" s="2267"/>
      <c r="AE113" s="2267"/>
      <c r="AF113" s="2267"/>
      <c r="AG113" s="2267"/>
      <c r="AH113" s="4272"/>
      <c r="AI113" s="2267"/>
      <c r="AJ113" s="2267"/>
      <c r="AK113" s="2267"/>
      <c r="AL113" s="2267"/>
      <c r="AM113" s="2267"/>
      <c r="AN113" s="2267"/>
      <c r="AO113" s="2267"/>
      <c r="AP113" s="2267"/>
      <c r="AQ113" s="2267"/>
      <c r="AR113" s="2267"/>
      <c r="AS113" s="2267"/>
      <c r="AT113" s="2267"/>
      <c r="AU113" s="2267"/>
      <c r="AV113" s="2267"/>
      <c r="AW113" s="2267"/>
      <c r="AX113" s="2267"/>
      <c r="AY113" s="2267"/>
      <c r="AZ113" s="2267"/>
      <c r="BA113" s="2267"/>
      <c r="BB113" s="2267"/>
      <c r="BC113" s="2267"/>
      <c r="BD113" s="2267"/>
      <c r="BE113" s="2267"/>
      <c r="BF113" s="2267"/>
      <c r="BG113" s="2267"/>
      <c r="BH113" s="2267"/>
      <c r="BI113" s="2267"/>
      <c r="BJ113" s="2267"/>
      <c r="BK113" s="2267"/>
      <c r="BL113" s="2267"/>
      <c r="BM113" s="4278"/>
      <c r="BN113" s="2267"/>
      <c r="BO113" s="2267"/>
      <c r="BP113" s="2267"/>
      <c r="BQ113" s="4286"/>
      <c r="BR113" s="4286"/>
      <c r="BS113" s="4286"/>
      <c r="BT113" s="4286"/>
      <c r="BU113" s="2267"/>
    </row>
    <row r="114" spans="1:73" s="3" customFormat="1" ht="73.5" customHeight="1" x14ac:dyDescent="0.25">
      <c r="A114" s="1473"/>
      <c r="B114" s="1443"/>
      <c r="C114" s="1452"/>
      <c r="D114" s="1443"/>
      <c r="E114" s="1622"/>
      <c r="F114" s="1623"/>
      <c r="G114" s="4313"/>
      <c r="H114" s="4328"/>
      <c r="I114" s="4313"/>
      <c r="J114" s="4328"/>
      <c r="K114" s="3170"/>
      <c r="L114" s="4264"/>
      <c r="M114" s="3170"/>
      <c r="N114" s="4264"/>
      <c r="O114" s="4332"/>
      <c r="P114" s="4333"/>
      <c r="Q114" s="3385"/>
      <c r="R114" s="2476"/>
      <c r="S114" s="2411"/>
      <c r="T114" s="4311"/>
      <c r="U114" s="2476"/>
      <c r="V114" s="2699"/>
      <c r="W114" s="1447" t="s">
        <v>2004</v>
      </c>
      <c r="X114" s="1584">
        <v>34000000</v>
      </c>
      <c r="Y114" s="1638">
        <v>27700000</v>
      </c>
      <c r="Z114" s="1605">
        <v>25930000</v>
      </c>
      <c r="AA114" s="1583" t="s">
        <v>2209</v>
      </c>
      <c r="AB114" s="1621">
        <v>61</v>
      </c>
      <c r="AC114" s="1441" t="s">
        <v>1987</v>
      </c>
      <c r="AD114" s="2267"/>
      <c r="AE114" s="2267"/>
      <c r="AF114" s="2267"/>
      <c r="AG114" s="2267"/>
      <c r="AH114" s="4272"/>
      <c r="AI114" s="2267"/>
      <c r="AJ114" s="2267"/>
      <c r="AK114" s="2267"/>
      <c r="AL114" s="2267"/>
      <c r="AM114" s="2267"/>
      <c r="AN114" s="2267"/>
      <c r="AO114" s="2267"/>
      <c r="AP114" s="2267"/>
      <c r="AQ114" s="2267"/>
      <c r="AR114" s="2267"/>
      <c r="AS114" s="2267"/>
      <c r="AT114" s="2267"/>
      <c r="AU114" s="2267"/>
      <c r="AV114" s="2267"/>
      <c r="AW114" s="2267"/>
      <c r="AX114" s="2267"/>
      <c r="AY114" s="2267"/>
      <c r="AZ114" s="2267"/>
      <c r="BA114" s="2267"/>
      <c r="BB114" s="2267"/>
      <c r="BC114" s="2267"/>
      <c r="BD114" s="2267"/>
      <c r="BE114" s="2267"/>
      <c r="BF114" s="2267"/>
      <c r="BG114" s="2267"/>
      <c r="BH114" s="2267"/>
      <c r="BI114" s="2267"/>
      <c r="BJ114" s="2267"/>
      <c r="BK114" s="2267"/>
      <c r="BL114" s="2267"/>
      <c r="BM114" s="4278"/>
      <c r="BN114" s="2267"/>
      <c r="BO114" s="2267"/>
      <c r="BP114" s="2267"/>
      <c r="BQ114" s="4286"/>
      <c r="BR114" s="4286"/>
      <c r="BS114" s="4286"/>
      <c r="BT114" s="4286"/>
      <c r="BU114" s="2267"/>
    </row>
    <row r="115" spans="1:73" s="3" customFormat="1" ht="84.75" customHeight="1" x14ac:dyDescent="0.25">
      <c r="A115" s="1473"/>
      <c r="B115" s="1443"/>
      <c r="C115" s="1452"/>
      <c r="D115" s="1443"/>
      <c r="E115" s="1622"/>
      <c r="F115" s="1623"/>
      <c r="G115" s="4313"/>
      <c r="H115" s="4328"/>
      <c r="I115" s="4313"/>
      <c r="J115" s="4328"/>
      <c r="K115" s="3170"/>
      <c r="L115" s="4264"/>
      <c r="M115" s="3170"/>
      <c r="N115" s="4264"/>
      <c r="O115" s="4332"/>
      <c r="P115" s="4333"/>
      <c r="Q115" s="3385"/>
      <c r="R115" s="2476"/>
      <c r="S115" s="2411"/>
      <c r="T115" s="4311"/>
      <c r="U115" s="2476"/>
      <c r="V115" s="2699"/>
      <c r="W115" s="1447" t="s">
        <v>2211</v>
      </c>
      <c r="X115" s="1584">
        <v>10000000</v>
      </c>
      <c r="Y115" s="1638">
        <v>10000000</v>
      </c>
      <c r="Z115" s="1605">
        <v>9000000</v>
      </c>
      <c r="AA115" s="1583" t="s">
        <v>2209</v>
      </c>
      <c r="AB115" s="1621">
        <v>61</v>
      </c>
      <c r="AC115" s="1441" t="s">
        <v>1987</v>
      </c>
      <c r="AD115" s="2267"/>
      <c r="AE115" s="2267"/>
      <c r="AF115" s="2267"/>
      <c r="AG115" s="2267"/>
      <c r="AH115" s="4272"/>
      <c r="AI115" s="2267"/>
      <c r="AJ115" s="2267"/>
      <c r="AK115" s="2267"/>
      <c r="AL115" s="2267"/>
      <c r="AM115" s="2267"/>
      <c r="AN115" s="2267"/>
      <c r="AO115" s="2267"/>
      <c r="AP115" s="2267"/>
      <c r="AQ115" s="2267"/>
      <c r="AR115" s="2267"/>
      <c r="AS115" s="2267"/>
      <c r="AT115" s="2267"/>
      <c r="AU115" s="2267"/>
      <c r="AV115" s="2267"/>
      <c r="AW115" s="2267"/>
      <c r="AX115" s="2267"/>
      <c r="AY115" s="2267"/>
      <c r="AZ115" s="2267"/>
      <c r="BA115" s="2267"/>
      <c r="BB115" s="2267"/>
      <c r="BC115" s="2267"/>
      <c r="BD115" s="2267"/>
      <c r="BE115" s="2267"/>
      <c r="BF115" s="2267"/>
      <c r="BG115" s="2267"/>
      <c r="BH115" s="2267"/>
      <c r="BI115" s="2267"/>
      <c r="BJ115" s="2267"/>
      <c r="BK115" s="2267"/>
      <c r="BL115" s="2267"/>
      <c r="BM115" s="4278"/>
      <c r="BN115" s="2267"/>
      <c r="BO115" s="2267"/>
      <c r="BP115" s="2267"/>
      <c r="BQ115" s="4286"/>
      <c r="BR115" s="4286"/>
      <c r="BS115" s="4286"/>
      <c r="BT115" s="4286"/>
      <c r="BU115" s="2267"/>
    </row>
    <row r="116" spans="1:73" s="3" customFormat="1" ht="73.5" customHeight="1" x14ac:dyDescent="0.25">
      <c r="A116" s="1473"/>
      <c r="B116" s="1443"/>
      <c r="C116" s="1452"/>
      <c r="D116" s="1443"/>
      <c r="E116" s="1622"/>
      <c r="F116" s="1623"/>
      <c r="G116" s="4313"/>
      <c r="H116" s="4323"/>
      <c r="I116" s="4313"/>
      <c r="J116" s="4323"/>
      <c r="K116" s="3171"/>
      <c r="L116" s="4329"/>
      <c r="M116" s="3171"/>
      <c r="N116" s="4329"/>
      <c r="O116" s="4326"/>
      <c r="P116" s="4331"/>
      <c r="Q116" s="3385"/>
      <c r="R116" s="2476"/>
      <c r="S116" s="2412"/>
      <c r="T116" s="4311"/>
      <c r="U116" s="2476"/>
      <c r="V116" s="2699"/>
      <c r="W116" s="1447" t="s">
        <v>2212</v>
      </c>
      <c r="X116" s="1584">
        <v>10000000</v>
      </c>
      <c r="Y116" s="1638">
        <v>10000000</v>
      </c>
      <c r="Z116" s="1605">
        <v>8000000</v>
      </c>
      <c r="AA116" s="1583" t="s">
        <v>2209</v>
      </c>
      <c r="AB116" s="1621">
        <v>61</v>
      </c>
      <c r="AC116" s="1441" t="s">
        <v>1987</v>
      </c>
      <c r="AD116" s="2267"/>
      <c r="AE116" s="2267"/>
      <c r="AF116" s="2267"/>
      <c r="AG116" s="2267"/>
      <c r="AH116" s="4272"/>
      <c r="AI116" s="2267"/>
      <c r="AJ116" s="2267"/>
      <c r="AK116" s="2267"/>
      <c r="AL116" s="2267"/>
      <c r="AM116" s="2267"/>
      <c r="AN116" s="2267"/>
      <c r="AO116" s="2267"/>
      <c r="AP116" s="2267"/>
      <c r="AQ116" s="2267"/>
      <c r="AR116" s="2267"/>
      <c r="AS116" s="2267"/>
      <c r="AT116" s="2267"/>
      <c r="AU116" s="2267"/>
      <c r="AV116" s="2267"/>
      <c r="AW116" s="2267"/>
      <c r="AX116" s="2267"/>
      <c r="AY116" s="2267"/>
      <c r="AZ116" s="2267"/>
      <c r="BA116" s="2267"/>
      <c r="BB116" s="2267"/>
      <c r="BC116" s="2267"/>
      <c r="BD116" s="2267"/>
      <c r="BE116" s="2267"/>
      <c r="BF116" s="2267"/>
      <c r="BG116" s="2267"/>
      <c r="BH116" s="2267"/>
      <c r="BI116" s="2267"/>
      <c r="BJ116" s="2267"/>
      <c r="BK116" s="2267"/>
      <c r="BL116" s="2267"/>
      <c r="BM116" s="4278"/>
      <c r="BN116" s="2267"/>
      <c r="BO116" s="2267"/>
      <c r="BP116" s="2267"/>
      <c r="BQ116" s="4286"/>
      <c r="BR116" s="4286"/>
      <c r="BS116" s="4286"/>
      <c r="BT116" s="4286"/>
      <c r="BU116" s="2267"/>
    </row>
    <row r="117" spans="1:73" s="3" customFormat="1" ht="48.75" customHeight="1" x14ac:dyDescent="0.25">
      <c r="A117" s="1473"/>
      <c r="B117" s="1443"/>
      <c r="C117" s="1452"/>
      <c r="D117" s="1443"/>
      <c r="E117" s="1622"/>
      <c r="F117" s="1623"/>
      <c r="G117" s="4313" t="s">
        <v>74</v>
      </c>
      <c r="H117" s="4322" t="s">
        <v>2213</v>
      </c>
      <c r="I117" s="4313">
        <v>1905015</v>
      </c>
      <c r="J117" s="4322" t="s">
        <v>791</v>
      </c>
      <c r="K117" s="3169" t="s">
        <v>74</v>
      </c>
      <c r="L117" s="4194" t="s">
        <v>2214</v>
      </c>
      <c r="M117" s="3169">
        <v>190501500</v>
      </c>
      <c r="N117" s="4194" t="s">
        <v>2199</v>
      </c>
      <c r="O117" s="4325">
        <v>4</v>
      </c>
      <c r="P117" s="4330">
        <v>1</v>
      </c>
      <c r="Q117" s="3385"/>
      <c r="R117" s="2476"/>
      <c r="S117" s="2410">
        <f>SUM(X117:X118)/T107</f>
        <v>0.1</v>
      </c>
      <c r="T117" s="4311"/>
      <c r="U117" s="2476"/>
      <c r="V117" s="2699"/>
      <c r="W117" s="1447" t="s">
        <v>2215</v>
      </c>
      <c r="X117" s="1632">
        <v>10000000</v>
      </c>
      <c r="Y117" s="1632"/>
      <c r="Z117" s="1633"/>
      <c r="AA117" s="1583" t="s">
        <v>2216</v>
      </c>
      <c r="AB117" s="1621">
        <v>61</v>
      </c>
      <c r="AC117" s="1441" t="s">
        <v>1987</v>
      </c>
      <c r="AD117" s="2267"/>
      <c r="AE117" s="2267"/>
      <c r="AF117" s="2267"/>
      <c r="AG117" s="2267"/>
      <c r="AH117" s="4272"/>
      <c r="AI117" s="2267"/>
      <c r="AJ117" s="2267"/>
      <c r="AK117" s="2267"/>
      <c r="AL117" s="2267"/>
      <c r="AM117" s="2267"/>
      <c r="AN117" s="2267"/>
      <c r="AO117" s="2267"/>
      <c r="AP117" s="2267"/>
      <c r="AQ117" s="2267"/>
      <c r="AR117" s="2267"/>
      <c r="AS117" s="2267"/>
      <c r="AT117" s="2267"/>
      <c r="AU117" s="2267"/>
      <c r="AV117" s="2267"/>
      <c r="AW117" s="2267"/>
      <c r="AX117" s="2267"/>
      <c r="AY117" s="2267"/>
      <c r="AZ117" s="2267"/>
      <c r="BA117" s="2267"/>
      <c r="BB117" s="2267"/>
      <c r="BC117" s="2267"/>
      <c r="BD117" s="2267"/>
      <c r="BE117" s="2267"/>
      <c r="BF117" s="2267"/>
      <c r="BG117" s="2267"/>
      <c r="BH117" s="2267"/>
      <c r="BI117" s="2267"/>
      <c r="BJ117" s="2267"/>
      <c r="BK117" s="2267"/>
      <c r="BL117" s="2267"/>
      <c r="BM117" s="4278"/>
      <c r="BN117" s="2267"/>
      <c r="BO117" s="2267"/>
      <c r="BP117" s="2267"/>
      <c r="BQ117" s="4286"/>
      <c r="BR117" s="4286"/>
      <c r="BS117" s="4286"/>
      <c r="BT117" s="4286"/>
      <c r="BU117" s="2267"/>
    </row>
    <row r="118" spans="1:73" s="3" customFormat="1" ht="48.75" customHeight="1" x14ac:dyDescent="0.25">
      <c r="A118" s="1473"/>
      <c r="B118" s="1443"/>
      <c r="C118" s="1452"/>
      <c r="D118" s="1443"/>
      <c r="E118" s="1622"/>
      <c r="F118" s="1623"/>
      <c r="G118" s="4313"/>
      <c r="H118" s="4323"/>
      <c r="I118" s="4313"/>
      <c r="J118" s="4323"/>
      <c r="K118" s="3171"/>
      <c r="L118" s="4324"/>
      <c r="M118" s="3171"/>
      <c r="N118" s="4324"/>
      <c r="O118" s="4326"/>
      <c r="P118" s="4331"/>
      <c r="Q118" s="3385"/>
      <c r="R118" s="2476"/>
      <c r="S118" s="2412"/>
      <c r="T118" s="4311"/>
      <c r="U118" s="2476"/>
      <c r="V118" s="2699"/>
      <c r="W118" s="1447" t="s">
        <v>2217</v>
      </c>
      <c r="X118" s="1632">
        <v>10000000</v>
      </c>
      <c r="Y118" s="1632"/>
      <c r="Z118" s="1633"/>
      <c r="AA118" s="1583" t="s">
        <v>2216</v>
      </c>
      <c r="AB118" s="1621">
        <v>61</v>
      </c>
      <c r="AC118" s="1441" t="s">
        <v>1987</v>
      </c>
      <c r="AD118" s="2267"/>
      <c r="AE118" s="2267"/>
      <c r="AF118" s="2267"/>
      <c r="AG118" s="2267"/>
      <c r="AH118" s="4272"/>
      <c r="AI118" s="2267"/>
      <c r="AJ118" s="2267"/>
      <c r="AK118" s="2267"/>
      <c r="AL118" s="2267"/>
      <c r="AM118" s="2267"/>
      <c r="AN118" s="2267"/>
      <c r="AO118" s="2267"/>
      <c r="AP118" s="2267"/>
      <c r="AQ118" s="2267"/>
      <c r="AR118" s="2267"/>
      <c r="AS118" s="2267"/>
      <c r="AT118" s="2267"/>
      <c r="AU118" s="2267"/>
      <c r="AV118" s="2267"/>
      <c r="AW118" s="2267"/>
      <c r="AX118" s="2267"/>
      <c r="AY118" s="2267"/>
      <c r="AZ118" s="2267"/>
      <c r="BA118" s="2267"/>
      <c r="BB118" s="2267"/>
      <c r="BC118" s="2267"/>
      <c r="BD118" s="2267"/>
      <c r="BE118" s="2267"/>
      <c r="BF118" s="2267"/>
      <c r="BG118" s="2267"/>
      <c r="BH118" s="2267"/>
      <c r="BI118" s="2267"/>
      <c r="BJ118" s="2267"/>
      <c r="BK118" s="2267"/>
      <c r="BL118" s="2267"/>
      <c r="BM118" s="4278"/>
      <c r="BN118" s="2267"/>
      <c r="BO118" s="2267"/>
      <c r="BP118" s="2267"/>
      <c r="BQ118" s="4286"/>
      <c r="BR118" s="4286"/>
      <c r="BS118" s="4286"/>
      <c r="BT118" s="4286"/>
      <c r="BU118" s="2267"/>
    </row>
    <row r="119" spans="1:73" s="3" customFormat="1" ht="110.25" customHeight="1" x14ac:dyDescent="0.25">
      <c r="A119" s="1473"/>
      <c r="B119" s="1443"/>
      <c r="C119" s="1452"/>
      <c r="D119" s="1443"/>
      <c r="E119" s="1622"/>
      <c r="F119" s="1623"/>
      <c r="G119" s="4313" t="s">
        <v>74</v>
      </c>
      <c r="H119" s="4322" t="s">
        <v>2218</v>
      </c>
      <c r="I119" s="4313">
        <v>1905024</v>
      </c>
      <c r="J119" s="4322" t="s">
        <v>2205</v>
      </c>
      <c r="K119" s="4265" t="s">
        <v>74</v>
      </c>
      <c r="L119" s="4263" t="s">
        <v>2219</v>
      </c>
      <c r="M119" s="4265">
        <v>190502400</v>
      </c>
      <c r="N119" s="4263" t="s">
        <v>2207</v>
      </c>
      <c r="O119" s="4325">
        <v>12</v>
      </c>
      <c r="P119" s="4330">
        <v>4</v>
      </c>
      <c r="Q119" s="3385"/>
      <c r="R119" s="2476"/>
      <c r="S119" s="2410">
        <f>SUM(X119:X121)/T107</f>
        <v>0.14000000000000001</v>
      </c>
      <c r="T119" s="4311"/>
      <c r="U119" s="2476"/>
      <c r="V119" s="2699"/>
      <c r="W119" s="1447" t="s">
        <v>2220</v>
      </c>
      <c r="X119" s="1584">
        <v>10000000</v>
      </c>
      <c r="Y119" s="1638">
        <v>5770000</v>
      </c>
      <c r="Z119" s="1605">
        <v>4327500</v>
      </c>
      <c r="AA119" s="1583" t="s">
        <v>2221</v>
      </c>
      <c r="AB119" s="1621">
        <v>61</v>
      </c>
      <c r="AC119" s="1441" t="s">
        <v>1987</v>
      </c>
      <c r="AD119" s="2267"/>
      <c r="AE119" s="2267"/>
      <c r="AF119" s="2267"/>
      <c r="AG119" s="2267"/>
      <c r="AH119" s="4272"/>
      <c r="AI119" s="2267"/>
      <c r="AJ119" s="2267"/>
      <c r="AK119" s="2267"/>
      <c r="AL119" s="2267"/>
      <c r="AM119" s="2267"/>
      <c r="AN119" s="2267"/>
      <c r="AO119" s="2267"/>
      <c r="AP119" s="2267"/>
      <c r="AQ119" s="2267"/>
      <c r="AR119" s="2267"/>
      <c r="AS119" s="2267"/>
      <c r="AT119" s="2267"/>
      <c r="AU119" s="2267"/>
      <c r="AV119" s="2267"/>
      <c r="AW119" s="2267"/>
      <c r="AX119" s="2267"/>
      <c r="AY119" s="2267"/>
      <c r="AZ119" s="2267"/>
      <c r="BA119" s="2267"/>
      <c r="BB119" s="2267"/>
      <c r="BC119" s="2267"/>
      <c r="BD119" s="2267"/>
      <c r="BE119" s="2267"/>
      <c r="BF119" s="2267"/>
      <c r="BG119" s="2267"/>
      <c r="BH119" s="2267"/>
      <c r="BI119" s="2267"/>
      <c r="BJ119" s="2267"/>
      <c r="BK119" s="2267"/>
      <c r="BL119" s="2267"/>
      <c r="BM119" s="4278"/>
      <c r="BN119" s="2267"/>
      <c r="BO119" s="2267"/>
      <c r="BP119" s="2267"/>
      <c r="BQ119" s="4286"/>
      <c r="BR119" s="4286"/>
      <c r="BS119" s="4286"/>
      <c r="BT119" s="4286"/>
      <c r="BU119" s="2267"/>
    </row>
    <row r="120" spans="1:73" s="3" customFormat="1" ht="78" customHeight="1" x14ac:dyDescent="0.25">
      <c r="A120" s="1473"/>
      <c r="B120" s="1443"/>
      <c r="C120" s="1452"/>
      <c r="D120" s="1443"/>
      <c r="E120" s="1622"/>
      <c r="F120" s="1623"/>
      <c r="G120" s="4313"/>
      <c r="H120" s="4328"/>
      <c r="I120" s="4313"/>
      <c r="J120" s="4328"/>
      <c r="K120" s="4266"/>
      <c r="L120" s="4264"/>
      <c r="M120" s="4266"/>
      <c r="N120" s="4264"/>
      <c r="O120" s="4332"/>
      <c r="P120" s="4333"/>
      <c r="Q120" s="3385"/>
      <c r="R120" s="2476"/>
      <c r="S120" s="2411"/>
      <c r="T120" s="4311"/>
      <c r="U120" s="2476"/>
      <c r="V120" s="2699"/>
      <c r="W120" s="1447" t="s">
        <v>2222</v>
      </c>
      <c r="X120" s="1584">
        <v>10000000</v>
      </c>
      <c r="Y120" s="1638">
        <v>5770000</v>
      </c>
      <c r="Z120" s="1605">
        <v>4327500</v>
      </c>
      <c r="AA120" s="1583" t="s">
        <v>2221</v>
      </c>
      <c r="AB120" s="1621">
        <v>61</v>
      </c>
      <c r="AC120" s="1441" t="s">
        <v>1987</v>
      </c>
      <c r="AD120" s="2267"/>
      <c r="AE120" s="2267"/>
      <c r="AF120" s="2267"/>
      <c r="AG120" s="2267"/>
      <c r="AH120" s="4272"/>
      <c r="AI120" s="2267"/>
      <c r="AJ120" s="2267"/>
      <c r="AK120" s="2267"/>
      <c r="AL120" s="2267"/>
      <c r="AM120" s="2267"/>
      <c r="AN120" s="2267"/>
      <c r="AO120" s="2267"/>
      <c r="AP120" s="2267"/>
      <c r="AQ120" s="2267"/>
      <c r="AR120" s="2267"/>
      <c r="AS120" s="2267"/>
      <c r="AT120" s="2267"/>
      <c r="AU120" s="2267"/>
      <c r="AV120" s="2267"/>
      <c r="AW120" s="2267"/>
      <c r="AX120" s="2267"/>
      <c r="AY120" s="2267"/>
      <c r="AZ120" s="2267"/>
      <c r="BA120" s="2267"/>
      <c r="BB120" s="2267"/>
      <c r="BC120" s="2267"/>
      <c r="BD120" s="2267"/>
      <c r="BE120" s="2267"/>
      <c r="BF120" s="2267"/>
      <c r="BG120" s="2267"/>
      <c r="BH120" s="2267"/>
      <c r="BI120" s="2267"/>
      <c r="BJ120" s="2267"/>
      <c r="BK120" s="2267"/>
      <c r="BL120" s="2267"/>
      <c r="BM120" s="4278"/>
      <c r="BN120" s="2267"/>
      <c r="BO120" s="2267"/>
      <c r="BP120" s="2267"/>
      <c r="BQ120" s="4286"/>
      <c r="BR120" s="4286"/>
      <c r="BS120" s="4286"/>
      <c r="BT120" s="4286"/>
      <c r="BU120" s="2267"/>
    </row>
    <row r="121" spans="1:73" s="3" customFormat="1" ht="75" customHeight="1" x14ac:dyDescent="0.25">
      <c r="A121" s="1473"/>
      <c r="B121" s="1443"/>
      <c r="C121" s="1452"/>
      <c r="D121" s="1443"/>
      <c r="E121" s="1622"/>
      <c r="F121" s="1623"/>
      <c r="G121" s="4313"/>
      <c r="H121" s="4323"/>
      <c r="I121" s="4313"/>
      <c r="J121" s="4323"/>
      <c r="K121" s="4334"/>
      <c r="L121" s="4329"/>
      <c r="M121" s="4334"/>
      <c r="N121" s="4329"/>
      <c r="O121" s="4326"/>
      <c r="P121" s="4331"/>
      <c r="Q121" s="3385"/>
      <c r="R121" s="2476"/>
      <c r="S121" s="2412"/>
      <c r="T121" s="4311"/>
      <c r="U121" s="2476"/>
      <c r="V121" s="2699"/>
      <c r="W121" s="1447" t="s">
        <v>2223</v>
      </c>
      <c r="X121" s="1584">
        <v>8000000</v>
      </c>
      <c r="Y121" s="1584"/>
      <c r="Z121" s="1605"/>
      <c r="AA121" s="1583" t="s">
        <v>2221</v>
      </c>
      <c r="AB121" s="1621">
        <v>61</v>
      </c>
      <c r="AC121" s="1441" t="s">
        <v>1987</v>
      </c>
      <c r="AD121" s="2267"/>
      <c r="AE121" s="2267"/>
      <c r="AF121" s="2267"/>
      <c r="AG121" s="2267"/>
      <c r="AH121" s="4272"/>
      <c r="AI121" s="2267"/>
      <c r="AJ121" s="2267"/>
      <c r="AK121" s="2267"/>
      <c r="AL121" s="2267"/>
      <c r="AM121" s="2267"/>
      <c r="AN121" s="2267"/>
      <c r="AO121" s="2267"/>
      <c r="AP121" s="2267"/>
      <c r="AQ121" s="2267"/>
      <c r="AR121" s="2267"/>
      <c r="AS121" s="2267"/>
      <c r="AT121" s="2267"/>
      <c r="AU121" s="2267"/>
      <c r="AV121" s="2267"/>
      <c r="AW121" s="2267"/>
      <c r="AX121" s="2267"/>
      <c r="AY121" s="2267"/>
      <c r="AZ121" s="2267"/>
      <c r="BA121" s="2267"/>
      <c r="BB121" s="2267"/>
      <c r="BC121" s="2267"/>
      <c r="BD121" s="2267"/>
      <c r="BE121" s="2267"/>
      <c r="BF121" s="2267"/>
      <c r="BG121" s="2267"/>
      <c r="BH121" s="2267"/>
      <c r="BI121" s="2267"/>
      <c r="BJ121" s="2267"/>
      <c r="BK121" s="2267"/>
      <c r="BL121" s="2267"/>
      <c r="BM121" s="4278"/>
      <c r="BN121" s="2267"/>
      <c r="BO121" s="2267"/>
      <c r="BP121" s="2267"/>
      <c r="BQ121" s="4286"/>
      <c r="BR121" s="4286"/>
      <c r="BS121" s="4286"/>
      <c r="BT121" s="4286"/>
      <c r="BU121" s="2267"/>
    </row>
    <row r="122" spans="1:73" s="3" customFormat="1" ht="55.5" customHeight="1" x14ac:dyDescent="0.25">
      <c r="A122" s="1473"/>
      <c r="B122" s="1443"/>
      <c r="C122" s="1452"/>
      <c r="D122" s="1443"/>
      <c r="E122" s="1622"/>
      <c r="F122" s="1623"/>
      <c r="G122" s="4313" t="s">
        <v>74</v>
      </c>
      <c r="H122" s="4322" t="s">
        <v>2224</v>
      </c>
      <c r="I122" s="4313">
        <v>1905024</v>
      </c>
      <c r="J122" s="4322" t="s">
        <v>2205</v>
      </c>
      <c r="K122" s="4265" t="s">
        <v>74</v>
      </c>
      <c r="L122" s="4263" t="s">
        <v>1044</v>
      </c>
      <c r="M122" s="4265">
        <v>190502401</v>
      </c>
      <c r="N122" s="4263" t="s">
        <v>2225</v>
      </c>
      <c r="O122" s="4325">
        <v>4</v>
      </c>
      <c r="P122" s="4330">
        <v>4</v>
      </c>
      <c r="Q122" s="3385"/>
      <c r="R122" s="2476"/>
      <c r="S122" s="2410">
        <f>SUM(X122:X123)/T107</f>
        <v>0.14000000000000001</v>
      </c>
      <c r="T122" s="4311"/>
      <c r="U122" s="2476"/>
      <c r="V122" s="2699"/>
      <c r="W122" s="1447" t="s">
        <v>2226</v>
      </c>
      <c r="X122" s="1584">
        <v>13000000</v>
      </c>
      <c r="Y122" s="1638">
        <v>6595000</v>
      </c>
      <c r="Z122" s="1605">
        <v>2855000</v>
      </c>
      <c r="AA122" s="1583" t="s">
        <v>2227</v>
      </c>
      <c r="AB122" s="1621">
        <v>61</v>
      </c>
      <c r="AC122" s="1441" t="s">
        <v>1987</v>
      </c>
      <c r="AD122" s="2267"/>
      <c r="AE122" s="2267"/>
      <c r="AF122" s="2267"/>
      <c r="AG122" s="2267"/>
      <c r="AH122" s="4272"/>
      <c r="AI122" s="2267"/>
      <c r="AJ122" s="2267"/>
      <c r="AK122" s="2267"/>
      <c r="AL122" s="2267"/>
      <c r="AM122" s="2267"/>
      <c r="AN122" s="2267"/>
      <c r="AO122" s="2267"/>
      <c r="AP122" s="2267"/>
      <c r="AQ122" s="2267"/>
      <c r="AR122" s="2267"/>
      <c r="AS122" s="2267"/>
      <c r="AT122" s="2267"/>
      <c r="AU122" s="2267"/>
      <c r="AV122" s="2267"/>
      <c r="AW122" s="2267"/>
      <c r="AX122" s="2267"/>
      <c r="AY122" s="2267"/>
      <c r="AZ122" s="2267"/>
      <c r="BA122" s="2267"/>
      <c r="BB122" s="2267"/>
      <c r="BC122" s="2267"/>
      <c r="BD122" s="2267"/>
      <c r="BE122" s="2267"/>
      <c r="BF122" s="2267"/>
      <c r="BG122" s="2267"/>
      <c r="BH122" s="2267"/>
      <c r="BI122" s="2267"/>
      <c r="BJ122" s="2267"/>
      <c r="BK122" s="2267"/>
      <c r="BL122" s="2267"/>
      <c r="BM122" s="4278"/>
      <c r="BN122" s="2267"/>
      <c r="BO122" s="2267"/>
      <c r="BP122" s="2267"/>
      <c r="BQ122" s="4286"/>
      <c r="BR122" s="4286"/>
      <c r="BS122" s="4286"/>
      <c r="BT122" s="4286"/>
      <c r="BU122" s="2267"/>
    </row>
    <row r="123" spans="1:73" s="3" customFormat="1" ht="55.5" customHeight="1" x14ac:dyDescent="0.25">
      <c r="A123" s="1473"/>
      <c r="B123" s="1443"/>
      <c r="C123" s="1452"/>
      <c r="D123" s="1443"/>
      <c r="E123" s="1622"/>
      <c r="F123" s="1623"/>
      <c r="G123" s="4313"/>
      <c r="H123" s="4323"/>
      <c r="I123" s="4313"/>
      <c r="J123" s="4323"/>
      <c r="K123" s="4334"/>
      <c r="L123" s="4329"/>
      <c r="M123" s="4334"/>
      <c r="N123" s="4329"/>
      <c r="O123" s="4326"/>
      <c r="P123" s="4335"/>
      <c r="Q123" s="3385"/>
      <c r="R123" s="2476"/>
      <c r="S123" s="2412"/>
      <c r="T123" s="4311"/>
      <c r="U123" s="2476"/>
      <c r="V123" s="2700"/>
      <c r="W123" s="1447" t="s">
        <v>2228</v>
      </c>
      <c r="X123" s="1632">
        <v>15000000</v>
      </c>
      <c r="Y123" s="1639">
        <v>12365000</v>
      </c>
      <c r="Z123" s="1633">
        <v>2710000</v>
      </c>
      <c r="AA123" s="1583" t="s">
        <v>2227</v>
      </c>
      <c r="AB123" s="1621">
        <v>61</v>
      </c>
      <c r="AC123" s="1441" t="s">
        <v>1987</v>
      </c>
      <c r="AD123" s="2439"/>
      <c r="AE123" s="2439"/>
      <c r="AF123" s="2439"/>
      <c r="AG123" s="2439"/>
      <c r="AH123" s="3808"/>
      <c r="AI123" s="2439"/>
      <c r="AJ123" s="2439"/>
      <c r="AK123" s="2439"/>
      <c r="AL123" s="2439"/>
      <c r="AM123" s="2439"/>
      <c r="AN123" s="2439"/>
      <c r="AO123" s="2439"/>
      <c r="AP123" s="2439"/>
      <c r="AQ123" s="2439"/>
      <c r="AR123" s="2439"/>
      <c r="AS123" s="2439"/>
      <c r="AT123" s="2439"/>
      <c r="AU123" s="2439"/>
      <c r="AV123" s="2439"/>
      <c r="AW123" s="2439"/>
      <c r="AX123" s="2439"/>
      <c r="AY123" s="2439"/>
      <c r="AZ123" s="2439"/>
      <c r="BA123" s="2439"/>
      <c r="BB123" s="2439"/>
      <c r="BC123" s="2439"/>
      <c r="BD123" s="2439"/>
      <c r="BE123" s="2439"/>
      <c r="BF123" s="2439"/>
      <c r="BG123" s="2439"/>
      <c r="BH123" s="2439"/>
      <c r="BI123" s="2439"/>
      <c r="BJ123" s="2439"/>
      <c r="BK123" s="2439"/>
      <c r="BL123" s="2439"/>
      <c r="BM123" s="4279"/>
      <c r="BN123" s="2439"/>
      <c r="BO123" s="2439"/>
      <c r="BP123" s="2439"/>
      <c r="BQ123" s="4327"/>
      <c r="BR123" s="4327"/>
      <c r="BS123" s="4327"/>
      <c r="BT123" s="4327"/>
      <c r="BU123" s="2439"/>
    </row>
    <row r="124" spans="1:73" s="3" customFormat="1" ht="60" customHeight="1" x14ac:dyDescent="0.25">
      <c r="A124" s="1473"/>
      <c r="B124" s="1443"/>
      <c r="C124" s="1452"/>
      <c r="D124" s="1443"/>
      <c r="E124" s="1622"/>
      <c r="F124" s="1623"/>
      <c r="G124" s="4313">
        <v>1905021</v>
      </c>
      <c r="H124" s="4322" t="s">
        <v>1083</v>
      </c>
      <c r="I124" s="4313">
        <v>1905021</v>
      </c>
      <c r="J124" s="4322" t="s">
        <v>1083</v>
      </c>
      <c r="K124" s="3169">
        <v>190502100</v>
      </c>
      <c r="L124" s="3104" t="s">
        <v>1084</v>
      </c>
      <c r="M124" s="3169">
        <v>190502100</v>
      </c>
      <c r="N124" s="3104" t="s">
        <v>1084</v>
      </c>
      <c r="O124" s="4340">
        <v>12</v>
      </c>
      <c r="P124" s="4342">
        <v>12</v>
      </c>
      <c r="Q124" s="3385" t="s">
        <v>2229</v>
      </c>
      <c r="R124" s="2476" t="s">
        <v>2230</v>
      </c>
      <c r="S124" s="4339">
        <f>SUM(X124:X135)/T124</f>
        <v>0.65217391304347827</v>
      </c>
      <c r="T124" s="4311">
        <f>SUM(X124:X145)</f>
        <v>161000000</v>
      </c>
      <c r="U124" s="2476" t="s">
        <v>2231</v>
      </c>
      <c r="V124" s="2295" t="s">
        <v>2232</v>
      </c>
      <c r="W124" s="1447" t="s">
        <v>2233</v>
      </c>
      <c r="X124" s="1584">
        <v>5000000</v>
      </c>
      <c r="Y124" s="1638">
        <v>2885000</v>
      </c>
      <c r="Z124" s="1605">
        <v>1445000</v>
      </c>
      <c r="AA124" s="1583" t="s">
        <v>2234</v>
      </c>
      <c r="AB124" s="1621">
        <v>61</v>
      </c>
      <c r="AC124" s="1441" t="s">
        <v>1987</v>
      </c>
      <c r="AD124" s="4336">
        <v>289394</v>
      </c>
      <c r="AE124" s="4336"/>
      <c r="AF124" s="4336">
        <v>279112</v>
      </c>
      <c r="AG124" s="4336"/>
      <c r="AH124" s="4337">
        <v>63164</v>
      </c>
      <c r="AI124" s="4336"/>
      <c r="AJ124" s="4336">
        <v>45607</v>
      </c>
      <c r="AK124" s="4336"/>
      <c r="AL124" s="4336">
        <v>365607</v>
      </c>
      <c r="AM124" s="4336"/>
      <c r="AN124" s="4336">
        <v>75612</v>
      </c>
      <c r="AO124" s="4336"/>
      <c r="AP124" s="4336">
        <v>2145</v>
      </c>
      <c r="AQ124" s="4336"/>
      <c r="AR124" s="4336">
        <v>12718</v>
      </c>
      <c r="AS124" s="4336"/>
      <c r="AT124" s="4336">
        <v>26</v>
      </c>
      <c r="AU124" s="4336"/>
      <c r="AV124" s="4336">
        <v>37</v>
      </c>
      <c r="AW124" s="4336"/>
      <c r="AX124" s="4336">
        <v>0</v>
      </c>
      <c r="AY124" s="4336"/>
      <c r="AZ124" s="4336">
        <v>0</v>
      </c>
      <c r="BA124" s="4336"/>
      <c r="BB124" s="4336">
        <v>78</v>
      </c>
      <c r="BC124" s="4336"/>
      <c r="BD124" s="4336">
        <v>16897</v>
      </c>
      <c r="BE124" s="4336"/>
      <c r="BF124" s="4336">
        <v>852</v>
      </c>
      <c r="BG124" s="4336"/>
      <c r="BH124" s="4336">
        <v>568506</v>
      </c>
      <c r="BI124" s="4336"/>
      <c r="BJ124" s="4336">
        <v>4</v>
      </c>
      <c r="BK124" s="4355">
        <f>SUM(Y124:Y145)</f>
        <v>70660000</v>
      </c>
      <c r="BL124" s="4355">
        <f>SUM(Z124:Z145)</f>
        <v>41455000</v>
      </c>
      <c r="BM124" s="4356">
        <f>BL124/BK124</f>
        <v>0.58668270591565241</v>
      </c>
      <c r="BN124" s="4336">
        <v>61</v>
      </c>
      <c r="BO124" s="4336" t="s">
        <v>2056</v>
      </c>
      <c r="BP124" s="4336" t="s">
        <v>2170</v>
      </c>
      <c r="BQ124" s="4353">
        <v>44197</v>
      </c>
      <c r="BR124" s="4353">
        <v>44244</v>
      </c>
      <c r="BS124" s="4353">
        <v>44561</v>
      </c>
      <c r="BT124" s="4353">
        <v>44561</v>
      </c>
      <c r="BU124" s="2438" t="s">
        <v>1991</v>
      </c>
    </row>
    <row r="125" spans="1:73" s="3" customFormat="1" ht="60" customHeight="1" x14ac:dyDescent="0.25">
      <c r="A125" s="1473"/>
      <c r="B125" s="1443"/>
      <c r="C125" s="1452"/>
      <c r="D125" s="1443"/>
      <c r="E125" s="1622"/>
      <c r="F125" s="1623"/>
      <c r="G125" s="4313"/>
      <c r="H125" s="4328"/>
      <c r="I125" s="4313"/>
      <c r="J125" s="4328"/>
      <c r="K125" s="3170"/>
      <c r="L125" s="3105"/>
      <c r="M125" s="3170"/>
      <c r="N125" s="3105"/>
      <c r="O125" s="4341"/>
      <c r="P125" s="4343"/>
      <c r="Q125" s="3385"/>
      <c r="R125" s="2476"/>
      <c r="S125" s="4339"/>
      <c r="T125" s="4311"/>
      <c r="U125" s="2476"/>
      <c r="V125" s="2699"/>
      <c r="W125" s="1447" t="s">
        <v>2235</v>
      </c>
      <c r="X125" s="1584">
        <v>5000000</v>
      </c>
      <c r="Y125" s="1638">
        <v>1040000</v>
      </c>
      <c r="Z125" s="1605">
        <v>520000</v>
      </c>
      <c r="AA125" s="1583" t="s">
        <v>2234</v>
      </c>
      <c r="AB125" s="1621">
        <v>61</v>
      </c>
      <c r="AC125" s="1441" t="s">
        <v>1987</v>
      </c>
      <c r="AD125" s="4315"/>
      <c r="AE125" s="4315"/>
      <c r="AF125" s="4315"/>
      <c r="AG125" s="4315"/>
      <c r="AH125" s="4338"/>
      <c r="AI125" s="4315"/>
      <c r="AJ125" s="4315"/>
      <c r="AK125" s="4315"/>
      <c r="AL125" s="4315"/>
      <c r="AM125" s="4315"/>
      <c r="AN125" s="4315"/>
      <c r="AO125" s="4315"/>
      <c r="AP125" s="4315"/>
      <c r="AQ125" s="4315"/>
      <c r="AR125" s="4315"/>
      <c r="AS125" s="4315"/>
      <c r="AT125" s="4315"/>
      <c r="AU125" s="4315"/>
      <c r="AV125" s="4315"/>
      <c r="AW125" s="4315"/>
      <c r="AX125" s="4315"/>
      <c r="AY125" s="4315"/>
      <c r="AZ125" s="4315"/>
      <c r="BA125" s="4315"/>
      <c r="BB125" s="4315"/>
      <c r="BC125" s="4315"/>
      <c r="BD125" s="4315"/>
      <c r="BE125" s="4315"/>
      <c r="BF125" s="4315"/>
      <c r="BG125" s="4315"/>
      <c r="BH125" s="4315"/>
      <c r="BI125" s="4315"/>
      <c r="BJ125" s="4315"/>
      <c r="BK125" s="4315"/>
      <c r="BL125" s="4315"/>
      <c r="BM125" s="4357"/>
      <c r="BN125" s="4315"/>
      <c r="BO125" s="4315"/>
      <c r="BP125" s="4315"/>
      <c r="BQ125" s="4354"/>
      <c r="BR125" s="4354"/>
      <c r="BS125" s="4354"/>
      <c r="BT125" s="4354"/>
      <c r="BU125" s="2267"/>
    </row>
    <row r="126" spans="1:73" s="3" customFormat="1" ht="57.75" customHeight="1" x14ac:dyDescent="0.25">
      <c r="A126" s="1473"/>
      <c r="B126" s="1443"/>
      <c r="C126" s="1452"/>
      <c r="D126" s="1443"/>
      <c r="E126" s="1622"/>
      <c r="F126" s="1623"/>
      <c r="G126" s="4313"/>
      <c r="H126" s="4328"/>
      <c r="I126" s="4313"/>
      <c r="J126" s="4328"/>
      <c r="K126" s="3170"/>
      <c r="L126" s="3105"/>
      <c r="M126" s="3170"/>
      <c r="N126" s="3105"/>
      <c r="O126" s="4341"/>
      <c r="P126" s="4343"/>
      <c r="Q126" s="3385"/>
      <c r="R126" s="2476"/>
      <c r="S126" s="4339"/>
      <c r="T126" s="4311"/>
      <c r="U126" s="2476"/>
      <c r="V126" s="2699"/>
      <c r="W126" s="1447" t="s">
        <v>2236</v>
      </c>
      <c r="X126" s="1584">
        <v>6000000</v>
      </c>
      <c r="Y126" s="1638"/>
      <c r="Z126" s="1605"/>
      <c r="AA126" s="1583" t="s">
        <v>2234</v>
      </c>
      <c r="AB126" s="1621">
        <v>61</v>
      </c>
      <c r="AC126" s="1441" t="s">
        <v>1987</v>
      </c>
      <c r="AD126" s="4315"/>
      <c r="AE126" s="4315"/>
      <c r="AF126" s="4315"/>
      <c r="AG126" s="4315"/>
      <c r="AH126" s="4338"/>
      <c r="AI126" s="4315"/>
      <c r="AJ126" s="4315"/>
      <c r="AK126" s="4315"/>
      <c r="AL126" s="4315"/>
      <c r="AM126" s="4315"/>
      <c r="AN126" s="4315"/>
      <c r="AO126" s="4315"/>
      <c r="AP126" s="4315"/>
      <c r="AQ126" s="4315"/>
      <c r="AR126" s="4315"/>
      <c r="AS126" s="4315"/>
      <c r="AT126" s="4315"/>
      <c r="AU126" s="4315"/>
      <c r="AV126" s="4315"/>
      <c r="AW126" s="4315"/>
      <c r="AX126" s="4315"/>
      <c r="AY126" s="4315"/>
      <c r="AZ126" s="4315"/>
      <c r="BA126" s="4315"/>
      <c r="BB126" s="4315"/>
      <c r="BC126" s="4315"/>
      <c r="BD126" s="4315"/>
      <c r="BE126" s="4315"/>
      <c r="BF126" s="4315"/>
      <c r="BG126" s="4315"/>
      <c r="BH126" s="4315"/>
      <c r="BI126" s="4315"/>
      <c r="BJ126" s="4315"/>
      <c r="BK126" s="4315"/>
      <c r="BL126" s="4315"/>
      <c r="BM126" s="4357"/>
      <c r="BN126" s="4315"/>
      <c r="BO126" s="4315"/>
      <c r="BP126" s="4315"/>
      <c r="BQ126" s="4354"/>
      <c r="BR126" s="4354"/>
      <c r="BS126" s="4354"/>
      <c r="BT126" s="4354"/>
      <c r="BU126" s="2267"/>
    </row>
    <row r="127" spans="1:73" s="3" customFormat="1" ht="70.5" customHeight="1" x14ac:dyDescent="0.25">
      <c r="A127" s="1473"/>
      <c r="B127" s="1443"/>
      <c r="C127" s="1452"/>
      <c r="D127" s="1443"/>
      <c r="E127" s="1622"/>
      <c r="F127" s="1623"/>
      <c r="G127" s="4313"/>
      <c r="H127" s="4328"/>
      <c r="I127" s="4313"/>
      <c r="J127" s="4328"/>
      <c r="K127" s="3170"/>
      <c r="L127" s="3105"/>
      <c r="M127" s="3170"/>
      <c r="N127" s="3105"/>
      <c r="O127" s="4341"/>
      <c r="P127" s="4343"/>
      <c r="Q127" s="3385"/>
      <c r="R127" s="2476"/>
      <c r="S127" s="4339"/>
      <c r="T127" s="4311"/>
      <c r="U127" s="2476"/>
      <c r="V127" s="2699"/>
      <c r="W127" s="1447" t="s">
        <v>2237</v>
      </c>
      <c r="X127" s="1584">
        <v>6000000</v>
      </c>
      <c r="Y127" s="1638">
        <v>2885000</v>
      </c>
      <c r="Z127" s="1605">
        <v>1500000</v>
      </c>
      <c r="AA127" s="1583" t="s">
        <v>2234</v>
      </c>
      <c r="AB127" s="1621">
        <v>61</v>
      </c>
      <c r="AC127" s="1441" t="s">
        <v>1987</v>
      </c>
      <c r="AD127" s="4315"/>
      <c r="AE127" s="4315"/>
      <c r="AF127" s="4315"/>
      <c r="AG127" s="4315"/>
      <c r="AH127" s="4338"/>
      <c r="AI127" s="4315"/>
      <c r="AJ127" s="4315"/>
      <c r="AK127" s="4315"/>
      <c r="AL127" s="4315"/>
      <c r="AM127" s="4315"/>
      <c r="AN127" s="4315"/>
      <c r="AO127" s="4315"/>
      <c r="AP127" s="4315"/>
      <c r="AQ127" s="4315"/>
      <c r="AR127" s="4315"/>
      <c r="AS127" s="4315"/>
      <c r="AT127" s="4315"/>
      <c r="AU127" s="4315"/>
      <c r="AV127" s="4315"/>
      <c r="AW127" s="4315"/>
      <c r="AX127" s="4315"/>
      <c r="AY127" s="4315"/>
      <c r="AZ127" s="4315"/>
      <c r="BA127" s="4315"/>
      <c r="BB127" s="4315"/>
      <c r="BC127" s="4315"/>
      <c r="BD127" s="4315"/>
      <c r="BE127" s="4315"/>
      <c r="BF127" s="4315"/>
      <c r="BG127" s="4315"/>
      <c r="BH127" s="4315"/>
      <c r="BI127" s="4315"/>
      <c r="BJ127" s="4315"/>
      <c r="BK127" s="4315"/>
      <c r="BL127" s="4315"/>
      <c r="BM127" s="4357"/>
      <c r="BN127" s="4315"/>
      <c r="BO127" s="4315"/>
      <c r="BP127" s="4315"/>
      <c r="BQ127" s="4354"/>
      <c r="BR127" s="4354"/>
      <c r="BS127" s="4354"/>
      <c r="BT127" s="4354"/>
      <c r="BU127" s="2267"/>
    </row>
    <row r="128" spans="1:73" s="3" customFormat="1" ht="60" customHeight="1" x14ac:dyDescent="0.25">
      <c r="A128" s="1473"/>
      <c r="B128" s="1443"/>
      <c r="C128" s="1452"/>
      <c r="D128" s="1443"/>
      <c r="E128" s="1622"/>
      <c r="F128" s="1623"/>
      <c r="G128" s="4313"/>
      <c r="H128" s="4328"/>
      <c r="I128" s="4313"/>
      <c r="J128" s="4328"/>
      <c r="K128" s="3170"/>
      <c r="L128" s="3105"/>
      <c r="M128" s="3170"/>
      <c r="N128" s="3105"/>
      <c r="O128" s="4341"/>
      <c r="P128" s="4343"/>
      <c r="Q128" s="3385"/>
      <c r="R128" s="2476"/>
      <c r="S128" s="4339"/>
      <c r="T128" s="4311"/>
      <c r="U128" s="2476"/>
      <c r="V128" s="2699"/>
      <c r="W128" s="1447" t="s">
        <v>2238</v>
      </c>
      <c r="X128" s="1584">
        <v>6000000</v>
      </c>
      <c r="Y128" s="1638">
        <v>2885000</v>
      </c>
      <c r="Z128" s="1605">
        <v>1500000</v>
      </c>
      <c r="AA128" s="1583" t="s">
        <v>2234</v>
      </c>
      <c r="AB128" s="1621">
        <v>61</v>
      </c>
      <c r="AC128" s="1441" t="s">
        <v>1987</v>
      </c>
      <c r="AD128" s="4315"/>
      <c r="AE128" s="4315"/>
      <c r="AF128" s="4315"/>
      <c r="AG128" s="4315"/>
      <c r="AH128" s="4338"/>
      <c r="AI128" s="4315"/>
      <c r="AJ128" s="4315"/>
      <c r="AK128" s="4315"/>
      <c r="AL128" s="4315"/>
      <c r="AM128" s="4315"/>
      <c r="AN128" s="4315"/>
      <c r="AO128" s="4315"/>
      <c r="AP128" s="4315"/>
      <c r="AQ128" s="4315"/>
      <c r="AR128" s="4315"/>
      <c r="AS128" s="4315"/>
      <c r="AT128" s="4315"/>
      <c r="AU128" s="4315"/>
      <c r="AV128" s="4315"/>
      <c r="AW128" s="4315"/>
      <c r="AX128" s="4315"/>
      <c r="AY128" s="4315"/>
      <c r="AZ128" s="4315"/>
      <c r="BA128" s="4315"/>
      <c r="BB128" s="4315"/>
      <c r="BC128" s="4315"/>
      <c r="BD128" s="4315"/>
      <c r="BE128" s="4315"/>
      <c r="BF128" s="4315"/>
      <c r="BG128" s="4315"/>
      <c r="BH128" s="4315"/>
      <c r="BI128" s="4315"/>
      <c r="BJ128" s="4315"/>
      <c r="BK128" s="4315"/>
      <c r="BL128" s="4315"/>
      <c r="BM128" s="4357"/>
      <c r="BN128" s="4315"/>
      <c r="BO128" s="4315"/>
      <c r="BP128" s="4315"/>
      <c r="BQ128" s="4354"/>
      <c r="BR128" s="4354"/>
      <c r="BS128" s="4354"/>
      <c r="BT128" s="4354"/>
      <c r="BU128" s="2267"/>
    </row>
    <row r="129" spans="1:73" s="3" customFormat="1" ht="60" customHeight="1" x14ac:dyDescent="0.25">
      <c r="A129" s="1473"/>
      <c r="B129" s="1443"/>
      <c r="C129" s="1452"/>
      <c r="D129" s="1443"/>
      <c r="E129" s="1622"/>
      <c r="F129" s="1623"/>
      <c r="G129" s="4313"/>
      <c r="H129" s="4328"/>
      <c r="I129" s="4313"/>
      <c r="J129" s="4328"/>
      <c r="K129" s="3170"/>
      <c r="L129" s="3105"/>
      <c r="M129" s="3170"/>
      <c r="N129" s="3105"/>
      <c r="O129" s="4341"/>
      <c r="P129" s="4343"/>
      <c r="Q129" s="3385"/>
      <c r="R129" s="2476"/>
      <c r="S129" s="4339"/>
      <c r="T129" s="4311"/>
      <c r="U129" s="2476"/>
      <c r="V129" s="2699"/>
      <c r="W129" s="1447" t="s">
        <v>2239</v>
      </c>
      <c r="X129" s="1584">
        <v>7000000</v>
      </c>
      <c r="Y129" s="1638">
        <v>6885000</v>
      </c>
      <c r="Z129" s="1605">
        <v>1860000</v>
      </c>
      <c r="AA129" s="1583" t="s">
        <v>2234</v>
      </c>
      <c r="AB129" s="1621">
        <v>61</v>
      </c>
      <c r="AC129" s="1441" t="s">
        <v>1987</v>
      </c>
      <c r="AD129" s="4315"/>
      <c r="AE129" s="4315"/>
      <c r="AF129" s="4315"/>
      <c r="AG129" s="4315"/>
      <c r="AH129" s="4338"/>
      <c r="AI129" s="4315"/>
      <c r="AJ129" s="4315"/>
      <c r="AK129" s="4315"/>
      <c r="AL129" s="4315"/>
      <c r="AM129" s="4315"/>
      <c r="AN129" s="4315"/>
      <c r="AO129" s="4315"/>
      <c r="AP129" s="4315"/>
      <c r="AQ129" s="4315"/>
      <c r="AR129" s="4315"/>
      <c r="AS129" s="4315"/>
      <c r="AT129" s="4315"/>
      <c r="AU129" s="4315"/>
      <c r="AV129" s="4315"/>
      <c r="AW129" s="4315"/>
      <c r="AX129" s="4315"/>
      <c r="AY129" s="4315"/>
      <c r="AZ129" s="4315"/>
      <c r="BA129" s="4315"/>
      <c r="BB129" s="4315"/>
      <c r="BC129" s="4315"/>
      <c r="BD129" s="4315"/>
      <c r="BE129" s="4315"/>
      <c r="BF129" s="4315"/>
      <c r="BG129" s="4315"/>
      <c r="BH129" s="4315"/>
      <c r="BI129" s="4315"/>
      <c r="BJ129" s="4315"/>
      <c r="BK129" s="4315"/>
      <c r="BL129" s="4315"/>
      <c r="BM129" s="4357"/>
      <c r="BN129" s="4315"/>
      <c r="BO129" s="4315"/>
      <c r="BP129" s="4315"/>
      <c r="BQ129" s="4354"/>
      <c r="BR129" s="4354"/>
      <c r="BS129" s="4354"/>
      <c r="BT129" s="4354"/>
      <c r="BU129" s="2267"/>
    </row>
    <row r="130" spans="1:73" s="3" customFormat="1" ht="51.75" customHeight="1" x14ac:dyDescent="0.25">
      <c r="A130" s="1473"/>
      <c r="B130" s="1443"/>
      <c r="C130" s="1452"/>
      <c r="D130" s="1443"/>
      <c r="E130" s="1622"/>
      <c r="F130" s="1623"/>
      <c r="G130" s="4313"/>
      <c r="H130" s="4328"/>
      <c r="I130" s="4313"/>
      <c r="J130" s="4328"/>
      <c r="K130" s="3170"/>
      <c r="L130" s="3105"/>
      <c r="M130" s="3170"/>
      <c r="N130" s="3105"/>
      <c r="O130" s="4341"/>
      <c r="P130" s="4343"/>
      <c r="Q130" s="3385"/>
      <c r="R130" s="2476"/>
      <c r="S130" s="4339"/>
      <c r="T130" s="4311"/>
      <c r="U130" s="2476"/>
      <c r="V130" s="2699"/>
      <c r="W130" s="1447" t="s">
        <v>2240</v>
      </c>
      <c r="X130" s="1584">
        <v>14000000</v>
      </c>
      <c r="Y130" s="1638">
        <v>5000000</v>
      </c>
      <c r="Z130" s="1605">
        <v>1700000</v>
      </c>
      <c r="AA130" s="1583" t="s">
        <v>2234</v>
      </c>
      <c r="AB130" s="1621">
        <v>61</v>
      </c>
      <c r="AC130" s="1441" t="s">
        <v>1987</v>
      </c>
      <c r="AD130" s="4315"/>
      <c r="AE130" s="4315"/>
      <c r="AF130" s="4315"/>
      <c r="AG130" s="4315"/>
      <c r="AH130" s="4338"/>
      <c r="AI130" s="4315"/>
      <c r="AJ130" s="4315"/>
      <c r="AK130" s="4315"/>
      <c r="AL130" s="4315"/>
      <c r="AM130" s="4315"/>
      <c r="AN130" s="4315"/>
      <c r="AO130" s="4315"/>
      <c r="AP130" s="4315"/>
      <c r="AQ130" s="4315"/>
      <c r="AR130" s="4315"/>
      <c r="AS130" s="4315"/>
      <c r="AT130" s="4315"/>
      <c r="AU130" s="4315"/>
      <c r="AV130" s="4315"/>
      <c r="AW130" s="4315"/>
      <c r="AX130" s="4315"/>
      <c r="AY130" s="4315"/>
      <c r="AZ130" s="4315"/>
      <c r="BA130" s="4315"/>
      <c r="BB130" s="4315"/>
      <c r="BC130" s="4315"/>
      <c r="BD130" s="4315"/>
      <c r="BE130" s="4315"/>
      <c r="BF130" s="4315"/>
      <c r="BG130" s="4315"/>
      <c r="BH130" s="4315"/>
      <c r="BI130" s="4315"/>
      <c r="BJ130" s="4315"/>
      <c r="BK130" s="4315"/>
      <c r="BL130" s="4315"/>
      <c r="BM130" s="4357"/>
      <c r="BN130" s="4315"/>
      <c r="BO130" s="4315"/>
      <c r="BP130" s="4315"/>
      <c r="BQ130" s="4354"/>
      <c r="BR130" s="4354"/>
      <c r="BS130" s="4354"/>
      <c r="BT130" s="4354"/>
      <c r="BU130" s="2267"/>
    </row>
    <row r="131" spans="1:73" s="3" customFormat="1" ht="63" customHeight="1" x14ac:dyDescent="0.25">
      <c r="A131" s="1473"/>
      <c r="B131" s="1443"/>
      <c r="C131" s="1452"/>
      <c r="D131" s="1443"/>
      <c r="E131" s="1622"/>
      <c r="F131" s="1623"/>
      <c r="G131" s="4313"/>
      <c r="H131" s="4328"/>
      <c r="I131" s="4313"/>
      <c r="J131" s="4328"/>
      <c r="K131" s="3170"/>
      <c r="L131" s="3105"/>
      <c r="M131" s="3170"/>
      <c r="N131" s="3105"/>
      <c r="O131" s="4341"/>
      <c r="P131" s="4343"/>
      <c r="Q131" s="3385"/>
      <c r="R131" s="2476"/>
      <c r="S131" s="4339"/>
      <c r="T131" s="4311"/>
      <c r="U131" s="2476"/>
      <c r="V131" s="2699"/>
      <c r="W131" s="1447" t="s">
        <v>2241</v>
      </c>
      <c r="X131" s="1584">
        <v>7000000</v>
      </c>
      <c r="Y131" s="1638">
        <v>1500000</v>
      </c>
      <c r="Z131" s="1605">
        <v>900000</v>
      </c>
      <c r="AA131" s="1583" t="s">
        <v>2234</v>
      </c>
      <c r="AB131" s="1621">
        <v>61</v>
      </c>
      <c r="AC131" s="1441" t="s">
        <v>1987</v>
      </c>
      <c r="AD131" s="4315"/>
      <c r="AE131" s="4315"/>
      <c r="AF131" s="4315"/>
      <c r="AG131" s="4315"/>
      <c r="AH131" s="4338"/>
      <c r="AI131" s="4315"/>
      <c r="AJ131" s="4315"/>
      <c r="AK131" s="4315"/>
      <c r="AL131" s="4315"/>
      <c r="AM131" s="4315"/>
      <c r="AN131" s="4315"/>
      <c r="AO131" s="4315"/>
      <c r="AP131" s="4315"/>
      <c r="AQ131" s="4315"/>
      <c r="AR131" s="4315"/>
      <c r="AS131" s="4315"/>
      <c r="AT131" s="4315"/>
      <c r="AU131" s="4315"/>
      <c r="AV131" s="4315"/>
      <c r="AW131" s="4315"/>
      <c r="AX131" s="4315"/>
      <c r="AY131" s="4315"/>
      <c r="AZ131" s="4315"/>
      <c r="BA131" s="4315"/>
      <c r="BB131" s="4315"/>
      <c r="BC131" s="4315"/>
      <c r="BD131" s="4315"/>
      <c r="BE131" s="4315"/>
      <c r="BF131" s="4315"/>
      <c r="BG131" s="4315"/>
      <c r="BH131" s="4315"/>
      <c r="BI131" s="4315"/>
      <c r="BJ131" s="4315"/>
      <c r="BK131" s="4315"/>
      <c r="BL131" s="4315"/>
      <c r="BM131" s="4357"/>
      <c r="BN131" s="4315"/>
      <c r="BO131" s="4315"/>
      <c r="BP131" s="4315"/>
      <c r="BQ131" s="4354"/>
      <c r="BR131" s="4354"/>
      <c r="BS131" s="4354"/>
      <c r="BT131" s="4354"/>
      <c r="BU131" s="2267"/>
    </row>
    <row r="132" spans="1:73" s="3" customFormat="1" ht="75" customHeight="1" x14ac:dyDescent="0.25">
      <c r="A132" s="1473"/>
      <c r="B132" s="1443"/>
      <c r="C132" s="1452"/>
      <c r="D132" s="1443"/>
      <c r="E132" s="1622"/>
      <c r="F132" s="1623"/>
      <c r="G132" s="4313"/>
      <c r="H132" s="4328"/>
      <c r="I132" s="4313"/>
      <c r="J132" s="4328"/>
      <c r="K132" s="3170"/>
      <c r="L132" s="3105"/>
      <c r="M132" s="3170"/>
      <c r="N132" s="3105"/>
      <c r="O132" s="4341"/>
      <c r="P132" s="4343"/>
      <c r="Q132" s="3385"/>
      <c r="R132" s="2476"/>
      <c r="S132" s="4339"/>
      <c r="T132" s="4311"/>
      <c r="U132" s="2476"/>
      <c r="V132" s="2699"/>
      <c r="W132" s="1447" t="s">
        <v>2242</v>
      </c>
      <c r="X132" s="1582">
        <v>15000000</v>
      </c>
      <c r="Y132" s="1640">
        <v>1000000</v>
      </c>
      <c r="Z132" s="1607">
        <v>400000</v>
      </c>
      <c r="AA132" s="1583" t="s">
        <v>2234</v>
      </c>
      <c r="AB132" s="1621">
        <v>61</v>
      </c>
      <c r="AC132" s="1441" t="s">
        <v>1987</v>
      </c>
      <c r="AD132" s="4315"/>
      <c r="AE132" s="4315"/>
      <c r="AF132" s="4315"/>
      <c r="AG132" s="4315"/>
      <c r="AH132" s="4338"/>
      <c r="AI132" s="4315"/>
      <c r="AJ132" s="4315"/>
      <c r="AK132" s="4315"/>
      <c r="AL132" s="4315"/>
      <c r="AM132" s="4315"/>
      <c r="AN132" s="4315"/>
      <c r="AO132" s="4315"/>
      <c r="AP132" s="4315"/>
      <c r="AQ132" s="4315"/>
      <c r="AR132" s="4315"/>
      <c r="AS132" s="4315"/>
      <c r="AT132" s="4315"/>
      <c r="AU132" s="4315"/>
      <c r="AV132" s="4315"/>
      <c r="AW132" s="4315"/>
      <c r="AX132" s="4315"/>
      <c r="AY132" s="4315"/>
      <c r="AZ132" s="4315"/>
      <c r="BA132" s="4315"/>
      <c r="BB132" s="4315"/>
      <c r="BC132" s="4315"/>
      <c r="BD132" s="4315"/>
      <c r="BE132" s="4315"/>
      <c r="BF132" s="4315"/>
      <c r="BG132" s="4315"/>
      <c r="BH132" s="4315"/>
      <c r="BI132" s="4315"/>
      <c r="BJ132" s="4315"/>
      <c r="BK132" s="4315"/>
      <c r="BL132" s="4315"/>
      <c r="BM132" s="4357"/>
      <c r="BN132" s="4315"/>
      <c r="BO132" s="4315"/>
      <c r="BP132" s="4315"/>
      <c r="BQ132" s="4354"/>
      <c r="BR132" s="4354"/>
      <c r="BS132" s="4354"/>
      <c r="BT132" s="4354"/>
      <c r="BU132" s="2267"/>
    </row>
    <row r="133" spans="1:73" s="3" customFormat="1" ht="63" customHeight="1" x14ac:dyDescent="0.25">
      <c r="A133" s="1473"/>
      <c r="B133" s="1443"/>
      <c r="C133" s="1452"/>
      <c r="D133" s="1443"/>
      <c r="E133" s="1622"/>
      <c r="F133" s="1623"/>
      <c r="G133" s="4313"/>
      <c r="H133" s="4328"/>
      <c r="I133" s="4313"/>
      <c r="J133" s="4328"/>
      <c r="K133" s="3170"/>
      <c r="L133" s="3105"/>
      <c r="M133" s="3170"/>
      <c r="N133" s="3105"/>
      <c r="O133" s="4341"/>
      <c r="P133" s="4343"/>
      <c r="Q133" s="3385"/>
      <c r="R133" s="2476"/>
      <c r="S133" s="4339"/>
      <c r="T133" s="4311"/>
      <c r="U133" s="2476"/>
      <c r="V133" s="2699"/>
      <c r="W133" s="1447" t="s">
        <v>2243</v>
      </c>
      <c r="X133" s="1584">
        <v>8000000</v>
      </c>
      <c r="Y133" s="1640">
        <v>1500000</v>
      </c>
      <c r="Z133" s="1605">
        <v>800000</v>
      </c>
      <c r="AA133" s="1583" t="s">
        <v>2234</v>
      </c>
      <c r="AB133" s="1621">
        <v>61</v>
      </c>
      <c r="AC133" s="1441" t="s">
        <v>1987</v>
      </c>
      <c r="AD133" s="4315"/>
      <c r="AE133" s="4315"/>
      <c r="AF133" s="4315"/>
      <c r="AG133" s="4315"/>
      <c r="AH133" s="4338"/>
      <c r="AI133" s="4315"/>
      <c r="AJ133" s="4315"/>
      <c r="AK133" s="4315"/>
      <c r="AL133" s="4315"/>
      <c r="AM133" s="4315"/>
      <c r="AN133" s="4315"/>
      <c r="AO133" s="4315"/>
      <c r="AP133" s="4315"/>
      <c r="AQ133" s="4315"/>
      <c r="AR133" s="4315"/>
      <c r="AS133" s="4315"/>
      <c r="AT133" s="4315"/>
      <c r="AU133" s="4315"/>
      <c r="AV133" s="4315"/>
      <c r="AW133" s="4315"/>
      <c r="AX133" s="4315"/>
      <c r="AY133" s="4315"/>
      <c r="AZ133" s="4315"/>
      <c r="BA133" s="4315"/>
      <c r="BB133" s="4315"/>
      <c r="BC133" s="4315"/>
      <c r="BD133" s="4315"/>
      <c r="BE133" s="4315"/>
      <c r="BF133" s="4315"/>
      <c r="BG133" s="4315"/>
      <c r="BH133" s="4315"/>
      <c r="BI133" s="4315"/>
      <c r="BJ133" s="4315"/>
      <c r="BK133" s="4315"/>
      <c r="BL133" s="4315"/>
      <c r="BM133" s="4357"/>
      <c r="BN133" s="4315"/>
      <c r="BO133" s="4315"/>
      <c r="BP133" s="4315"/>
      <c r="BQ133" s="4354"/>
      <c r="BR133" s="4354"/>
      <c r="BS133" s="4354"/>
      <c r="BT133" s="4354"/>
      <c r="BU133" s="2267"/>
    </row>
    <row r="134" spans="1:73" s="3" customFormat="1" ht="67.5" customHeight="1" x14ac:dyDescent="0.25">
      <c r="A134" s="1473"/>
      <c r="B134" s="1443"/>
      <c r="C134" s="1452"/>
      <c r="D134" s="1443"/>
      <c r="E134" s="1622"/>
      <c r="F134" s="1623"/>
      <c r="G134" s="4313"/>
      <c r="H134" s="4328"/>
      <c r="I134" s="4313"/>
      <c r="J134" s="4328"/>
      <c r="K134" s="3170"/>
      <c r="L134" s="3105"/>
      <c r="M134" s="3170"/>
      <c r="N134" s="3105"/>
      <c r="O134" s="4341"/>
      <c r="P134" s="4343"/>
      <c r="Q134" s="3385"/>
      <c r="R134" s="2476"/>
      <c r="S134" s="4339"/>
      <c r="T134" s="4311"/>
      <c r="U134" s="2476"/>
      <c r="V134" s="2699"/>
      <c r="W134" s="1447" t="s">
        <v>2244</v>
      </c>
      <c r="X134" s="1584">
        <v>12000000</v>
      </c>
      <c r="Y134" s="1640">
        <v>4520000</v>
      </c>
      <c r="Z134" s="1605">
        <v>1885000</v>
      </c>
      <c r="AA134" s="1583" t="s">
        <v>2234</v>
      </c>
      <c r="AB134" s="1621">
        <v>61</v>
      </c>
      <c r="AC134" s="1441" t="s">
        <v>1987</v>
      </c>
      <c r="AD134" s="4315"/>
      <c r="AE134" s="4315"/>
      <c r="AF134" s="4315"/>
      <c r="AG134" s="4315"/>
      <c r="AH134" s="4338"/>
      <c r="AI134" s="4315"/>
      <c r="AJ134" s="4315"/>
      <c r="AK134" s="4315"/>
      <c r="AL134" s="4315"/>
      <c r="AM134" s="4315"/>
      <c r="AN134" s="4315"/>
      <c r="AO134" s="4315"/>
      <c r="AP134" s="4315"/>
      <c r="AQ134" s="4315"/>
      <c r="AR134" s="4315"/>
      <c r="AS134" s="4315"/>
      <c r="AT134" s="4315"/>
      <c r="AU134" s="4315"/>
      <c r="AV134" s="4315"/>
      <c r="AW134" s="4315"/>
      <c r="AX134" s="4315"/>
      <c r="AY134" s="4315"/>
      <c r="AZ134" s="4315"/>
      <c r="BA134" s="4315"/>
      <c r="BB134" s="4315"/>
      <c r="BC134" s="4315"/>
      <c r="BD134" s="4315"/>
      <c r="BE134" s="4315"/>
      <c r="BF134" s="4315"/>
      <c r="BG134" s="4315"/>
      <c r="BH134" s="4315"/>
      <c r="BI134" s="4315"/>
      <c r="BJ134" s="4315"/>
      <c r="BK134" s="4315"/>
      <c r="BL134" s="4315"/>
      <c r="BM134" s="4357"/>
      <c r="BN134" s="4315"/>
      <c r="BO134" s="4315"/>
      <c r="BP134" s="4315"/>
      <c r="BQ134" s="4354"/>
      <c r="BR134" s="4354"/>
      <c r="BS134" s="4354"/>
      <c r="BT134" s="4354"/>
      <c r="BU134" s="2267"/>
    </row>
    <row r="135" spans="1:73" s="3" customFormat="1" ht="67.5" customHeight="1" x14ac:dyDescent="0.25">
      <c r="A135" s="1473"/>
      <c r="B135" s="1443"/>
      <c r="C135" s="1452"/>
      <c r="D135" s="1443"/>
      <c r="E135" s="1622"/>
      <c r="F135" s="1623"/>
      <c r="G135" s="4313"/>
      <c r="H135" s="4328"/>
      <c r="I135" s="4313"/>
      <c r="J135" s="4328"/>
      <c r="K135" s="3170"/>
      <c r="L135" s="3105"/>
      <c r="M135" s="3170"/>
      <c r="N135" s="3105"/>
      <c r="O135" s="4341"/>
      <c r="P135" s="4344"/>
      <c r="Q135" s="3385"/>
      <c r="R135" s="2476"/>
      <c r="S135" s="4339"/>
      <c r="T135" s="4311"/>
      <c r="U135" s="2476"/>
      <c r="V135" s="2699"/>
      <c r="W135" s="1456" t="s">
        <v>2245</v>
      </c>
      <c r="X135" s="1585">
        <v>14000000</v>
      </c>
      <c r="Y135" s="1638">
        <v>4520000</v>
      </c>
      <c r="Z135" s="1604">
        <v>1915000</v>
      </c>
      <c r="AA135" s="1583" t="s">
        <v>2234</v>
      </c>
      <c r="AB135" s="1621">
        <v>61</v>
      </c>
      <c r="AC135" s="1441" t="s">
        <v>1987</v>
      </c>
      <c r="AD135" s="4315"/>
      <c r="AE135" s="4315"/>
      <c r="AF135" s="4315"/>
      <c r="AG135" s="4315"/>
      <c r="AH135" s="4338"/>
      <c r="AI135" s="4315"/>
      <c r="AJ135" s="4315"/>
      <c r="AK135" s="4315"/>
      <c r="AL135" s="4315"/>
      <c r="AM135" s="4315"/>
      <c r="AN135" s="4315"/>
      <c r="AO135" s="4315"/>
      <c r="AP135" s="4315"/>
      <c r="AQ135" s="4315"/>
      <c r="AR135" s="4315"/>
      <c r="AS135" s="4315"/>
      <c r="AT135" s="4315"/>
      <c r="AU135" s="4315"/>
      <c r="AV135" s="4315"/>
      <c r="AW135" s="4315"/>
      <c r="AX135" s="4315"/>
      <c r="AY135" s="4315"/>
      <c r="AZ135" s="4315"/>
      <c r="BA135" s="4315"/>
      <c r="BB135" s="4315"/>
      <c r="BC135" s="4315"/>
      <c r="BD135" s="4315"/>
      <c r="BE135" s="4315"/>
      <c r="BF135" s="4315"/>
      <c r="BG135" s="4315"/>
      <c r="BH135" s="4315"/>
      <c r="BI135" s="4315"/>
      <c r="BJ135" s="4315"/>
      <c r="BK135" s="4315"/>
      <c r="BL135" s="4315"/>
      <c r="BM135" s="4357"/>
      <c r="BN135" s="4315"/>
      <c r="BO135" s="4315"/>
      <c r="BP135" s="4315"/>
      <c r="BQ135" s="4354"/>
      <c r="BR135" s="4354"/>
      <c r="BS135" s="4354"/>
      <c r="BT135" s="4354"/>
      <c r="BU135" s="2267"/>
    </row>
    <row r="136" spans="1:73" s="3" customFormat="1" ht="67.5" customHeight="1" x14ac:dyDescent="0.25">
      <c r="A136" s="1473"/>
      <c r="B136" s="1443"/>
      <c r="C136" s="1452"/>
      <c r="D136" s="1443"/>
      <c r="E136" s="1622"/>
      <c r="F136" s="1623"/>
      <c r="G136" s="4363" t="s">
        <v>74</v>
      </c>
      <c r="H136" s="4364" t="s">
        <v>2246</v>
      </c>
      <c r="I136" s="4363">
        <v>1905021</v>
      </c>
      <c r="J136" s="4364" t="s">
        <v>2247</v>
      </c>
      <c r="K136" s="4265" t="s">
        <v>74</v>
      </c>
      <c r="L136" s="4346" t="s">
        <v>2192</v>
      </c>
      <c r="M136" s="4265">
        <v>190502100</v>
      </c>
      <c r="N136" s="4346" t="s">
        <v>2248</v>
      </c>
      <c r="O136" s="4349">
        <v>11</v>
      </c>
      <c r="P136" s="4352">
        <v>8</v>
      </c>
      <c r="Q136" s="3385"/>
      <c r="R136" s="2476"/>
      <c r="S136" s="4339">
        <f>SUM(X136:X145)/T124</f>
        <v>0.34782608695652173</v>
      </c>
      <c r="T136" s="4311"/>
      <c r="U136" s="2476"/>
      <c r="V136" s="2699"/>
      <c r="W136" s="1447" t="s">
        <v>2249</v>
      </c>
      <c r="X136" s="1584">
        <v>6000000</v>
      </c>
      <c r="Y136" s="1638"/>
      <c r="Z136" s="1605"/>
      <c r="AA136" s="1583" t="s">
        <v>2250</v>
      </c>
      <c r="AB136" s="1621">
        <v>61</v>
      </c>
      <c r="AC136" s="1441" t="s">
        <v>1987</v>
      </c>
      <c r="AD136" s="4315"/>
      <c r="AE136" s="4315"/>
      <c r="AF136" s="4315"/>
      <c r="AG136" s="4315"/>
      <c r="AH136" s="4338"/>
      <c r="AI136" s="4315"/>
      <c r="AJ136" s="4315"/>
      <c r="AK136" s="4315"/>
      <c r="AL136" s="4315"/>
      <c r="AM136" s="4315"/>
      <c r="AN136" s="4315"/>
      <c r="AO136" s="4315"/>
      <c r="AP136" s="4315"/>
      <c r="AQ136" s="4315"/>
      <c r="AR136" s="4315"/>
      <c r="AS136" s="4315"/>
      <c r="AT136" s="4315"/>
      <c r="AU136" s="4315"/>
      <c r="AV136" s="4315"/>
      <c r="AW136" s="4315"/>
      <c r="AX136" s="4315"/>
      <c r="AY136" s="4315"/>
      <c r="AZ136" s="4315"/>
      <c r="BA136" s="4315"/>
      <c r="BB136" s="4315"/>
      <c r="BC136" s="4315"/>
      <c r="BD136" s="4315"/>
      <c r="BE136" s="4315"/>
      <c r="BF136" s="4315"/>
      <c r="BG136" s="4315"/>
      <c r="BH136" s="4315"/>
      <c r="BI136" s="4315"/>
      <c r="BJ136" s="4315"/>
      <c r="BK136" s="4315"/>
      <c r="BL136" s="4315"/>
      <c r="BM136" s="4357"/>
      <c r="BN136" s="4315"/>
      <c r="BO136" s="4315"/>
      <c r="BP136" s="4315"/>
      <c r="BQ136" s="4354"/>
      <c r="BR136" s="4354"/>
      <c r="BS136" s="4354"/>
      <c r="BT136" s="4354"/>
      <c r="BU136" s="2267"/>
    </row>
    <row r="137" spans="1:73" s="3" customFormat="1" ht="97.5" customHeight="1" x14ac:dyDescent="0.25">
      <c r="A137" s="1473"/>
      <c r="B137" s="1443"/>
      <c r="C137" s="1452"/>
      <c r="D137" s="1443"/>
      <c r="E137" s="1622"/>
      <c r="F137" s="1623"/>
      <c r="G137" s="4363"/>
      <c r="H137" s="4365"/>
      <c r="I137" s="4363"/>
      <c r="J137" s="4365"/>
      <c r="K137" s="4266"/>
      <c r="L137" s="4347"/>
      <c r="M137" s="4266"/>
      <c r="N137" s="4347"/>
      <c r="O137" s="4350"/>
      <c r="P137" s="3469"/>
      <c r="Q137" s="3385"/>
      <c r="R137" s="2476"/>
      <c r="S137" s="4339"/>
      <c r="T137" s="4311"/>
      <c r="U137" s="2476"/>
      <c r="V137" s="2699"/>
      <c r="W137" s="1447" t="s">
        <v>2251</v>
      </c>
      <c r="X137" s="1584">
        <v>6000000</v>
      </c>
      <c r="Y137" s="1638">
        <v>6000000</v>
      </c>
      <c r="Z137" s="1605">
        <v>5000000</v>
      </c>
      <c r="AA137" s="1583" t="s">
        <v>2250</v>
      </c>
      <c r="AB137" s="1621">
        <v>61</v>
      </c>
      <c r="AC137" s="1441" t="s">
        <v>1987</v>
      </c>
      <c r="AD137" s="4315"/>
      <c r="AE137" s="4315"/>
      <c r="AF137" s="4315"/>
      <c r="AG137" s="4315"/>
      <c r="AH137" s="4338"/>
      <c r="AI137" s="4315"/>
      <c r="AJ137" s="4315"/>
      <c r="AK137" s="4315"/>
      <c r="AL137" s="4315"/>
      <c r="AM137" s="4315"/>
      <c r="AN137" s="4315"/>
      <c r="AO137" s="4315"/>
      <c r="AP137" s="4315"/>
      <c r="AQ137" s="4315"/>
      <c r="AR137" s="4315"/>
      <c r="AS137" s="4315"/>
      <c r="AT137" s="4315"/>
      <c r="AU137" s="4315"/>
      <c r="AV137" s="4315"/>
      <c r="AW137" s="4315"/>
      <c r="AX137" s="4315"/>
      <c r="AY137" s="4315"/>
      <c r="AZ137" s="4315"/>
      <c r="BA137" s="4315"/>
      <c r="BB137" s="4315"/>
      <c r="BC137" s="4315"/>
      <c r="BD137" s="4315"/>
      <c r="BE137" s="4315"/>
      <c r="BF137" s="4315"/>
      <c r="BG137" s="4315"/>
      <c r="BH137" s="4315"/>
      <c r="BI137" s="4315"/>
      <c r="BJ137" s="4315"/>
      <c r="BK137" s="4315"/>
      <c r="BL137" s="4315"/>
      <c r="BM137" s="4357"/>
      <c r="BN137" s="4315"/>
      <c r="BO137" s="4315"/>
      <c r="BP137" s="4315"/>
      <c r="BQ137" s="4354"/>
      <c r="BR137" s="4354"/>
      <c r="BS137" s="4354"/>
      <c r="BT137" s="4354"/>
      <c r="BU137" s="2267"/>
    </row>
    <row r="138" spans="1:73" s="3" customFormat="1" ht="101.25" customHeight="1" x14ac:dyDescent="0.25">
      <c r="A138" s="1473"/>
      <c r="B138" s="1443"/>
      <c r="C138" s="1452"/>
      <c r="D138" s="1443"/>
      <c r="E138" s="1622"/>
      <c r="F138" s="1623"/>
      <c r="G138" s="4363"/>
      <c r="H138" s="4365"/>
      <c r="I138" s="4363"/>
      <c r="J138" s="4365"/>
      <c r="K138" s="4266"/>
      <c r="L138" s="4347"/>
      <c r="M138" s="4266"/>
      <c r="N138" s="4347"/>
      <c r="O138" s="4350"/>
      <c r="P138" s="3469"/>
      <c r="Q138" s="3385"/>
      <c r="R138" s="2476"/>
      <c r="S138" s="4339"/>
      <c r="T138" s="4311"/>
      <c r="U138" s="2476"/>
      <c r="V138" s="2699"/>
      <c r="W138" s="1447" t="s">
        <v>2252</v>
      </c>
      <c r="X138" s="1584">
        <v>6000000</v>
      </c>
      <c r="Y138" s="1638">
        <v>2000000</v>
      </c>
      <c r="Z138" s="1605">
        <v>1900000</v>
      </c>
      <c r="AA138" s="1583" t="s">
        <v>2250</v>
      </c>
      <c r="AB138" s="1621">
        <v>61</v>
      </c>
      <c r="AC138" s="1441" t="s">
        <v>1987</v>
      </c>
      <c r="AD138" s="4315"/>
      <c r="AE138" s="4315"/>
      <c r="AF138" s="4315"/>
      <c r="AG138" s="4315"/>
      <c r="AH138" s="4338"/>
      <c r="AI138" s="4315"/>
      <c r="AJ138" s="4315"/>
      <c r="AK138" s="4315"/>
      <c r="AL138" s="4315"/>
      <c r="AM138" s="4315"/>
      <c r="AN138" s="4315"/>
      <c r="AO138" s="4315"/>
      <c r="AP138" s="4315"/>
      <c r="AQ138" s="4315"/>
      <c r="AR138" s="4315"/>
      <c r="AS138" s="4315"/>
      <c r="AT138" s="4315"/>
      <c r="AU138" s="4315"/>
      <c r="AV138" s="4315"/>
      <c r="AW138" s="4315"/>
      <c r="AX138" s="4315"/>
      <c r="AY138" s="4315"/>
      <c r="AZ138" s="4315"/>
      <c r="BA138" s="4315"/>
      <c r="BB138" s="4315"/>
      <c r="BC138" s="4315"/>
      <c r="BD138" s="4315"/>
      <c r="BE138" s="4315"/>
      <c r="BF138" s="4315"/>
      <c r="BG138" s="4315"/>
      <c r="BH138" s="4315"/>
      <c r="BI138" s="4315"/>
      <c r="BJ138" s="4315"/>
      <c r="BK138" s="4315"/>
      <c r="BL138" s="4315"/>
      <c r="BM138" s="4357"/>
      <c r="BN138" s="4315"/>
      <c r="BO138" s="4315"/>
      <c r="BP138" s="4315"/>
      <c r="BQ138" s="4354"/>
      <c r="BR138" s="4354"/>
      <c r="BS138" s="4354"/>
      <c r="BT138" s="4354"/>
      <c r="BU138" s="2267"/>
    </row>
    <row r="139" spans="1:73" s="3" customFormat="1" ht="67.5" customHeight="1" x14ac:dyDescent="0.25">
      <c r="A139" s="1473"/>
      <c r="B139" s="1443"/>
      <c r="C139" s="1452"/>
      <c r="D139" s="1443"/>
      <c r="E139" s="1622"/>
      <c r="F139" s="1623"/>
      <c r="G139" s="4363"/>
      <c r="H139" s="4365"/>
      <c r="I139" s="4363"/>
      <c r="J139" s="4365"/>
      <c r="K139" s="4266"/>
      <c r="L139" s="4347"/>
      <c r="M139" s="4266"/>
      <c r="N139" s="4347"/>
      <c r="O139" s="4350"/>
      <c r="P139" s="3469"/>
      <c r="Q139" s="3385"/>
      <c r="R139" s="2476"/>
      <c r="S139" s="4339"/>
      <c r="T139" s="4311"/>
      <c r="U139" s="2476"/>
      <c r="V139" s="2699"/>
      <c r="W139" s="1447" t="s">
        <v>2253</v>
      </c>
      <c r="X139" s="1584">
        <v>6000000</v>
      </c>
      <c r="Y139" s="1638">
        <v>4840000</v>
      </c>
      <c r="Z139" s="1605">
        <v>2930000</v>
      </c>
      <c r="AA139" s="1583" t="s">
        <v>2250</v>
      </c>
      <c r="AB139" s="1621">
        <v>61</v>
      </c>
      <c r="AC139" s="1441" t="s">
        <v>1987</v>
      </c>
      <c r="AD139" s="4315"/>
      <c r="AE139" s="4315"/>
      <c r="AF139" s="4315"/>
      <c r="AG139" s="4315"/>
      <c r="AH139" s="4338"/>
      <c r="AI139" s="4315"/>
      <c r="AJ139" s="4315"/>
      <c r="AK139" s="4315"/>
      <c r="AL139" s="4315"/>
      <c r="AM139" s="4315"/>
      <c r="AN139" s="4315"/>
      <c r="AO139" s="4315"/>
      <c r="AP139" s="4315"/>
      <c r="AQ139" s="4315"/>
      <c r="AR139" s="4315"/>
      <c r="AS139" s="4315"/>
      <c r="AT139" s="4315"/>
      <c r="AU139" s="4315"/>
      <c r="AV139" s="4315"/>
      <c r="AW139" s="4315"/>
      <c r="AX139" s="4315"/>
      <c r="AY139" s="4315"/>
      <c r="AZ139" s="4315"/>
      <c r="BA139" s="4315"/>
      <c r="BB139" s="4315"/>
      <c r="BC139" s="4315"/>
      <c r="BD139" s="4315"/>
      <c r="BE139" s="4315"/>
      <c r="BF139" s="4315"/>
      <c r="BG139" s="4315"/>
      <c r="BH139" s="4315"/>
      <c r="BI139" s="4315"/>
      <c r="BJ139" s="4315"/>
      <c r="BK139" s="4315"/>
      <c r="BL139" s="4315"/>
      <c r="BM139" s="4357"/>
      <c r="BN139" s="4315"/>
      <c r="BO139" s="4315"/>
      <c r="BP139" s="4315"/>
      <c r="BQ139" s="4354"/>
      <c r="BR139" s="4354"/>
      <c r="BS139" s="4354"/>
      <c r="BT139" s="4354"/>
      <c r="BU139" s="2267"/>
    </row>
    <row r="140" spans="1:73" s="3" customFormat="1" ht="67.5" customHeight="1" x14ac:dyDescent="0.25">
      <c r="A140" s="1473"/>
      <c r="B140" s="1443"/>
      <c r="C140" s="1452"/>
      <c r="D140" s="1443"/>
      <c r="E140" s="1622"/>
      <c r="F140" s="1623"/>
      <c r="G140" s="4363"/>
      <c r="H140" s="4365"/>
      <c r="I140" s="4363"/>
      <c r="J140" s="4365"/>
      <c r="K140" s="4266"/>
      <c r="L140" s="4347"/>
      <c r="M140" s="4266"/>
      <c r="N140" s="4347"/>
      <c r="O140" s="4350"/>
      <c r="P140" s="3469"/>
      <c r="Q140" s="3385"/>
      <c r="R140" s="2476"/>
      <c r="S140" s="4339"/>
      <c r="T140" s="4311"/>
      <c r="U140" s="2476"/>
      <c r="V140" s="2699"/>
      <c r="W140" s="1447" t="s">
        <v>2254</v>
      </c>
      <c r="X140" s="1584">
        <v>6000000</v>
      </c>
      <c r="Y140" s="1638">
        <v>3200000</v>
      </c>
      <c r="Z140" s="1605">
        <v>3000000</v>
      </c>
      <c r="AA140" s="1583" t="s">
        <v>2250</v>
      </c>
      <c r="AB140" s="1621">
        <v>61</v>
      </c>
      <c r="AC140" s="1441" t="s">
        <v>1987</v>
      </c>
      <c r="AD140" s="4315"/>
      <c r="AE140" s="4315"/>
      <c r="AF140" s="4315"/>
      <c r="AG140" s="4315"/>
      <c r="AH140" s="4338"/>
      <c r="AI140" s="4315"/>
      <c r="AJ140" s="4315"/>
      <c r="AK140" s="4315"/>
      <c r="AL140" s="4315"/>
      <c r="AM140" s="4315"/>
      <c r="AN140" s="4315"/>
      <c r="AO140" s="4315"/>
      <c r="AP140" s="4315"/>
      <c r="AQ140" s="4315"/>
      <c r="AR140" s="4315"/>
      <c r="AS140" s="4315"/>
      <c r="AT140" s="4315"/>
      <c r="AU140" s="4315"/>
      <c r="AV140" s="4315"/>
      <c r="AW140" s="4315"/>
      <c r="AX140" s="4315"/>
      <c r="AY140" s="4315"/>
      <c r="AZ140" s="4315"/>
      <c r="BA140" s="4315"/>
      <c r="BB140" s="4315"/>
      <c r="BC140" s="4315"/>
      <c r="BD140" s="4315"/>
      <c r="BE140" s="4315"/>
      <c r="BF140" s="4315"/>
      <c r="BG140" s="4315"/>
      <c r="BH140" s="4315"/>
      <c r="BI140" s="4315"/>
      <c r="BJ140" s="4315"/>
      <c r="BK140" s="4315"/>
      <c r="BL140" s="4315"/>
      <c r="BM140" s="4357"/>
      <c r="BN140" s="4315"/>
      <c r="BO140" s="4315"/>
      <c r="BP140" s="4315"/>
      <c r="BQ140" s="4354"/>
      <c r="BR140" s="4354"/>
      <c r="BS140" s="4354"/>
      <c r="BT140" s="4354"/>
      <c r="BU140" s="2267"/>
    </row>
    <row r="141" spans="1:73" s="3" customFormat="1" ht="67.5" customHeight="1" x14ac:dyDescent="0.25">
      <c r="A141" s="1473"/>
      <c r="B141" s="1443"/>
      <c r="C141" s="1452"/>
      <c r="D141" s="1443"/>
      <c r="E141" s="1622"/>
      <c r="F141" s="1623"/>
      <c r="G141" s="4363"/>
      <c r="H141" s="4365"/>
      <c r="I141" s="4363"/>
      <c r="J141" s="4365"/>
      <c r="K141" s="4266"/>
      <c r="L141" s="4347"/>
      <c r="M141" s="4266"/>
      <c r="N141" s="4347"/>
      <c r="O141" s="4350"/>
      <c r="P141" s="3469"/>
      <c r="Q141" s="3385"/>
      <c r="R141" s="2476"/>
      <c r="S141" s="4339"/>
      <c r="T141" s="4311"/>
      <c r="U141" s="2476"/>
      <c r="V141" s="2699"/>
      <c r="W141" s="1447" t="s">
        <v>2255</v>
      </c>
      <c r="X141" s="1584">
        <v>6000000</v>
      </c>
      <c r="Y141" s="1638">
        <v>6000000</v>
      </c>
      <c r="Z141" s="1605">
        <v>5500000</v>
      </c>
      <c r="AA141" s="1583" t="s">
        <v>2250</v>
      </c>
      <c r="AB141" s="1621">
        <v>61</v>
      </c>
      <c r="AC141" s="1441" t="s">
        <v>1987</v>
      </c>
      <c r="AD141" s="4315"/>
      <c r="AE141" s="4315"/>
      <c r="AF141" s="4315"/>
      <c r="AG141" s="4315"/>
      <c r="AH141" s="4338"/>
      <c r="AI141" s="4315"/>
      <c r="AJ141" s="4315"/>
      <c r="AK141" s="4315"/>
      <c r="AL141" s="4315"/>
      <c r="AM141" s="4315"/>
      <c r="AN141" s="4315"/>
      <c r="AO141" s="4315"/>
      <c r="AP141" s="4315"/>
      <c r="AQ141" s="4315"/>
      <c r="AR141" s="4315"/>
      <c r="AS141" s="4315"/>
      <c r="AT141" s="4315"/>
      <c r="AU141" s="4315"/>
      <c r="AV141" s="4315"/>
      <c r="AW141" s="4315"/>
      <c r="AX141" s="4315"/>
      <c r="AY141" s="4315"/>
      <c r="AZ141" s="4315"/>
      <c r="BA141" s="4315"/>
      <c r="BB141" s="4315"/>
      <c r="BC141" s="4315"/>
      <c r="BD141" s="4315"/>
      <c r="BE141" s="4315"/>
      <c r="BF141" s="4315"/>
      <c r="BG141" s="4315"/>
      <c r="BH141" s="4315"/>
      <c r="BI141" s="4315"/>
      <c r="BJ141" s="4315"/>
      <c r="BK141" s="4315"/>
      <c r="BL141" s="4315"/>
      <c r="BM141" s="4357"/>
      <c r="BN141" s="4315"/>
      <c r="BO141" s="4315"/>
      <c r="BP141" s="4315"/>
      <c r="BQ141" s="4354"/>
      <c r="BR141" s="4354"/>
      <c r="BS141" s="4354"/>
      <c r="BT141" s="4354"/>
      <c r="BU141" s="2267"/>
    </row>
    <row r="142" spans="1:73" s="3" customFormat="1" ht="67.5" customHeight="1" x14ac:dyDescent="0.25">
      <c r="A142" s="1473"/>
      <c r="B142" s="1443"/>
      <c r="C142" s="1452"/>
      <c r="D142" s="1443"/>
      <c r="E142" s="1622"/>
      <c r="F142" s="1623"/>
      <c r="G142" s="4363"/>
      <c r="H142" s="4365"/>
      <c r="I142" s="4363"/>
      <c r="J142" s="4365"/>
      <c r="K142" s="4266"/>
      <c r="L142" s="4347"/>
      <c r="M142" s="4266"/>
      <c r="N142" s="4347"/>
      <c r="O142" s="4350"/>
      <c r="P142" s="3469"/>
      <c r="Q142" s="3385"/>
      <c r="R142" s="2476"/>
      <c r="S142" s="4339"/>
      <c r="T142" s="4311"/>
      <c r="U142" s="2476"/>
      <c r="V142" s="2699"/>
      <c r="W142" s="1447" t="s">
        <v>2256</v>
      </c>
      <c r="X142" s="1584">
        <v>6000000</v>
      </c>
      <c r="Y142" s="1638">
        <v>2000000</v>
      </c>
      <c r="Z142" s="1605">
        <v>1000000</v>
      </c>
      <c r="AA142" s="1583" t="s">
        <v>2250</v>
      </c>
      <c r="AB142" s="1621">
        <v>61</v>
      </c>
      <c r="AC142" s="1441" t="s">
        <v>1987</v>
      </c>
      <c r="AD142" s="4315"/>
      <c r="AE142" s="4315"/>
      <c r="AF142" s="4315"/>
      <c r="AG142" s="4315"/>
      <c r="AH142" s="4338"/>
      <c r="AI142" s="4315"/>
      <c r="AJ142" s="4315"/>
      <c r="AK142" s="4315"/>
      <c r="AL142" s="4315"/>
      <c r="AM142" s="4315"/>
      <c r="AN142" s="4315"/>
      <c r="AO142" s="4315"/>
      <c r="AP142" s="4315"/>
      <c r="AQ142" s="4315"/>
      <c r="AR142" s="4315"/>
      <c r="AS142" s="4315"/>
      <c r="AT142" s="4315"/>
      <c r="AU142" s="4315"/>
      <c r="AV142" s="4315"/>
      <c r="AW142" s="4315"/>
      <c r="AX142" s="4315"/>
      <c r="AY142" s="4315"/>
      <c r="AZ142" s="4315"/>
      <c r="BA142" s="4315"/>
      <c r="BB142" s="4315"/>
      <c r="BC142" s="4315"/>
      <c r="BD142" s="4315"/>
      <c r="BE142" s="4315"/>
      <c r="BF142" s="4315"/>
      <c r="BG142" s="4315"/>
      <c r="BH142" s="4315"/>
      <c r="BI142" s="4315"/>
      <c r="BJ142" s="4315"/>
      <c r="BK142" s="4315"/>
      <c r="BL142" s="4315"/>
      <c r="BM142" s="4357"/>
      <c r="BN142" s="4315"/>
      <c r="BO142" s="4315"/>
      <c r="BP142" s="4315"/>
      <c r="BQ142" s="4354"/>
      <c r="BR142" s="4354"/>
      <c r="BS142" s="4354"/>
      <c r="BT142" s="4354"/>
      <c r="BU142" s="2267"/>
    </row>
    <row r="143" spans="1:73" s="3" customFormat="1" ht="67.5" customHeight="1" x14ac:dyDescent="0.25">
      <c r="A143" s="1473"/>
      <c r="B143" s="1443"/>
      <c r="C143" s="1452"/>
      <c r="D143" s="1443"/>
      <c r="E143" s="1622"/>
      <c r="F143" s="1623"/>
      <c r="G143" s="4363"/>
      <c r="H143" s="4365"/>
      <c r="I143" s="4363"/>
      <c r="J143" s="4365"/>
      <c r="K143" s="4266"/>
      <c r="L143" s="4347"/>
      <c r="M143" s="4266"/>
      <c r="N143" s="4347"/>
      <c r="O143" s="4350"/>
      <c r="P143" s="3469"/>
      <c r="Q143" s="3385"/>
      <c r="R143" s="2476"/>
      <c r="S143" s="4339"/>
      <c r="T143" s="4311"/>
      <c r="U143" s="2476"/>
      <c r="V143" s="2699"/>
      <c r="W143" s="1447" t="s">
        <v>2257</v>
      </c>
      <c r="X143" s="1584">
        <v>6000000</v>
      </c>
      <c r="Y143" s="1638">
        <v>6000000</v>
      </c>
      <c r="Z143" s="1605">
        <v>3000000</v>
      </c>
      <c r="AA143" s="1583" t="s">
        <v>2250</v>
      </c>
      <c r="AB143" s="1621">
        <v>61</v>
      </c>
      <c r="AC143" s="1441" t="s">
        <v>1987</v>
      </c>
      <c r="AD143" s="4315"/>
      <c r="AE143" s="4315"/>
      <c r="AF143" s="4315"/>
      <c r="AG143" s="4315"/>
      <c r="AH143" s="4338"/>
      <c r="AI143" s="4315"/>
      <c r="AJ143" s="4315"/>
      <c r="AK143" s="4315"/>
      <c r="AL143" s="4315"/>
      <c r="AM143" s="4315"/>
      <c r="AN143" s="4315"/>
      <c r="AO143" s="4315"/>
      <c r="AP143" s="4315"/>
      <c r="AQ143" s="4315"/>
      <c r="AR143" s="4315"/>
      <c r="AS143" s="4315"/>
      <c r="AT143" s="4315"/>
      <c r="AU143" s="4315"/>
      <c r="AV143" s="4315"/>
      <c r="AW143" s="4315"/>
      <c r="AX143" s="4315"/>
      <c r="AY143" s="4315"/>
      <c r="AZ143" s="4315"/>
      <c r="BA143" s="4315"/>
      <c r="BB143" s="4315"/>
      <c r="BC143" s="4315"/>
      <c r="BD143" s="4315"/>
      <c r="BE143" s="4315"/>
      <c r="BF143" s="4315"/>
      <c r="BG143" s="4315"/>
      <c r="BH143" s="4315"/>
      <c r="BI143" s="4315"/>
      <c r="BJ143" s="4315"/>
      <c r="BK143" s="4315"/>
      <c r="BL143" s="4315"/>
      <c r="BM143" s="4357"/>
      <c r="BN143" s="4315"/>
      <c r="BO143" s="4315"/>
      <c r="BP143" s="4315"/>
      <c r="BQ143" s="4354"/>
      <c r="BR143" s="4354"/>
      <c r="BS143" s="4354"/>
      <c r="BT143" s="4354"/>
      <c r="BU143" s="2267"/>
    </row>
    <row r="144" spans="1:73" s="3" customFormat="1" ht="67.5" customHeight="1" x14ac:dyDescent="0.25">
      <c r="A144" s="1473"/>
      <c r="B144" s="1443"/>
      <c r="C144" s="1452"/>
      <c r="D144" s="1443"/>
      <c r="E144" s="1622"/>
      <c r="F144" s="1623"/>
      <c r="G144" s="4363"/>
      <c r="H144" s="4365"/>
      <c r="I144" s="4363"/>
      <c r="J144" s="4365"/>
      <c r="K144" s="4266"/>
      <c r="L144" s="4347"/>
      <c r="M144" s="4266"/>
      <c r="N144" s="4347"/>
      <c r="O144" s="4350"/>
      <c r="P144" s="3469"/>
      <c r="Q144" s="3385"/>
      <c r="R144" s="2476"/>
      <c r="S144" s="4339"/>
      <c r="T144" s="4311"/>
      <c r="U144" s="2476"/>
      <c r="V144" s="2699"/>
      <c r="W144" s="1447" t="s">
        <v>2258</v>
      </c>
      <c r="X144" s="1584">
        <v>4000000</v>
      </c>
      <c r="Y144" s="1638">
        <v>4000000</v>
      </c>
      <c r="Z144" s="1605">
        <v>2900000</v>
      </c>
      <c r="AA144" s="1583" t="s">
        <v>2250</v>
      </c>
      <c r="AB144" s="1621">
        <v>61</v>
      </c>
      <c r="AC144" s="1441" t="s">
        <v>1987</v>
      </c>
      <c r="AD144" s="4315"/>
      <c r="AE144" s="4315"/>
      <c r="AF144" s="4315"/>
      <c r="AG144" s="4315"/>
      <c r="AH144" s="4338"/>
      <c r="AI144" s="4315"/>
      <c r="AJ144" s="4315"/>
      <c r="AK144" s="4315"/>
      <c r="AL144" s="4315"/>
      <c r="AM144" s="4315"/>
      <c r="AN144" s="4315"/>
      <c r="AO144" s="4315"/>
      <c r="AP144" s="4315"/>
      <c r="AQ144" s="4315"/>
      <c r="AR144" s="4315"/>
      <c r="AS144" s="4315"/>
      <c r="AT144" s="4315"/>
      <c r="AU144" s="4315"/>
      <c r="AV144" s="4315"/>
      <c r="AW144" s="4315"/>
      <c r="AX144" s="4315"/>
      <c r="AY144" s="4315"/>
      <c r="AZ144" s="4315"/>
      <c r="BA144" s="4315"/>
      <c r="BB144" s="4315"/>
      <c r="BC144" s="4315"/>
      <c r="BD144" s="4315"/>
      <c r="BE144" s="4315"/>
      <c r="BF144" s="4315"/>
      <c r="BG144" s="4315"/>
      <c r="BH144" s="4315"/>
      <c r="BI144" s="4315"/>
      <c r="BJ144" s="4315"/>
      <c r="BK144" s="4315"/>
      <c r="BL144" s="4315"/>
      <c r="BM144" s="4357"/>
      <c r="BN144" s="4315"/>
      <c r="BO144" s="4315"/>
      <c r="BP144" s="4315"/>
      <c r="BQ144" s="4354"/>
      <c r="BR144" s="4354"/>
      <c r="BS144" s="4354"/>
      <c r="BT144" s="4354"/>
      <c r="BU144" s="2267"/>
    </row>
    <row r="145" spans="1:73" s="3" customFormat="1" ht="67.5" customHeight="1" x14ac:dyDescent="0.25">
      <c r="A145" s="1473"/>
      <c r="B145" s="1443"/>
      <c r="C145" s="1452"/>
      <c r="D145" s="1443"/>
      <c r="E145" s="1622"/>
      <c r="F145" s="1623"/>
      <c r="G145" s="4363"/>
      <c r="H145" s="4366"/>
      <c r="I145" s="4363"/>
      <c r="J145" s="4366"/>
      <c r="K145" s="4345"/>
      <c r="L145" s="4348"/>
      <c r="M145" s="4345"/>
      <c r="N145" s="4348"/>
      <c r="O145" s="4351"/>
      <c r="P145" s="3470"/>
      <c r="Q145" s="3385"/>
      <c r="R145" s="2476"/>
      <c r="S145" s="4339"/>
      <c r="T145" s="4311"/>
      <c r="U145" s="2476"/>
      <c r="V145" s="2700"/>
      <c r="W145" s="1447" t="s">
        <v>2259</v>
      </c>
      <c r="X145" s="1584">
        <v>4000000</v>
      </c>
      <c r="Y145" s="1638">
        <v>2000000</v>
      </c>
      <c r="Z145" s="1605">
        <v>1800000</v>
      </c>
      <c r="AA145" s="1583" t="s">
        <v>2250</v>
      </c>
      <c r="AB145" s="1621">
        <v>61</v>
      </c>
      <c r="AC145" s="1441" t="s">
        <v>1987</v>
      </c>
      <c r="AD145" s="4315"/>
      <c r="AE145" s="4315"/>
      <c r="AF145" s="4315"/>
      <c r="AG145" s="4315"/>
      <c r="AH145" s="4338"/>
      <c r="AI145" s="4315"/>
      <c r="AJ145" s="4315"/>
      <c r="AK145" s="4315"/>
      <c r="AL145" s="4315"/>
      <c r="AM145" s="4315"/>
      <c r="AN145" s="4315"/>
      <c r="AO145" s="4315"/>
      <c r="AP145" s="4315"/>
      <c r="AQ145" s="4315"/>
      <c r="AR145" s="4315"/>
      <c r="AS145" s="4315"/>
      <c r="AT145" s="4315"/>
      <c r="AU145" s="4315"/>
      <c r="AV145" s="4315"/>
      <c r="AW145" s="4315"/>
      <c r="AX145" s="4315"/>
      <c r="AY145" s="4315"/>
      <c r="AZ145" s="4315"/>
      <c r="BA145" s="4315"/>
      <c r="BB145" s="4315"/>
      <c r="BC145" s="4315"/>
      <c r="BD145" s="4315"/>
      <c r="BE145" s="4315"/>
      <c r="BF145" s="4315"/>
      <c r="BG145" s="4315"/>
      <c r="BH145" s="4315"/>
      <c r="BI145" s="4315"/>
      <c r="BJ145" s="4315"/>
      <c r="BK145" s="4315"/>
      <c r="BL145" s="4315"/>
      <c r="BM145" s="4357"/>
      <c r="BN145" s="4315"/>
      <c r="BO145" s="4315"/>
      <c r="BP145" s="4315"/>
      <c r="BQ145" s="4354"/>
      <c r="BR145" s="4354"/>
      <c r="BS145" s="4354"/>
      <c r="BT145" s="4354"/>
      <c r="BU145" s="2439"/>
    </row>
    <row r="146" spans="1:73" s="3" customFormat="1" ht="67.5" customHeight="1" x14ac:dyDescent="0.25">
      <c r="A146" s="1473"/>
      <c r="B146" s="1443"/>
      <c r="C146" s="1452"/>
      <c r="D146" s="1443"/>
      <c r="E146" s="1622"/>
      <c r="F146" s="1623"/>
      <c r="G146" s="4313">
        <v>1905020</v>
      </c>
      <c r="H146" s="4314" t="s">
        <v>2260</v>
      </c>
      <c r="I146" s="4313">
        <v>1905020</v>
      </c>
      <c r="J146" s="4314" t="s">
        <v>2260</v>
      </c>
      <c r="K146" s="3606">
        <v>190502000</v>
      </c>
      <c r="L146" s="2475" t="s">
        <v>2261</v>
      </c>
      <c r="M146" s="3606">
        <v>190502000</v>
      </c>
      <c r="N146" s="2475" t="s">
        <v>2248</v>
      </c>
      <c r="O146" s="2664">
        <v>12</v>
      </c>
      <c r="P146" s="3468">
        <v>9</v>
      </c>
      <c r="Q146" s="3385" t="s">
        <v>2262</v>
      </c>
      <c r="R146" s="2476" t="s">
        <v>2263</v>
      </c>
      <c r="S146" s="2410">
        <f>SUM(X146:X149)/T146</f>
        <v>0.24836601307189543</v>
      </c>
      <c r="T146" s="4311">
        <f>SUM(X146:X159)</f>
        <v>153000000</v>
      </c>
      <c r="U146" s="2476" t="s">
        <v>2264</v>
      </c>
      <c r="V146" s="2285" t="s">
        <v>2265</v>
      </c>
      <c r="W146" s="1447" t="s">
        <v>2266</v>
      </c>
      <c r="X146" s="1584">
        <v>10000000</v>
      </c>
      <c r="Y146" s="1638">
        <v>6000000</v>
      </c>
      <c r="Z146" s="1605">
        <v>5550000</v>
      </c>
      <c r="AA146" s="1583" t="s">
        <v>2267</v>
      </c>
      <c r="AB146" s="1621">
        <v>61</v>
      </c>
      <c r="AC146" s="1441" t="s">
        <v>1987</v>
      </c>
      <c r="AD146" s="2438">
        <v>283947</v>
      </c>
      <c r="AE146" s="2438"/>
      <c r="AF146" s="2438">
        <v>294321</v>
      </c>
      <c r="AG146" s="2438"/>
      <c r="AH146" s="3809">
        <v>135754</v>
      </c>
      <c r="AI146" s="2438"/>
      <c r="AJ146" s="2438">
        <v>44640</v>
      </c>
      <c r="AK146" s="2438"/>
      <c r="AL146" s="2438">
        <v>308178</v>
      </c>
      <c r="AM146" s="2438"/>
      <c r="AN146" s="2438">
        <v>89696</v>
      </c>
      <c r="AO146" s="2438"/>
      <c r="AP146" s="2438">
        <v>2145</v>
      </c>
      <c r="AQ146" s="2438"/>
      <c r="AR146" s="2438">
        <v>12718</v>
      </c>
      <c r="AS146" s="2438"/>
      <c r="AT146" s="2438">
        <v>26</v>
      </c>
      <c r="AU146" s="2438"/>
      <c r="AV146" s="2438">
        <v>37</v>
      </c>
      <c r="AW146" s="2438"/>
      <c r="AX146" s="2438">
        <v>0</v>
      </c>
      <c r="AY146" s="2438"/>
      <c r="AZ146" s="2438">
        <v>0</v>
      </c>
      <c r="BA146" s="2438"/>
      <c r="BB146" s="2438">
        <v>88560</v>
      </c>
      <c r="BC146" s="2438"/>
      <c r="BD146" s="2438">
        <v>24486</v>
      </c>
      <c r="BE146" s="2438"/>
      <c r="BF146" s="2438">
        <v>0</v>
      </c>
      <c r="BG146" s="2438"/>
      <c r="BH146" s="2438">
        <v>578268</v>
      </c>
      <c r="BI146" s="2438"/>
      <c r="BJ146" s="2438">
        <v>5</v>
      </c>
      <c r="BK146" s="4287">
        <f>SUM(Y146:Y159)</f>
        <v>73760000</v>
      </c>
      <c r="BL146" s="4287">
        <f>SUM(Z146:Z159)</f>
        <v>45650000</v>
      </c>
      <c r="BM146" s="4277">
        <f>BL146/BK146</f>
        <v>0.61889913232104121</v>
      </c>
      <c r="BN146" s="2438">
        <v>61</v>
      </c>
      <c r="BO146" s="2438" t="s">
        <v>2056</v>
      </c>
      <c r="BP146" s="2438" t="s">
        <v>2170</v>
      </c>
      <c r="BQ146" s="4285">
        <v>44197</v>
      </c>
      <c r="BR146" s="4285">
        <v>44239</v>
      </c>
      <c r="BS146" s="4285">
        <v>44561</v>
      </c>
      <c r="BT146" s="4285">
        <v>44561</v>
      </c>
      <c r="BU146" s="2438" t="s">
        <v>1991</v>
      </c>
    </row>
    <row r="147" spans="1:73" s="3" customFormat="1" ht="67.5" customHeight="1" x14ac:dyDescent="0.25">
      <c r="A147" s="1473"/>
      <c r="B147" s="1443"/>
      <c r="C147" s="1452"/>
      <c r="D147" s="1443"/>
      <c r="E147" s="1622"/>
      <c r="F147" s="1623"/>
      <c r="G147" s="4313"/>
      <c r="H147" s="4314"/>
      <c r="I147" s="4313"/>
      <c r="J147" s="4314"/>
      <c r="K147" s="3606"/>
      <c r="L147" s="2475"/>
      <c r="M147" s="3606"/>
      <c r="N147" s="2475"/>
      <c r="O147" s="2664"/>
      <c r="P147" s="3469"/>
      <c r="Q147" s="3385"/>
      <c r="R147" s="2476"/>
      <c r="S147" s="2411"/>
      <c r="T147" s="4311"/>
      <c r="U147" s="2476"/>
      <c r="V147" s="2285"/>
      <c r="W147" s="1447" t="s">
        <v>2268</v>
      </c>
      <c r="X147" s="1584">
        <v>10000000</v>
      </c>
      <c r="Y147" s="1638">
        <v>3200000</v>
      </c>
      <c r="Z147" s="1605">
        <v>2750000</v>
      </c>
      <c r="AA147" s="1583" t="s">
        <v>2267</v>
      </c>
      <c r="AB147" s="1621">
        <v>61</v>
      </c>
      <c r="AC147" s="1441" t="s">
        <v>1987</v>
      </c>
      <c r="AD147" s="2267"/>
      <c r="AE147" s="2267"/>
      <c r="AF147" s="2267"/>
      <c r="AG147" s="2267"/>
      <c r="AH147" s="4272"/>
      <c r="AI147" s="2267"/>
      <c r="AJ147" s="2267"/>
      <c r="AK147" s="2267"/>
      <c r="AL147" s="2267"/>
      <c r="AM147" s="2267"/>
      <c r="AN147" s="2267"/>
      <c r="AO147" s="2267"/>
      <c r="AP147" s="2267"/>
      <c r="AQ147" s="2267"/>
      <c r="AR147" s="2267"/>
      <c r="AS147" s="2267"/>
      <c r="AT147" s="2267"/>
      <c r="AU147" s="2267"/>
      <c r="AV147" s="2267"/>
      <c r="AW147" s="2267"/>
      <c r="AX147" s="2267"/>
      <c r="AY147" s="2267"/>
      <c r="AZ147" s="2267"/>
      <c r="BA147" s="2267"/>
      <c r="BB147" s="2267"/>
      <c r="BC147" s="2267"/>
      <c r="BD147" s="2267"/>
      <c r="BE147" s="2267"/>
      <c r="BF147" s="2267"/>
      <c r="BG147" s="2267"/>
      <c r="BH147" s="2267"/>
      <c r="BI147" s="2267"/>
      <c r="BJ147" s="2267"/>
      <c r="BK147" s="2267"/>
      <c r="BL147" s="2267"/>
      <c r="BM147" s="4278"/>
      <c r="BN147" s="2267"/>
      <c r="BO147" s="2267"/>
      <c r="BP147" s="2267"/>
      <c r="BQ147" s="4286"/>
      <c r="BR147" s="4286"/>
      <c r="BS147" s="4286"/>
      <c r="BT147" s="4286"/>
      <c r="BU147" s="2267"/>
    </row>
    <row r="148" spans="1:73" s="3" customFormat="1" ht="67.5" customHeight="1" x14ac:dyDescent="0.25">
      <c r="A148" s="1473"/>
      <c r="B148" s="1443"/>
      <c r="C148" s="1452"/>
      <c r="D148" s="1443"/>
      <c r="E148" s="1622"/>
      <c r="F148" s="1623"/>
      <c r="G148" s="4313"/>
      <c r="H148" s="4314"/>
      <c r="I148" s="4313"/>
      <c r="J148" s="4314"/>
      <c r="K148" s="3606"/>
      <c r="L148" s="2475"/>
      <c r="M148" s="3606"/>
      <c r="N148" s="2475"/>
      <c r="O148" s="2664"/>
      <c r="P148" s="3469"/>
      <c r="Q148" s="3385"/>
      <c r="R148" s="2476"/>
      <c r="S148" s="2411"/>
      <c r="T148" s="4311"/>
      <c r="U148" s="2476"/>
      <c r="V148" s="2285"/>
      <c r="W148" s="1447" t="s">
        <v>2269</v>
      </c>
      <c r="X148" s="1584">
        <v>8000000</v>
      </c>
      <c r="Y148" s="1638">
        <v>4000000</v>
      </c>
      <c r="Z148" s="1605">
        <v>3800000</v>
      </c>
      <c r="AA148" s="1583" t="s">
        <v>2267</v>
      </c>
      <c r="AB148" s="1621">
        <v>61</v>
      </c>
      <c r="AC148" s="1441" t="s">
        <v>1987</v>
      </c>
      <c r="AD148" s="2267"/>
      <c r="AE148" s="2267"/>
      <c r="AF148" s="2267"/>
      <c r="AG148" s="2267"/>
      <c r="AH148" s="4272"/>
      <c r="AI148" s="2267"/>
      <c r="AJ148" s="2267"/>
      <c r="AK148" s="2267"/>
      <c r="AL148" s="2267"/>
      <c r="AM148" s="2267"/>
      <c r="AN148" s="2267"/>
      <c r="AO148" s="2267"/>
      <c r="AP148" s="2267"/>
      <c r="AQ148" s="2267"/>
      <c r="AR148" s="2267"/>
      <c r="AS148" s="2267"/>
      <c r="AT148" s="2267"/>
      <c r="AU148" s="2267"/>
      <c r="AV148" s="2267"/>
      <c r="AW148" s="2267"/>
      <c r="AX148" s="2267"/>
      <c r="AY148" s="2267"/>
      <c r="AZ148" s="2267"/>
      <c r="BA148" s="2267"/>
      <c r="BB148" s="2267"/>
      <c r="BC148" s="2267"/>
      <c r="BD148" s="2267"/>
      <c r="BE148" s="2267"/>
      <c r="BF148" s="2267"/>
      <c r="BG148" s="2267"/>
      <c r="BH148" s="2267"/>
      <c r="BI148" s="2267"/>
      <c r="BJ148" s="2267"/>
      <c r="BK148" s="2267"/>
      <c r="BL148" s="2267"/>
      <c r="BM148" s="4278"/>
      <c r="BN148" s="2267"/>
      <c r="BO148" s="2267"/>
      <c r="BP148" s="2267"/>
      <c r="BQ148" s="4286"/>
      <c r="BR148" s="4286"/>
      <c r="BS148" s="4286"/>
      <c r="BT148" s="4286"/>
      <c r="BU148" s="2267"/>
    </row>
    <row r="149" spans="1:73" s="3" customFormat="1" ht="67.5" customHeight="1" x14ac:dyDescent="0.25">
      <c r="A149" s="1473"/>
      <c r="B149" s="1443"/>
      <c r="C149" s="1452"/>
      <c r="D149" s="1443"/>
      <c r="E149" s="1622"/>
      <c r="F149" s="1623"/>
      <c r="G149" s="4313"/>
      <c r="H149" s="4314"/>
      <c r="I149" s="4313"/>
      <c r="J149" s="4314"/>
      <c r="K149" s="3606"/>
      <c r="L149" s="2475"/>
      <c r="M149" s="3606"/>
      <c r="N149" s="2475"/>
      <c r="O149" s="2664">
        <v>12</v>
      </c>
      <c r="P149" s="3470"/>
      <c r="Q149" s="3385"/>
      <c r="R149" s="2476"/>
      <c r="S149" s="2412"/>
      <c r="T149" s="4311"/>
      <c r="U149" s="2476"/>
      <c r="V149" s="2285"/>
      <c r="W149" s="1456" t="s">
        <v>2270</v>
      </c>
      <c r="X149" s="1585">
        <v>10000000</v>
      </c>
      <c r="Y149" s="1641">
        <v>5000000</v>
      </c>
      <c r="Z149" s="1604">
        <v>4700000</v>
      </c>
      <c r="AA149" s="1583" t="s">
        <v>2267</v>
      </c>
      <c r="AB149" s="1621">
        <v>61</v>
      </c>
      <c r="AC149" s="1441" t="s">
        <v>1987</v>
      </c>
      <c r="AD149" s="2267"/>
      <c r="AE149" s="2267"/>
      <c r="AF149" s="2267"/>
      <c r="AG149" s="2267"/>
      <c r="AH149" s="4272"/>
      <c r="AI149" s="2267"/>
      <c r="AJ149" s="2267"/>
      <c r="AK149" s="2267"/>
      <c r="AL149" s="2267"/>
      <c r="AM149" s="2267"/>
      <c r="AN149" s="2267"/>
      <c r="AO149" s="2267"/>
      <c r="AP149" s="2267"/>
      <c r="AQ149" s="2267"/>
      <c r="AR149" s="2267"/>
      <c r="AS149" s="2267"/>
      <c r="AT149" s="2267"/>
      <c r="AU149" s="2267"/>
      <c r="AV149" s="2267"/>
      <c r="AW149" s="2267"/>
      <c r="AX149" s="2267"/>
      <c r="AY149" s="2267"/>
      <c r="AZ149" s="2267"/>
      <c r="BA149" s="2267"/>
      <c r="BB149" s="2267"/>
      <c r="BC149" s="2267"/>
      <c r="BD149" s="2267"/>
      <c r="BE149" s="2267"/>
      <c r="BF149" s="2267"/>
      <c r="BG149" s="2267"/>
      <c r="BH149" s="2267"/>
      <c r="BI149" s="2267"/>
      <c r="BJ149" s="2267"/>
      <c r="BK149" s="2267"/>
      <c r="BL149" s="2267"/>
      <c r="BM149" s="4278"/>
      <c r="BN149" s="2267"/>
      <c r="BO149" s="2267"/>
      <c r="BP149" s="2267"/>
      <c r="BQ149" s="4286"/>
      <c r="BR149" s="4286"/>
      <c r="BS149" s="4286"/>
      <c r="BT149" s="4286"/>
      <c r="BU149" s="2267"/>
    </row>
    <row r="150" spans="1:73" s="3" customFormat="1" ht="67.5" customHeight="1" x14ac:dyDescent="0.25">
      <c r="A150" s="1473"/>
      <c r="B150" s="1443"/>
      <c r="C150" s="1452"/>
      <c r="D150" s="1443"/>
      <c r="E150" s="1622"/>
      <c r="F150" s="1623"/>
      <c r="G150" s="4313">
        <v>1905022</v>
      </c>
      <c r="H150" s="3086" t="s">
        <v>1094</v>
      </c>
      <c r="I150" s="4313">
        <v>1905022</v>
      </c>
      <c r="J150" s="3086" t="s">
        <v>1094</v>
      </c>
      <c r="K150" s="4270">
        <v>190502200</v>
      </c>
      <c r="L150" s="2478" t="s">
        <v>1095</v>
      </c>
      <c r="M150" s="4270">
        <v>190502200</v>
      </c>
      <c r="N150" s="2478" t="s">
        <v>1095</v>
      </c>
      <c r="O150" s="3006">
        <v>12</v>
      </c>
      <c r="P150" s="4360">
        <v>6</v>
      </c>
      <c r="Q150" s="3385"/>
      <c r="R150" s="2476"/>
      <c r="S150" s="2410">
        <f>SUM(X150:X153)/T146</f>
        <v>0.37254901960784315</v>
      </c>
      <c r="T150" s="4311"/>
      <c r="U150" s="2476"/>
      <c r="V150" s="2285" t="s">
        <v>2271</v>
      </c>
      <c r="W150" s="1447" t="s">
        <v>2272</v>
      </c>
      <c r="X150" s="1584">
        <v>14000000</v>
      </c>
      <c r="Y150" s="1638"/>
      <c r="Z150" s="1605"/>
      <c r="AA150" s="1583" t="s">
        <v>2273</v>
      </c>
      <c r="AB150" s="1621">
        <v>61</v>
      </c>
      <c r="AC150" s="1441" t="s">
        <v>1987</v>
      </c>
      <c r="AD150" s="2267"/>
      <c r="AE150" s="2267"/>
      <c r="AF150" s="2267"/>
      <c r="AG150" s="2267"/>
      <c r="AH150" s="4272"/>
      <c r="AI150" s="2267"/>
      <c r="AJ150" s="2267"/>
      <c r="AK150" s="2267"/>
      <c r="AL150" s="2267"/>
      <c r="AM150" s="2267"/>
      <c r="AN150" s="2267"/>
      <c r="AO150" s="2267"/>
      <c r="AP150" s="2267"/>
      <c r="AQ150" s="2267"/>
      <c r="AR150" s="2267"/>
      <c r="AS150" s="2267"/>
      <c r="AT150" s="2267"/>
      <c r="AU150" s="2267"/>
      <c r="AV150" s="2267"/>
      <c r="AW150" s="2267"/>
      <c r="AX150" s="2267"/>
      <c r="AY150" s="2267"/>
      <c r="AZ150" s="2267"/>
      <c r="BA150" s="2267"/>
      <c r="BB150" s="2267"/>
      <c r="BC150" s="2267"/>
      <c r="BD150" s="2267"/>
      <c r="BE150" s="2267"/>
      <c r="BF150" s="2267"/>
      <c r="BG150" s="2267"/>
      <c r="BH150" s="2267"/>
      <c r="BI150" s="2267"/>
      <c r="BJ150" s="2267"/>
      <c r="BK150" s="2267"/>
      <c r="BL150" s="2267"/>
      <c r="BM150" s="4278"/>
      <c r="BN150" s="2267"/>
      <c r="BO150" s="2267"/>
      <c r="BP150" s="2267"/>
      <c r="BQ150" s="4286"/>
      <c r="BR150" s="4286"/>
      <c r="BS150" s="4286"/>
      <c r="BT150" s="4286"/>
      <c r="BU150" s="2267"/>
    </row>
    <row r="151" spans="1:73" s="3" customFormat="1" ht="67.5" customHeight="1" x14ac:dyDescent="0.25">
      <c r="A151" s="1473"/>
      <c r="B151" s="1443"/>
      <c r="C151" s="1452"/>
      <c r="D151" s="1443"/>
      <c r="E151" s="1622"/>
      <c r="F151" s="1623"/>
      <c r="G151" s="4313"/>
      <c r="H151" s="3034"/>
      <c r="I151" s="4313"/>
      <c r="J151" s="3034"/>
      <c r="K151" s="4358"/>
      <c r="L151" s="3036"/>
      <c r="M151" s="4358"/>
      <c r="N151" s="3036"/>
      <c r="O151" s="3007"/>
      <c r="P151" s="4361"/>
      <c r="Q151" s="3385"/>
      <c r="R151" s="2476"/>
      <c r="S151" s="2411"/>
      <c r="T151" s="4311"/>
      <c r="U151" s="2476"/>
      <c r="V151" s="2285"/>
      <c r="W151" s="1447" t="s">
        <v>2274</v>
      </c>
      <c r="X151" s="1584">
        <v>19000000</v>
      </c>
      <c r="Y151" s="1638">
        <v>19000000</v>
      </c>
      <c r="Z151" s="1605">
        <v>14350000</v>
      </c>
      <c r="AA151" s="1583" t="s">
        <v>2273</v>
      </c>
      <c r="AB151" s="1621">
        <v>61</v>
      </c>
      <c r="AC151" s="1441" t="s">
        <v>1987</v>
      </c>
      <c r="AD151" s="2267"/>
      <c r="AE151" s="2267"/>
      <c r="AF151" s="2267"/>
      <c r="AG151" s="2267"/>
      <c r="AH151" s="4272"/>
      <c r="AI151" s="2267"/>
      <c r="AJ151" s="2267"/>
      <c r="AK151" s="2267"/>
      <c r="AL151" s="2267"/>
      <c r="AM151" s="2267"/>
      <c r="AN151" s="2267"/>
      <c r="AO151" s="2267"/>
      <c r="AP151" s="2267"/>
      <c r="AQ151" s="2267"/>
      <c r="AR151" s="2267"/>
      <c r="AS151" s="2267"/>
      <c r="AT151" s="2267"/>
      <c r="AU151" s="2267"/>
      <c r="AV151" s="2267"/>
      <c r="AW151" s="2267"/>
      <c r="AX151" s="2267"/>
      <c r="AY151" s="2267"/>
      <c r="AZ151" s="2267"/>
      <c r="BA151" s="2267"/>
      <c r="BB151" s="2267"/>
      <c r="BC151" s="2267"/>
      <c r="BD151" s="2267"/>
      <c r="BE151" s="2267"/>
      <c r="BF151" s="2267"/>
      <c r="BG151" s="2267"/>
      <c r="BH151" s="2267"/>
      <c r="BI151" s="2267"/>
      <c r="BJ151" s="2267"/>
      <c r="BK151" s="2267"/>
      <c r="BL151" s="2267"/>
      <c r="BM151" s="4278"/>
      <c r="BN151" s="2267"/>
      <c r="BO151" s="2267"/>
      <c r="BP151" s="2267"/>
      <c r="BQ151" s="4286"/>
      <c r="BR151" s="4286"/>
      <c r="BS151" s="4286"/>
      <c r="BT151" s="4286"/>
      <c r="BU151" s="2267"/>
    </row>
    <row r="152" spans="1:73" s="3" customFormat="1" ht="67.5" customHeight="1" x14ac:dyDescent="0.25">
      <c r="A152" s="1473"/>
      <c r="B152" s="1443"/>
      <c r="C152" s="1452"/>
      <c r="D152" s="1443"/>
      <c r="E152" s="1622"/>
      <c r="F152" s="1623"/>
      <c r="G152" s="4313"/>
      <c r="H152" s="3034"/>
      <c r="I152" s="4313"/>
      <c r="J152" s="3034"/>
      <c r="K152" s="4358"/>
      <c r="L152" s="3036"/>
      <c r="M152" s="4358"/>
      <c r="N152" s="3036"/>
      <c r="O152" s="3007"/>
      <c r="P152" s="4361"/>
      <c r="Q152" s="3385"/>
      <c r="R152" s="2476"/>
      <c r="S152" s="2411"/>
      <c r="T152" s="4311"/>
      <c r="U152" s="2476"/>
      <c r="V152" s="2285"/>
      <c r="W152" s="1447" t="s">
        <v>2275</v>
      </c>
      <c r="X152" s="1584">
        <v>12000000</v>
      </c>
      <c r="Y152" s="1641">
        <v>10810000</v>
      </c>
      <c r="Z152" s="1605">
        <v>7800000</v>
      </c>
      <c r="AA152" s="1583" t="s">
        <v>2273</v>
      </c>
      <c r="AB152" s="1621">
        <v>61</v>
      </c>
      <c r="AC152" s="1441" t="s">
        <v>1987</v>
      </c>
      <c r="AD152" s="2267"/>
      <c r="AE152" s="2267"/>
      <c r="AF152" s="2267"/>
      <c r="AG152" s="2267"/>
      <c r="AH152" s="4272"/>
      <c r="AI152" s="2267"/>
      <c r="AJ152" s="2267"/>
      <c r="AK152" s="2267"/>
      <c r="AL152" s="2267"/>
      <c r="AM152" s="2267"/>
      <c r="AN152" s="2267"/>
      <c r="AO152" s="2267"/>
      <c r="AP152" s="2267"/>
      <c r="AQ152" s="2267"/>
      <c r="AR152" s="2267"/>
      <c r="AS152" s="2267"/>
      <c r="AT152" s="2267"/>
      <c r="AU152" s="2267"/>
      <c r="AV152" s="2267"/>
      <c r="AW152" s="2267"/>
      <c r="AX152" s="2267"/>
      <c r="AY152" s="2267"/>
      <c r="AZ152" s="2267"/>
      <c r="BA152" s="2267"/>
      <c r="BB152" s="2267"/>
      <c r="BC152" s="2267"/>
      <c r="BD152" s="2267"/>
      <c r="BE152" s="2267"/>
      <c r="BF152" s="2267"/>
      <c r="BG152" s="2267"/>
      <c r="BH152" s="2267"/>
      <c r="BI152" s="2267"/>
      <c r="BJ152" s="2267"/>
      <c r="BK152" s="2267"/>
      <c r="BL152" s="2267"/>
      <c r="BM152" s="4278"/>
      <c r="BN152" s="2267"/>
      <c r="BO152" s="2267"/>
      <c r="BP152" s="2267"/>
      <c r="BQ152" s="4286"/>
      <c r="BR152" s="4286"/>
      <c r="BS152" s="4286"/>
      <c r="BT152" s="4286"/>
      <c r="BU152" s="2267"/>
    </row>
    <row r="153" spans="1:73" s="3" customFormat="1" ht="67.5" customHeight="1" x14ac:dyDescent="0.25">
      <c r="A153" s="1473"/>
      <c r="B153" s="1443"/>
      <c r="C153" s="1452"/>
      <c r="D153" s="1443"/>
      <c r="E153" s="1622"/>
      <c r="F153" s="1623"/>
      <c r="G153" s="4313"/>
      <c r="H153" s="3073"/>
      <c r="I153" s="4313"/>
      <c r="J153" s="3073"/>
      <c r="K153" s="4359"/>
      <c r="L153" s="2479"/>
      <c r="M153" s="4359"/>
      <c r="N153" s="2479"/>
      <c r="O153" s="3008"/>
      <c r="P153" s="4362"/>
      <c r="Q153" s="3385"/>
      <c r="R153" s="2476"/>
      <c r="S153" s="2412"/>
      <c r="T153" s="4311"/>
      <c r="U153" s="2476"/>
      <c r="V153" s="2285"/>
      <c r="W153" s="1456" t="s">
        <v>2276</v>
      </c>
      <c r="X153" s="1585">
        <v>12000000</v>
      </c>
      <c r="Y153" s="1585">
        <v>9000000</v>
      </c>
      <c r="Z153" s="1604">
        <v>6700000</v>
      </c>
      <c r="AA153" s="1583" t="s">
        <v>2273</v>
      </c>
      <c r="AB153" s="1621">
        <v>61</v>
      </c>
      <c r="AC153" s="1441" t="s">
        <v>1987</v>
      </c>
      <c r="AD153" s="2267"/>
      <c r="AE153" s="2267"/>
      <c r="AF153" s="2267"/>
      <c r="AG153" s="2267"/>
      <c r="AH153" s="4272"/>
      <c r="AI153" s="2267"/>
      <c r="AJ153" s="2267"/>
      <c r="AK153" s="2267"/>
      <c r="AL153" s="2267"/>
      <c r="AM153" s="2267"/>
      <c r="AN153" s="2267"/>
      <c r="AO153" s="2267"/>
      <c r="AP153" s="2267"/>
      <c r="AQ153" s="2267"/>
      <c r="AR153" s="2267"/>
      <c r="AS153" s="2267"/>
      <c r="AT153" s="2267"/>
      <c r="AU153" s="2267"/>
      <c r="AV153" s="2267"/>
      <c r="AW153" s="2267"/>
      <c r="AX153" s="2267"/>
      <c r="AY153" s="2267"/>
      <c r="AZ153" s="2267"/>
      <c r="BA153" s="2267"/>
      <c r="BB153" s="2267"/>
      <c r="BC153" s="2267"/>
      <c r="BD153" s="2267"/>
      <c r="BE153" s="2267"/>
      <c r="BF153" s="2267"/>
      <c r="BG153" s="2267"/>
      <c r="BH153" s="2267"/>
      <c r="BI153" s="2267"/>
      <c r="BJ153" s="2267"/>
      <c r="BK153" s="2267"/>
      <c r="BL153" s="2267"/>
      <c r="BM153" s="4278"/>
      <c r="BN153" s="2267"/>
      <c r="BO153" s="2267"/>
      <c r="BP153" s="2267"/>
      <c r="BQ153" s="4286"/>
      <c r="BR153" s="4286"/>
      <c r="BS153" s="4286"/>
      <c r="BT153" s="4286"/>
      <c r="BU153" s="2267"/>
    </row>
    <row r="154" spans="1:73" s="3" customFormat="1" ht="67.5" customHeight="1" x14ac:dyDescent="0.25">
      <c r="A154" s="1473"/>
      <c r="B154" s="1443"/>
      <c r="C154" s="1452"/>
      <c r="D154" s="1443"/>
      <c r="E154" s="1622"/>
      <c r="F154" s="1623"/>
      <c r="G154" s="4313" t="s">
        <v>74</v>
      </c>
      <c r="H154" s="4314" t="s">
        <v>2277</v>
      </c>
      <c r="I154" s="4313">
        <v>1905015</v>
      </c>
      <c r="J154" s="4314" t="s">
        <v>791</v>
      </c>
      <c r="K154" s="3606" t="s">
        <v>74</v>
      </c>
      <c r="L154" s="2475" t="s">
        <v>2278</v>
      </c>
      <c r="M154" s="3606" t="s">
        <v>2279</v>
      </c>
      <c r="N154" s="2475" t="s">
        <v>2199</v>
      </c>
      <c r="O154" s="4371">
        <v>1</v>
      </c>
      <c r="P154" s="3468">
        <v>0</v>
      </c>
      <c r="Q154" s="3385"/>
      <c r="R154" s="2476"/>
      <c r="S154" s="4339">
        <f>SUM(X154:X159)/T146</f>
        <v>0.37908496732026142</v>
      </c>
      <c r="T154" s="4311"/>
      <c r="U154" s="2476"/>
      <c r="V154" s="2285" t="s">
        <v>2280</v>
      </c>
      <c r="W154" s="1447" t="s">
        <v>2281</v>
      </c>
      <c r="X154" s="1584">
        <v>18000000</v>
      </c>
      <c r="Y154" s="1638">
        <v>7000000</v>
      </c>
      <c r="Z154" s="1605"/>
      <c r="AA154" s="1583" t="s">
        <v>2282</v>
      </c>
      <c r="AB154" s="1621">
        <v>61</v>
      </c>
      <c r="AC154" s="1441" t="s">
        <v>1987</v>
      </c>
      <c r="AD154" s="2267"/>
      <c r="AE154" s="2267"/>
      <c r="AF154" s="2267"/>
      <c r="AG154" s="2267"/>
      <c r="AH154" s="4272"/>
      <c r="AI154" s="2267"/>
      <c r="AJ154" s="2267"/>
      <c r="AK154" s="2267"/>
      <c r="AL154" s="2267"/>
      <c r="AM154" s="2267"/>
      <c r="AN154" s="2267"/>
      <c r="AO154" s="2267"/>
      <c r="AP154" s="2267"/>
      <c r="AQ154" s="2267"/>
      <c r="AR154" s="2267"/>
      <c r="AS154" s="2267"/>
      <c r="AT154" s="2267"/>
      <c r="AU154" s="2267"/>
      <c r="AV154" s="2267"/>
      <c r="AW154" s="2267"/>
      <c r="AX154" s="2267"/>
      <c r="AY154" s="2267"/>
      <c r="AZ154" s="2267"/>
      <c r="BA154" s="2267"/>
      <c r="BB154" s="2267"/>
      <c r="BC154" s="2267"/>
      <c r="BD154" s="2267"/>
      <c r="BE154" s="2267"/>
      <c r="BF154" s="2267"/>
      <c r="BG154" s="2267"/>
      <c r="BH154" s="2267"/>
      <c r="BI154" s="2267"/>
      <c r="BJ154" s="2267"/>
      <c r="BK154" s="2267"/>
      <c r="BL154" s="2267"/>
      <c r="BM154" s="4278"/>
      <c r="BN154" s="2267"/>
      <c r="BO154" s="2267"/>
      <c r="BP154" s="2267"/>
      <c r="BQ154" s="4286"/>
      <c r="BR154" s="4286"/>
      <c r="BS154" s="4286"/>
      <c r="BT154" s="4286"/>
      <c r="BU154" s="2267"/>
    </row>
    <row r="155" spans="1:73" s="3" customFormat="1" ht="58.5" customHeight="1" x14ac:dyDescent="0.25">
      <c r="A155" s="1473"/>
      <c r="B155" s="1443"/>
      <c r="C155" s="1452"/>
      <c r="D155" s="1443"/>
      <c r="E155" s="1622"/>
      <c r="F155" s="1623"/>
      <c r="G155" s="4313"/>
      <c r="H155" s="4314"/>
      <c r="I155" s="4313"/>
      <c r="J155" s="4314"/>
      <c r="K155" s="3606"/>
      <c r="L155" s="2475"/>
      <c r="M155" s="3606"/>
      <c r="N155" s="2475"/>
      <c r="O155" s="4371"/>
      <c r="P155" s="3469"/>
      <c r="Q155" s="3385"/>
      <c r="R155" s="2476"/>
      <c r="S155" s="4339"/>
      <c r="T155" s="4311"/>
      <c r="U155" s="2476"/>
      <c r="V155" s="2285"/>
      <c r="W155" s="1447" t="s">
        <v>2283</v>
      </c>
      <c r="X155" s="1584">
        <v>8000000</v>
      </c>
      <c r="Y155" s="1638"/>
      <c r="Z155" s="1605"/>
      <c r="AA155" s="1583" t="s">
        <v>2282</v>
      </c>
      <c r="AB155" s="1621">
        <v>61</v>
      </c>
      <c r="AC155" s="1441" t="s">
        <v>1987</v>
      </c>
      <c r="AD155" s="2267"/>
      <c r="AE155" s="2267"/>
      <c r="AF155" s="2267"/>
      <c r="AG155" s="2267"/>
      <c r="AH155" s="4272"/>
      <c r="AI155" s="2267"/>
      <c r="AJ155" s="2267"/>
      <c r="AK155" s="2267"/>
      <c r="AL155" s="2267"/>
      <c r="AM155" s="2267"/>
      <c r="AN155" s="2267"/>
      <c r="AO155" s="2267"/>
      <c r="AP155" s="2267"/>
      <c r="AQ155" s="2267"/>
      <c r="AR155" s="2267"/>
      <c r="AS155" s="2267"/>
      <c r="AT155" s="2267"/>
      <c r="AU155" s="2267"/>
      <c r="AV155" s="2267"/>
      <c r="AW155" s="2267"/>
      <c r="AX155" s="2267"/>
      <c r="AY155" s="2267"/>
      <c r="AZ155" s="2267"/>
      <c r="BA155" s="2267"/>
      <c r="BB155" s="2267"/>
      <c r="BC155" s="2267"/>
      <c r="BD155" s="2267"/>
      <c r="BE155" s="2267"/>
      <c r="BF155" s="2267"/>
      <c r="BG155" s="2267"/>
      <c r="BH155" s="2267"/>
      <c r="BI155" s="2267"/>
      <c r="BJ155" s="2267"/>
      <c r="BK155" s="2267"/>
      <c r="BL155" s="2267"/>
      <c r="BM155" s="4278"/>
      <c r="BN155" s="2267"/>
      <c r="BO155" s="2267"/>
      <c r="BP155" s="2267"/>
      <c r="BQ155" s="4286"/>
      <c r="BR155" s="4286"/>
      <c r="BS155" s="4286"/>
      <c r="BT155" s="4286"/>
      <c r="BU155" s="2267"/>
    </row>
    <row r="156" spans="1:73" s="3" customFormat="1" ht="58.5" customHeight="1" x14ac:dyDescent="0.25">
      <c r="A156" s="1473"/>
      <c r="B156" s="1443"/>
      <c r="C156" s="1452"/>
      <c r="D156" s="1443"/>
      <c r="E156" s="1622"/>
      <c r="F156" s="1623"/>
      <c r="G156" s="4313"/>
      <c r="H156" s="4314"/>
      <c r="I156" s="4313"/>
      <c r="J156" s="4314"/>
      <c r="K156" s="3606"/>
      <c r="L156" s="2475"/>
      <c r="M156" s="3606"/>
      <c r="N156" s="2475"/>
      <c r="O156" s="4371"/>
      <c r="P156" s="3469"/>
      <c r="Q156" s="3385"/>
      <c r="R156" s="2476"/>
      <c r="S156" s="4339"/>
      <c r="T156" s="4311"/>
      <c r="U156" s="2476"/>
      <c r="V156" s="2285"/>
      <c r="W156" s="1447" t="s">
        <v>2284</v>
      </c>
      <c r="X156" s="1584">
        <v>8000000</v>
      </c>
      <c r="Y156" s="1638"/>
      <c r="Z156" s="1605"/>
      <c r="AA156" s="1583" t="s">
        <v>2282</v>
      </c>
      <c r="AB156" s="1621">
        <v>61</v>
      </c>
      <c r="AC156" s="1441" t="s">
        <v>1987</v>
      </c>
      <c r="AD156" s="2267"/>
      <c r="AE156" s="2267"/>
      <c r="AF156" s="2267"/>
      <c r="AG156" s="2267"/>
      <c r="AH156" s="4272"/>
      <c r="AI156" s="2267"/>
      <c r="AJ156" s="2267"/>
      <c r="AK156" s="2267"/>
      <c r="AL156" s="2267"/>
      <c r="AM156" s="2267"/>
      <c r="AN156" s="2267"/>
      <c r="AO156" s="2267"/>
      <c r="AP156" s="2267"/>
      <c r="AQ156" s="2267"/>
      <c r="AR156" s="2267"/>
      <c r="AS156" s="2267"/>
      <c r="AT156" s="2267"/>
      <c r="AU156" s="2267"/>
      <c r="AV156" s="2267"/>
      <c r="AW156" s="2267"/>
      <c r="AX156" s="2267"/>
      <c r="AY156" s="2267"/>
      <c r="AZ156" s="2267"/>
      <c r="BA156" s="2267"/>
      <c r="BB156" s="2267"/>
      <c r="BC156" s="2267"/>
      <c r="BD156" s="2267"/>
      <c r="BE156" s="2267"/>
      <c r="BF156" s="2267"/>
      <c r="BG156" s="2267"/>
      <c r="BH156" s="2267"/>
      <c r="BI156" s="2267"/>
      <c r="BJ156" s="2267"/>
      <c r="BK156" s="2267"/>
      <c r="BL156" s="2267"/>
      <c r="BM156" s="4278"/>
      <c r="BN156" s="2267"/>
      <c r="BO156" s="2267"/>
      <c r="BP156" s="2267"/>
      <c r="BQ156" s="4286"/>
      <c r="BR156" s="4286"/>
      <c r="BS156" s="4286"/>
      <c r="BT156" s="4286"/>
      <c r="BU156" s="2267"/>
    </row>
    <row r="157" spans="1:73" s="3" customFormat="1" ht="58.5" customHeight="1" x14ac:dyDescent="0.25">
      <c r="A157" s="1473"/>
      <c r="B157" s="1443"/>
      <c r="C157" s="1452"/>
      <c r="D157" s="1443"/>
      <c r="E157" s="1622"/>
      <c r="F157" s="1623"/>
      <c r="G157" s="4313"/>
      <c r="H157" s="4314"/>
      <c r="I157" s="4313"/>
      <c r="J157" s="4314"/>
      <c r="K157" s="3606"/>
      <c r="L157" s="2475"/>
      <c r="M157" s="3606"/>
      <c r="N157" s="2475"/>
      <c r="O157" s="4371"/>
      <c r="P157" s="3469"/>
      <c r="Q157" s="3385"/>
      <c r="R157" s="2476"/>
      <c r="S157" s="4339"/>
      <c r="T157" s="4311"/>
      <c r="U157" s="2476"/>
      <c r="V157" s="2285"/>
      <c r="W157" s="1447" t="s">
        <v>2285</v>
      </c>
      <c r="X157" s="1584">
        <v>8000000</v>
      </c>
      <c r="Y157" s="1638"/>
      <c r="Z157" s="1605"/>
      <c r="AA157" s="1583" t="s">
        <v>2282</v>
      </c>
      <c r="AB157" s="1621">
        <v>61</v>
      </c>
      <c r="AC157" s="1441" t="s">
        <v>1987</v>
      </c>
      <c r="AD157" s="2267"/>
      <c r="AE157" s="2267"/>
      <c r="AF157" s="2267"/>
      <c r="AG157" s="2267"/>
      <c r="AH157" s="4272"/>
      <c r="AI157" s="2267"/>
      <c r="AJ157" s="2267"/>
      <c r="AK157" s="2267"/>
      <c r="AL157" s="2267"/>
      <c r="AM157" s="2267"/>
      <c r="AN157" s="2267"/>
      <c r="AO157" s="2267"/>
      <c r="AP157" s="2267"/>
      <c r="AQ157" s="2267"/>
      <c r="AR157" s="2267"/>
      <c r="AS157" s="2267"/>
      <c r="AT157" s="2267"/>
      <c r="AU157" s="2267"/>
      <c r="AV157" s="2267"/>
      <c r="AW157" s="2267"/>
      <c r="AX157" s="2267"/>
      <c r="AY157" s="2267"/>
      <c r="AZ157" s="2267"/>
      <c r="BA157" s="2267"/>
      <c r="BB157" s="2267"/>
      <c r="BC157" s="2267"/>
      <c r="BD157" s="2267"/>
      <c r="BE157" s="2267"/>
      <c r="BF157" s="2267"/>
      <c r="BG157" s="2267"/>
      <c r="BH157" s="2267"/>
      <c r="BI157" s="2267"/>
      <c r="BJ157" s="2267"/>
      <c r="BK157" s="2267"/>
      <c r="BL157" s="2267"/>
      <c r="BM157" s="4278"/>
      <c r="BN157" s="2267"/>
      <c r="BO157" s="2267"/>
      <c r="BP157" s="2267"/>
      <c r="BQ157" s="4286"/>
      <c r="BR157" s="4286"/>
      <c r="BS157" s="4286"/>
      <c r="BT157" s="4286"/>
      <c r="BU157" s="2267"/>
    </row>
    <row r="158" spans="1:73" s="3" customFormat="1" ht="58.5" customHeight="1" x14ac:dyDescent="0.25">
      <c r="A158" s="1473"/>
      <c r="B158" s="1443"/>
      <c r="C158" s="1452"/>
      <c r="D158" s="1443"/>
      <c r="E158" s="1622"/>
      <c r="F158" s="1623"/>
      <c r="G158" s="4313"/>
      <c r="H158" s="4314"/>
      <c r="I158" s="4313"/>
      <c r="J158" s="4314"/>
      <c r="K158" s="3606"/>
      <c r="L158" s="2475"/>
      <c r="M158" s="3606"/>
      <c r="N158" s="2475"/>
      <c r="O158" s="4371"/>
      <c r="P158" s="3469"/>
      <c r="Q158" s="3385"/>
      <c r="R158" s="2476"/>
      <c r="S158" s="4339"/>
      <c r="T158" s="4311"/>
      <c r="U158" s="2476"/>
      <c r="V158" s="2285"/>
      <c r="W158" s="1447" t="s">
        <v>2286</v>
      </c>
      <c r="X158" s="1584">
        <v>8000000</v>
      </c>
      <c r="Y158" s="1638">
        <v>7350000</v>
      </c>
      <c r="Z158" s="1605"/>
      <c r="AA158" s="1583" t="s">
        <v>2282</v>
      </c>
      <c r="AB158" s="1621">
        <v>61</v>
      </c>
      <c r="AC158" s="1441" t="s">
        <v>1987</v>
      </c>
      <c r="AD158" s="2267"/>
      <c r="AE158" s="2267"/>
      <c r="AF158" s="2267"/>
      <c r="AG158" s="2267"/>
      <c r="AH158" s="4272"/>
      <c r="AI158" s="2267"/>
      <c r="AJ158" s="2267"/>
      <c r="AK158" s="2267"/>
      <c r="AL158" s="2267"/>
      <c r="AM158" s="2267"/>
      <c r="AN158" s="2267"/>
      <c r="AO158" s="2267"/>
      <c r="AP158" s="2267"/>
      <c r="AQ158" s="2267"/>
      <c r="AR158" s="2267"/>
      <c r="AS158" s="2267"/>
      <c r="AT158" s="2267"/>
      <c r="AU158" s="2267"/>
      <c r="AV158" s="2267"/>
      <c r="AW158" s="2267"/>
      <c r="AX158" s="2267"/>
      <c r="AY158" s="2267"/>
      <c r="AZ158" s="2267"/>
      <c r="BA158" s="2267"/>
      <c r="BB158" s="2267"/>
      <c r="BC158" s="2267"/>
      <c r="BD158" s="2267"/>
      <c r="BE158" s="2267"/>
      <c r="BF158" s="2267"/>
      <c r="BG158" s="2267"/>
      <c r="BH158" s="2267"/>
      <c r="BI158" s="2267"/>
      <c r="BJ158" s="2267"/>
      <c r="BK158" s="2267"/>
      <c r="BL158" s="2267"/>
      <c r="BM158" s="4278"/>
      <c r="BN158" s="2267"/>
      <c r="BO158" s="2267"/>
      <c r="BP158" s="2267"/>
      <c r="BQ158" s="4286"/>
      <c r="BR158" s="4286"/>
      <c r="BS158" s="4286"/>
      <c r="BT158" s="4286"/>
      <c r="BU158" s="2267"/>
    </row>
    <row r="159" spans="1:73" s="3" customFormat="1" ht="58.5" customHeight="1" x14ac:dyDescent="0.25">
      <c r="A159" s="1473"/>
      <c r="B159" s="1443"/>
      <c r="C159" s="1452"/>
      <c r="D159" s="1443"/>
      <c r="E159" s="1622"/>
      <c r="F159" s="1623"/>
      <c r="G159" s="4313"/>
      <c r="H159" s="4314"/>
      <c r="I159" s="4313"/>
      <c r="J159" s="4314"/>
      <c r="K159" s="3606"/>
      <c r="L159" s="2475"/>
      <c r="M159" s="3606"/>
      <c r="N159" s="2475"/>
      <c r="O159" s="4371"/>
      <c r="P159" s="3470"/>
      <c r="Q159" s="3385"/>
      <c r="R159" s="2476"/>
      <c r="S159" s="4339"/>
      <c r="T159" s="4311"/>
      <c r="U159" s="2476"/>
      <c r="V159" s="2285"/>
      <c r="W159" s="1447" t="s">
        <v>2287</v>
      </c>
      <c r="X159" s="1584">
        <v>8000000</v>
      </c>
      <c r="Y159" s="1638">
        <v>2400000</v>
      </c>
      <c r="Z159" s="1605"/>
      <c r="AA159" s="1583" t="s">
        <v>2282</v>
      </c>
      <c r="AB159" s="1621">
        <v>61</v>
      </c>
      <c r="AC159" s="1441" t="s">
        <v>1987</v>
      </c>
      <c r="AD159" s="2439"/>
      <c r="AE159" s="2439"/>
      <c r="AF159" s="2267"/>
      <c r="AG159" s="2439"/>
      <c r="AH159" s="4272"/>
      <c r="AI159" s="2439"/>
      <c r="AJ159" s="2267"/>
      <c r="AK159" s="2439"/>
      <c r="AL159" s="2267"/>
      <c r="AM159" s="2439"/>
      <c r="AN159" s="2267"/>
      <c r="AO159" s="2439"/>
      <c r="AP159" s="2267"/>
      <c r="AQ159" s="2439"/>
      <c r="AR159" s="2267"/>
      <c r="AS159" s="2439"/>
      <c r="AT159" s="2267"/>
      <c r="AU159" s="2439"/>
      <c r="AV159" s="2267"/>
      <c r="AW159" s="2439"/>
      <c r="AX159" s="2267"/>
      <c r="AY159" s="2439"/>
      <c r="AZ159" s="2267"/>
      <c r="BA159" s="2439"/>
      <c r="BB159" s="2267"/>
      <c r="BC159" s="2439"/>
      <c r="BD159" s="2267"/>
      <c r="BE159" s="2439"/>
      <c r="BF159" s="2267"/>
      <c r="BG159" s="2439"/>
      <c r="BH159" s="2267"/>
      <c r="BI159" s="2439"/>
      <c r="BJ159" s="2439"/>
      <c r="BK159" s="2439"/>
      <c r="BL159" s="2439"/>
      <c r="BM159" s="4279"/>
      <c r="BN159" s="2439"/>
      <c r="BO159" s="2439"/>
      <c r="BP159" s="2439"/>
      <c r="BQ159" s="4286"/>
      <c r="BR159" s="4286"/>
      <c r="BS159" s="4286"/>
      <c r="BT159" s="4286"/>
      <c r="BU159" s="2267"/>
    </row>
    <row r="160" spans="1:73" s="3" customFormat="1" ht="101.25" customHeight="1" x14ac:dyDescent="0.25">
      <c r="A160" s="1473"/>
      <c r="B160" s="1443"/>
      <c r="C160" s="1452"/>
      <c r="D160" s="1443"/>
      <c r="E160" s="1622"/>
      <c r="F160" s="1623"/>
      <c r="G160" s="4313">
        <v>1905023</v>
      </c>
      <c r="H160" s="4367" t="s">
        <v>2288</v>
      </c>
      <c r="I160" s="4313">
        <v>1905023</v>
      </c>
      <c r="J160" s="4367" t="s">
        <v>2288</v>
      </c>
      <c r="K160" s="4368">
        <v>190502300</v>
      </c>
      <c r="L160" s="4370" t="s">
        <v>2289</v>
      </c>
      <c r="M160" s="4368">
        <v>190502300</v>
      </c>
      <c r="N160" s="4370" t="s">
        <v>2289</v>
      </c>
      <c r="O160" s="4373">
        <v>12</v>
      </c>
      <c r="P160" s="4374">
        <v>12</v>
      </c>
      <c r="Q160" s="4295" t="s">
        <v>2290</v>
      </c>
      <c r="R160" s="4375" t="s">
        <v>2291</v>
      </c>
      <c r="S160" s="4339">
        <f>SUM(X160:X164)/T160</f>
        <v>0.58011049723756902</v>
      </c>
      <c r="T160" s="4311">
        <f>SUM(X160:X168)</f>
        <v>181000000</v>
      </c>
      <c r="U160" s="2476" t="s">
        <v>2292</v>
      </c>
      <c r="V160" s="2285" t="s">
        <v>2293</v>
      </c>
      <c r="W160" s="1447" t="s">
        <v>2294</v>
      </c>
      <c r="X160" s="1584">
        <v>21000000</v>
      </c>
      <c r="Y160" s="1638">
        <f>14640000+4500000</f>
        <v>19140000</v>
      </c>
      <c r="Z160" s="1605">
        <v>14150000</v>
      </c>
      <c r="AA160" s="1583" t="s">
        <v>2295</v>
      </c>
      <c r="AB160" s="1621">
        <v>61</v>
      </c>
      <c r="AC160" s="1441" t="s">
        <v>1987</v>
      </c>
      <c r="AD160" s="2438">
        <v>289394</v>
      </c>
      <c r="AE160" s="2438"/>
      <c r="AF160" s="2438">
        <v>279112</v>
      </c>
      <c r="AG160" s="2438"/>
      <c r="AH160" s="3809">
        <v>63164</v>
      </c>
      <c r="AI160" s="2438"/>
      <c r="AJ160" s="2438">
        <v>45607</v>
      </c>
      <c r="AK160" s="2438"/>
      <c r="AL160" s="2438">
        <v>365607</v>
      </c>
      <c r="AM160" s="2438"/>
      <c r="AN160" s="2438">
        <v>75612</v>
      </c>
      <c r="AO160" s="2438"/>
      <c r="AP160" s="2438">
        <v>2145</v>
      </c>
      <c r="AQ160" s="2438"/>
      <c r="AR160" s="2438">
        <v>12718</v>
      </c>
      <c r="AS160" s="2438"/>
      <c r="AT160" s="2438">
        <v>26</v>
      </c>
      <c r="AU160" s="2438"/>
      <c r="AV160" s="2438">
        <v>37</v>
      </c>
      <c r="AW160" s="2438"/>
      <c r="AX160" s="2438">
        <v>0</v>
      </c>
      <c r="AY160" s="2438"/>
      <c r="AZ160" s="2438">
        <v>0</v>
      </c>
      <c r="BA160" s="2438"/>
      <c r="BB160" s="2438">
        <v>78</v>
      </c>
      <c r="BC160" s="2438"/>
      <c r="BD160" s="2438">
        <v>16897</v>
      </c>
      <c r="BE160" s="2438"/>
      <c r="BF160" s="2438">
        <v>852</v>
      </c>
      <c r="BG160" s="2438"/>
      <c r="BH160" s="2438">
        <v>568506</v>
      </c>
      <c r="BI160" s="2438"/>
      <c r="BJ160" s="2438">
        <v>8</v>
      </c>
      <c r="BK160" s="4287">
        <f>SUM(Y160:Y168)</f>
        <v>119280000</v>
      </c>
      <c r="BL160" s="4287">
        <f>SUM(Z160:Z168)</f>
        <v>75246000</v>
      </c>
      <c r="BM160" s="4277">
        <f>BL160/BK160</f>
        <v>0.63083501006036213</v>
      </c>
      <c r="BN160" s="2438">
        <v>61</v>
      </c>
      <c r="BO160" s="2438" t="s">
        <v>2056</v>
      </c>
      <c r="BP160" s="2438" t="s">
        <v>2170</v>
      </c>
      <c r="BQ160" s="4285">
        <v>44197</v>
      </c>
      <c r="BR160" s="4285">
        <v>44243</v>
      </c>
      <c r="BS160" s="4285">
        <v>44561</v>
      </c>
      <c r="BT160" s="4285">
        <v>44561</v>
      </c>
      <c r="BU160" s="2438" t="s">
        <v>1991</v>
      </c>
    </row>
    <row r="161" spans="1:73" s="3" customFormat="1" ht="72.75" customHeight="1" x14ac:dyDescent="0.25">
      <c r="A161" s="1473"/>
      <c r="B161" s="1443"/>
      <c r="C161" s="1452"/>
      <c r="D161" s="1443"/>
      <c r="E161" s="1622"/>
      <c r="F161" s="1623"/>
      <c r="G161" s="4313"/>
      <c r="H161" s="3083"/>
      <c r="I161" s="4313"/>
      <c r="J161" s="3083"/>
      <c r="K161" s="4369"/>
      <c r="L161" s="3082"/>
      <c r="M161" s="4369"/>
      <c r="N161" s="3082"/>
      <c r="O161" s="3381"/>
      <c r="P161" s="3872"/>
      <c r="Q161" s="3377"/>
      <c r="R161" s="4376"/>
      <c r="S161" s="4339"/>
      <c r="T161" s="4311"/>
      <c r="U161" s="2476"/>
      <c r="V161" s="2285"/>
      <c r="W161" s="1447" t="s">
        <v>2296</v>
      </c>
      <c r="X161" s="1584">
        <v>20000000</v>
      </c>
      <c r="Y161" s="1638">
        <f>13600000+2000000</f>
        <v>15600000</v>
      </c>
      <c r="Z161" s="1605">
        <v>11210000</v>
      </c>
      <c r="AA161" s="1583" t="s">
        <v>2295</v>
      </c>
      <c r="AB161" s="1621">
        <v>61</v>
      </c>
      <c r="AC161" s="1441" t="s">
        <v>1987</v>
      </c>
      <c r="AD161" s="2267"/>
      <c r="AE161" s="2267"/>
      <c r="AF161" s="2267"/>
      <c r="AG161" s="2267"/>
      <c r="AH161" s="4272"/>
      <c r="AI161" s="2267"/>
      <c r="AJ161" s="2267"/>
      <c r="AK161" s="2267"/>
      <c r="AL161" s="2267"/>
      <c r="AM161" s="2267"/>
      <c r="AN161" s="2267"/>
      <c r="AO161" s="2267"/>
      <c r="AP161" s="2267"/>
      <c r="AQ161" s="2267"/>
      <c r="AR161" s="2267"/>
      <c r="AS161" s="2267"/>
      <c r="AT161" s="2267"/>
      <c r="AU161" s="2267"/>
      <c r="AV161" s="2267"/>
      <c r="AW161" s="2267"/>
      <c r="AX161" s="2267"/>
      <c r="AY161" s="2267"/>
      <c r="AZ161" s="2267"/>
      <c r="BA161" s="2267"/>
      <c r="BB161" s="2267"/>
      <c r="BC161" s="2267"/>
      <c r="BD161" s="2267"/>
      <c r="BE161" s="2267"/>
      <c r="BF161" s="2267"/>
      <c r="BG161" s="2267"/>
      <c r="BH161" s="2267"/>
      <c r="BI161" s="2267"/>
      <c r="BJ161" s="2267"/>
      <c r="BK161" s="2267"/>
      <c r="BL161" s="2267"/>
      <c r="BM161" s="4278"/>
      <c r="BN161" s="2267"/>
      <c r="BO161" s="2267"/>
      <c r="BP161" s="2267"/>
      <c r="BQ161" s="4286"/>
      <c r="BR161" s="4286"/>
      <c r="BS161" s="4286"/>
      <c r="BT161" s="4286"/>
      <c r="BU161" s="2267"/>
    </row>
    <row r="162" spans="1:73" s="3" customFormat="1" ht="82.5" customHeight="1" x14ac:dyDescent="0.25">
      <c r="A162" s="1473"/>
      <c r="B162" s="1443"/>
      <c r="C162" s="1452"/>
      <c r="D162" s="1443"/>
      <c r="E162" s="1622"/>
      <c r="F162" s="1623"/>
      <c r="G162" s="4313"/>
      <c r="H162" s="3083"/>
      <c r="I162" s="4313"/>
      <c r="J162" s="3083"/>
      <c r="K162" s="4369"/>
      <c r="L162" s="3082"/>
      <c r="M162" s="4369"/>
      <c r="N162" s="3082"/>
      <c r="O162" s="3381"/>
      <c r="P162" s="3872"/>
      <c r="Q162" s="3377"/>
      <c r="R162" s="4376"/>
      <c r="S162" s="4339"/>
      <c r="T162" s="4311"/>
      <c r="U162" s="2476"/>
      <c r="V162" s="2285"/>
      <c r="W162" s="1447" t="s">
        <v>2297</v>
      </c>
      <c r="X162" s="1584">
        <v>22000000</v>
      </c>
      <c r="Y162" s="1638">
        <v>6980000</v>
      </c>
      <c r="Z162" s="1605">
        <v>4500000</v>
      </c>
      <c r="AA162" s="1583" t="s">
        <v>2295</v>
      </c>
      <c r="AB162" s="1621">
        <v>61</v>
      </c>
      <c r="AC162" s="1441" t="s">
        <v>1987</v>
      </c>
      <c r="AD162" s="2267"/>
      <c r="AE162" s="2267"/>
      <c r="AF162" s="2267"/>
      <c r="AG162" s="2267"/>
      <c r="AH162" s="4272"/>
      <c r="AI162" s="2267"/>
      <c r="AJ162" s="2267"/>
      <c r="AK162" s="2267"/>
      <c r="AL162" s="2267"/>
      <c r="AM162" s="2267"/>
      <c r="AN162" s="2267"/>
      <c r="AO162" s="2267"/>
      <c r="AP162" s="2267"/>
      <c r="AQ162" s="2267"/>
      <c r="AR162" s="2267"/>
      <c r="AS162" s="2267"/>
      <c r="AT162" s="2267"/>
      <c r="AU162" s="2267"/>
      <c r="AV162" s="2267"/>
      <c r="AW162" s="2267"/>
      <c r="AX162" s="2267"/>
      <c r="AY162" s="2267"/>
      <c r="AZ162" s="2267"/>
      <c r="BA162" s="2267"/>
      <c r="BB162" s="2267"/>
      <c r="BC162" s="2267"/>
      <c r="BD162" s="2267"/>
      <c r="BE162" s="2267"/>
      <c r="BF162" s="2267"/>
      <c r="BG162" s="2267"/>
      <c r="BH162" s="2267"/>
      <c r="BI162" s="2267"/>
      <c r="BJ162" s="2267"/>
      <c r="BK162" s="2267"/>
      <c r="BL162" s="2267"/>
      <c r="BM162" s="4278"/>
      <c r="BN162" s="2267"/>
      <c r="BO162" s="2267"/>
      <c r="BP162" s="2267"/>
      <c r="BQ162" s="4286"/>
      <c r="BR162" s="4286"/>
      <c r="BS162" s="4286"/>
      <c r="BT162" s="4286"/>
      <c r="BU162" s="2267"/>
    </row>
    <row r="163" spans="1:73" s="3" customFormat="1" ht="56.25" customHeight="1" x14ac:dyDescent="0.25">
      <c r="A163" s="1473"/>
      <c r="B163" s="1443"/>
      <c r="C163" s="1452"/>
      <c r="D163" s="1443"/>
      <c r="E163" s="1622"/>
      <c r="F163" s="1623"/>
      <c r="G163" s="4313"/>
      <c r="H163" s="3083"/>
      <c r="I163" s="4313"/>
      <c r="J163" s="3083"/>
      <c r="K163" s="4369"/>
      <c r="L163" s="3082"/>
      <c r="M163" s="4369"/>
      <c r="N163" s="3082"/>
      <c r="O163" s="3381"/>
      <c r="P163" s="3872"/>
      <c r="Q163" s="3377"/>
      <c r="R163" s="4376"/>
      <c r="S163" s="4339"/>
      <c r="T163" s="4311"/>
      <c r="U163" s="2476"/>
      <c r="V163" s="2285"/>
      <c r="W163" s="1447" t="s">
        <v>2298</v>
      </c>
      <c r="X163" s="1584">
        <v>22000000</v>
      </c>
      <c r="Y163" s="1638">
        <f>15740000+1300000</f>
        <v>17040000</v>
      </c>
      <c r="Z163" s="1605">
        <v>15005000</v>
      </c>
      <c r="AA163" s="1583" t="s">
        <v>2295</v>
      </c>
      <c r="AB163" s="1621">
        <v>61</v>
      </c>
      <c r="AC163" s="1441" t="s">
        <v>1987</v>
      </c>
      <c r="AD163" s="2267"/>
      <c r="AE163" s="2267"/>
      <c r="AF163" s="2267"/>
      <c r="AG163" s="2267"/>
      <c r="AH163" s="4272"/>
      <c r="AI163" s="2267"/>
      <c r="AJ163" s="2267"/>
      <c r="AK163" s="2267"/>
      <c r="AL163" s="2267"/>
      <c r="AM163" s="2267"/>
      <c r="AN163" s="2267"/>
      <c r="AO163" s="2267"/>
      <c r="AP163" s="2267"/>
      <c r="AQ163" s="2267"/>
      <c r="AR163" s="2267"/>
      <c r="AS163" s="2267"/>
      <c r="AT163" s="2267"/>
      <c r="AU163" s="2267"/>
      <c r="AV163" s="2267"/>
      <c r="AW163" s="2267"/>
      <c r="AX163" s="2267"/>
      <c r="AY163" s="2267"/>
      <c r="AZ163" s="2267"/>
      <c r="BA163" s="2267"/>
      <c r="BB163" s="2267"/>
      <c r="BC163" s="2267"/>
      <c r="BD163" s="2267"/>
      <c r="BE163" s="2267"/>
      <c r="BF163" s="2267"/>
      <c r="BG163" s="2267"/>
      <c r="BH163" s="2267"/>
      <c r="BI163" s="2267"/>
      <c r="BJ163" s="2267"/>
      <c r="BK163" s="2267"/>
      <c r="BL163" s="2267"/>
      <c r="BM163" s="4278"/>
      <c r="BN163" s="2267"/>
      <c r="BO163" s="2267"/>
      <c r="BP163" s="2267"/>
      <c r="BQ163" s="4286"/>
      <c r="BR163" s="4286"/>
      <c r="BS163" s="4286"/>
      <c r="BT163" s="4286"/>
      <c r="BU163" s="2267"/>
    </row>
    <row r="164" spans="1:73" s="3" customFormat="1" ht="108" customHeight="1" x14ac:dyDescent="0.25">
      <c r="A164" s="1473"/>
      <c r="B164" s="1443"/>
      <c r="C164" s="1452"/>
      <c r="D164" s="1443"/>
      <c r="E164" s="1622"/>
      <c r="F164" s="1623"/>
      <c r="G164" s="4313"/>
      <c r="H164" s="3083"/>
      <c r="I164" s="4313"/>
      <c r="J164" s="3083"/>
      <c r="K164" s="4369"/>
      <c r="L164" s="3082"/>
      <c r="M164" s="4369"/>
      <c r="N164" s="3082"/>
      <c r="O164" s="3381"/>
      <c r="P164" s="3873"/>
      <c r="Q164" s="3377"/>
      <c r="R164" s="4376"/>
      <c r="S164" s="4339"/>
      <c r="T164" s="4311"/>
      <c r="U164" s="2476"/>
      <c r="V164" s="2285"/>
      <c r="W164" s="1447" t="s">
        <v>2299</v>
      </c>
      <c r="X164" s="1584">
        <v>20000000</v>
      </c>
      <c r="Y164" s="1638">
        <f>10040000+3400000</f>
        <v>13440000</v>
      </c>
      <c r="Z164" s="1605">
        <v>10450000</v>
      </c>
      <c r="AA164" s="1583" t="s">
        <v>2295</v>
      </c>
      <c r="AB164" s="1621">
        <v>61</v>
      </c>
      <c r="AC164" s="1441" t="s">
        <v>1987</v>
      </c>
      <c r="AD164" s="2267"/>
      <c r="AE164" s="2267"/>
      <c r="AF164" s="2267"/>
      <c r="AG164" s="2267"/>
      <c r="AH164" s="4272"/>
      <c r="AI164" s="2267"/>
      <c r="AJ164" s="2267"/>
      <c r="AK164" s="2267"/>
      <c r="AL164" s="2267"/>
      <c r="AM164" s="2267"/>
      <c r="AN164" s="2267"/>
      <c r="AO164" s="2267"/>
      <c r="AP164" s="2267"/>
      <c r="AQ164" s="2267"/>
      <c r="AR164" s="2267"/>
      <c r="AS164" s="2267"/>
      <c r="AT164" s="2267"/>
      <c r="AU164" s="2267"/>
      <c r="AV164" s="2267"/>
      <c r="AW164" s="2267"/>
      <c r="AX164" s="2267"/>
      <c r="AY164" s="2267"/>
      <c r="AZ164" s="2267"/>
      <c r="BA164" s="2267"/>
      <c r="BB164" s="2267"/>
      <c r="BC164" s="2267"/>
      <c r="BD164" s="2267"/>
      <c r="BE164" s="2267"/>
      <c r="BF164" s="2267"/>
      <c r="BG164" s="2267"/>
      <c r="BH164" s="2267"/>
      <c r="BI164" s="2267"/>
      <c r="BJ164" s="2267"/>
      <c r="BK164" s="2267"/>
      <c r="BL164" s="2267"/>
      <c r="BM164" s="4278"/>
      <c r="BN164" s="2267"/>
      <c r="BO164" s="2267"/>
      <c r="BP164" s="2267"/>
      <c r="BQ164" s="4286"/>
      <c r="BR164" s="4286"/>
      <c r="BS164" s="4286"/>
      <c r="BT164" s="4286"/>
      <c r="BU164" s="2267"/>
    </row>
    <row r="165" spans="1:73" s="3" customFormat="1" ht="57.75" customHeight="1" x14ac:dyDescent="0.25">
      <c r="A165" s="1473"/>
      <c r="B165" s="1443"/>
      <c r="C165" s="1452"/>
      <c r="D165" s="1443"/>
      <c r="E165" s="1622"/>
      <c r="F165" s="1623"/>
      <c r="G165" s="4313">
        <v>1905031</v>
      </c>
      <c r="H165" s="3083" t="s">
        <v>2174</v>
      </c>
      <c r="I165" s="4313">
        <v>1905031</v>
      </c>
      <c r="J165" s="3083" t="s">
        <v>2174</v>
      </c>
      <c r="K165" s="4369">
        <v>190503100</v>
      </c>
      <c r="L165" s="3082" t="s">
        <v>2175</v>
      </c>
      <c r="M165" s="4369">
        <v>190503100</v>
      </c>
      <c r="N165" s="3082" t="s">
        <v>2175</v>
      </c>
      <c r="O165" s="4377">
        <v>12</v>
      </c>
      <c r="P165" s="3871">
        <v>12</v>
      </c>
      <c r="Q165" s="3377"/>
      <c r="R165" s="4376"/>
      <c r="S165" s="4339">
        <f>SUM(X165:X168)/T160</f>
        <v>0.41988950276243092</v>
      </c>
      <c r="T165" s="4311"/>
      <c r="U165" s="2476"/>
      <c r="V165" s="2285" t="s">
        <v>2300</v>
      </c>
      <c r="W165" s="1447" t="s">
        <v>2301</v>
      </c>
      <c r="X165" s="1584">
        <v>26000000</v>
      </c>
      <c r="Y165" s="1638">
        <v>18340000</v>
      </c>
      <c r="Z165" s="1605">
        <v>7081000</v>
      </c>
      <c r="AA165" s="1583" t="s">
        <v>2302</v>
      </c>
      <c r="AB165" s="1621">
        <v>61</v>
      </c>
      <c r="AC165" s="1441" t="s">
        <v>1987</v>
      </c>
      <c r="AD165" s="2267"/>
      <c r="AE165" s="2267"/>
      <c r="AF165" s="2267"/>
      <c r="AG165" s="2267"/>
      <c r="AH165" s="4272"/>
      <c r="AI165" s="2267"/>
      <c r="AJ165" s="2267"/>
      <c r="AK165" s="2267"/>
      <c r="AL165" s="2267"/>
      <c r="AM165" s="2267"/>
      <c r="AN165" s="2267"/>
      <c r="AO165" s="2267"/>
      <c r="AP165" s="2267"/>
      <c r="AQ165" s="2267"/>
      <c r="AR165" s="2267"/>
      <c r="AS165" s="2267"/>
      <c r="AT165" s="2267"/>
      <c r="AU165" s="2267"/>
      <c r="AV165" s="2267"/>
      <c r="AW165" s="2267"/>
      <c r="AX165" s="2267"/>
      <c r="AY165" s="2267"/>
      <c r="AZ165" s="2267"/>
      <c r="BA165" s="2267"/>
      <c r="BB165" s="2267"/>
      <c r="BC165" s="2267"/>
      <c r="BD165" s="2267"/>
      <c r="BE165" s="2267"/>
      <c r="BF165" s="2267"/>
      <c r="BG165" s="2267"/>
      <c r="BH165" s="2267"/>
      <c r="BI165" s="2267"/>
      <c r="BJ165" s="2267"/>
      <c r="BK165" s="2267"/>
      <c r="BL165" s="2267"/>
      <c r="BM165" s="4278"/>
      <c r="BN165" s="2267"/>
      <c r="BO165" s="2267"/>
      <c r="BP165" s="2267"/>
      <c r="BQ165" s="4286"/>
      <c r="BR165" s="4286"/>
      <c r="BS165" s="4286"/>
      <c r="BT165" s="4286"/>
      <c r="BU165" s="2267"/>
    </row>
    <row r="166" spans="1:73" s="3" customFormat="1" ht="75" customHeight="1" x14ac:dyDescent="0.25">
      <c r="A166" s="1473"/>
      <c r="B166" s="1443"/>
      <c r="C166" s="1452"/>
      <c r="D166" s="1443"/>
      <c r="E166" s="1622"/>
      <c r="F166" s="1623"/>
      <c r="G166" s="4313"/>
      <c r="H166" s="3083"/>
      <c r="I166" s="4313"/>
      <c r="J166" s="3083"/>
      <c r="K166" s="4369"/>
      <c r="L166" s="3082"/>
      <c r="M166" s="4369"/>
      <c r="N166" s="3082"/>
      <c r="O166" s="4377"/>
      <c r="P166" s="3872"/>
      <c r="Q166" s="3377"/>
      <c r="R166" s="4376"/>
      <c r="S166" s="4339"/>
      <c r="T166" s="4311"/>
      <c r="U166" s="2476"/>
      <c r="V166" s="2285"/>
      <c r="W166" s="1447" t="s">
        <v>2296</v>
      </c>
      <c r="X166" s="1584">
        <f>10000000+10000000</f>
        <v>20000000</v>
      </c>
      <c r="Y166" s="1638">
        <v>13100000</v>
      </c>
      <c r="Z166" s="1605">
        <v>5200000</v>
      </c>
      <c r="AA166" s="1583" t="s">
        <v>2302</v>
      </c>
      <c r="AB166" s="1621">
        <v>61</v>
      </c>
      <c r="AC166" s="1441" t="s">
        <v>1987</v>
      </c>
      <c r="AD166" s="2267"/>
      <c r="AE166" s="2267"/>
      <c r="AF166" s="2267"/>
      <c r="AG166" s="2267"/>
      <c r="AH166" s="4272"/>
      <c r="AI166" s="2267"/>
      <c r="AJ166" s="2267"/>
      <c r="AK166" s="2267"/>
      <c r="AL166" s="2267"/>
      <c r="AM166" s="2267"/>
      <c r="AN166" s="2267"/>
      <c r="AO166" s="2267"/>
      <c r="AP166" s="2267"/>
      <c r="AQ166" s="2267"/>
      <c r="AR166" s="2267"/>
      <c r="AS166" s="2267"/>
      <c r="AT166" s="2267"/>
      <c r="AU166" s="2267"/>
      <c r="AV166" s="2267"/>
      <c r="AW166" s="2267"/>
      <c r="AX166" s="2267"/>
      <c r="AY166" s="2267"/>
      <c r="AZ166" s="2267"/>
      <c r="BA166" s="2267"/>
      <c r="BB166" s="2267"/>
      <c r="BC166" s="2267"/>
      <c r="BD166" s="2267"/>
      <c r="BE166" s="2267"/>
      <c r="BF166" s="2267"/>
      <c r="BG166" s="2267"/>
      <c r="BH166" s="2267"/>
      <c r="BI166" s="2267"/>
      <c r="BJ166" s="2267"/>
      <c r="BK166" s="2267"/>
      <c r="BL166" s="2267"/>
      <c r="BM166" s="4278"/>
      <c r="BN166" s="2267"/>
      <c r="BO166" s="2267"/>
      <c r="BP166" s="2267"/>
      <c r="BQ166" s="4286"/>
      <c r="BR166" s="4286"/>
      <c r="BS166" s="4286"/>
      <c r="BT166" s="4286"/>
      <c r="BU166" s="2267"/>
    </row>
    <row r="167" spans="1:73" s="3" customFormat="1" ht="57.75" customHeight="1" x14ac:dyDescent="0.25">
      <c r="A167" s="1473"/>
      <c r="B167" s="1443"/>
      <c r="C167" s="1452"/>
      <c r="D167" s="1443"/>
      <c r="E167" s="1622"/>
      <c r="F167" s="1623"/>
      <c r="G167" s="4313"/>
      <c r="H167" s="3083"/>
      <c r="I167" s="4313"/>
      <c r="J167" s="3083"/>
      <c r="K167" s="4369"/>
      <c r="L167" s="3082"/>
      <c r="M167" s="4369"/>
      <c r="N167" s="3082"/>
      <c r="O167" s="4377"/>
      <c r="P167" s="3872"/>
      <c r="Q167" s="3377"/>
      <c r="R167" s="4376"/>
      <c r="S167" s="4339"/>
      <c r="T167" s="4311"/>
      <c r="U167" s="2476"/>
      <c r="V167" s="2285"/>
      <c r="W167" s="1447" t="s">
        <v>2303</v>
      </c>
      <c r="X167" s="1584">
        <v>10000000</v>
      </c>
      <c r="Y167" s="1638">
        <v>5000000</v>
      </c>
      <c r="Z167" s="1605">
        <v>1200000</v>
      </c>
      <c r="AA167" s="1583" t="s">
        <v>2302</v>
      </c>
      <c r="AB167" s="1621">
        <v>61</v>
      </c>
      <c r="AC167" s="1441" t="s">
        <v>1987</v>
      </c>
      <c r="AD167" s="2267"/>
      <c r="AE167" s="2267"/>
      <c r="AF167" s="2267"/>
      <c r="AG167" s="2267"/>
      <c r="AH167" s="4272"/>
      <c r="AI167" s="2267"/>
      <c r="AJ167" s="2267"/>
      <c r="AK167" s="2267"/>
      <c r="AL167" s="2267"/>
      <c r="AM167" s="2267"/>
      <c r="AN167" s="2267"/>
      <c r="AO167" s="2267"/>
      <c r="AP167" s="2267"/>
      <c r="AQ167" s="2267"/>
      <c r="AR167" s="2267"/>
      <c r="AS167" s="2267"/>
      <c r="AT167" s="2267"/>
      <c r="AU167" s="2267"/>
      <c r="AV167" s="2267"/>
      <c r="AW167" s="2267"/>
      <c r="AX167" s="2267"/>
      <c r="AY167" s="2267"/>
      <c r="AZ167" s="2267"/>
      <c r="BA167" s="2267"/>
      <c r="BB167" s="2267"/>
      <c r="BC167" s="2267"/>
      <c r="BD167" s="2267"/>
      <c r="BE167" s="2267"/>
      <c r="BF167" s="2267"/>
      <c r="BG167" s="2267"/>
      <c r="BH167" s="2267"/>
      <c r="BI167" s="2267"/>
      <c r="BJ167" s="2267"/>
      <c r="BK167" s="2267"/>
      <c r="BL167" s="2267"/>
      <c r="BM167" s="4278"/>
      <c r="BN167" s="2267"/>
      <c r="BO167" s="2267"/>
      <c r="BP167" s="2267"/>
      <c r="BQ167" s="4286"/>
      <c r="BR167" s="4286"/>
      <c r="BS167" s="4286"/>
      <c r="BT167" s="4286"/>
      <c r="BU167" s="2267"/>
    </row>
    <row r="168" spans="1:73" s="3" customFormat="1" ht="86.25" customHeight="1" x14ac:dyDescent="0.25">
      <c r="A168" s="1473"/>
      <c r="B168" s="1443"/>
      <c r="C168" s="1452"/>
      <c r="D168" s="1443"/>
      <c r="E168" s="1622"/>
      <c r="F168" s="1623"/>
      <c r="G168" s="4313"/>
      <c r="H168" s="3083"/>
      <c r="I168" s="4313"/>
      <c r="J168" s="3083"/>
      <c r="K168" s="4369"/>
      <c r="L168" s="3082"/>
      <c r="M168" s="4369"/>
      <c r="N168" s="3082"/>
      <c r="O168" s="4377"/>
      <c r="P168" s="3873"/>
      <c r="Q168" s="3378"/>
      <c r="R168" s="4193"/>
      <c r="S168" s="2410"/>
      <c r="T168" s="4372"/>
      <c r="U168" s="2701"/>
      <c r="V168" s="2285"/>
      <c r="W168" s="1447" t="s">
        <v>2304</v>
      </c>
      <c r="X168" s="1584">
        <v>20000000</v>
      </c>
      <c r="Y168" s="1638">
        <v>10640000</v>
      </c>
      <c r="Z168" s="1605">
        <v>6450000</v>
      </c>
      <c r="AA168" s="1583" t="s">
        <v>2302</v>
      </c>
      <c r="AB168" s="1621">
        <v>61</v>
      </c>
      <c r="AC168" s="1441" t="s">
        <v>1987</v>
      </c>
      <c r="AD168" s="2439"/>
      <c r="AE168" s="2439"/>
      <c r="AF168" s="2267"/>
      <c r="AG168" s="2439"/>
      <c r="AH168" s="4272"/>
      <c r="AI168" s="2439"/>
      <c r="AJ168" s="2267"/>
      <c r="AK168" s="2439"/>
      <c r="AL168" s="2267"/>
      <c r="AM168" s="2439"/>
      <c r="AN168" s="2267"/>
      <c r="AO168" s="2439"/>
      <c r="AP168" s="2267"/>
      <c r="AQ168" s="2439"/>
      <c r="AR168" s="2267"/>
      <c r="AS168" s="2439"/>
      <c r="AT168" s="2267"/>
      <c r="AU168" s="2439"/>
      <c r="AV168" s="2267"/>
      <c r="AW168" s="2439"/>
      <c r="AX168" s="2267"/>
      <c r="AY168" s="2439"/>
      <c r="AZ168" s="2267"/>
      <c r="BA168" s="2439"/>
      <c r="BB168" s="2267"/>
      <c r="BC168" s="2439"/>
      <c r="BD168" s="2267"/>
      <c r="BE168" s="2439"/>
      <c r="BF168" s="2267"/>
      <c r="BG168" s="2439"/>
      <c r="BH168" s="2267"/>
      <c r="BI168" s="2439"/>
      <c r="BJ168" s="2439"/>
      <c r="BK168" s="2439"/>
      <c r="BL168" s="2439"/>
      <c r="BM168" s="4279"/>
      <c r="BN168" s="2439"/>
      <c r="BO168" s="2439"/>
      <c r="BP168" s="2439"/>
      <c r="BQ168" s="4286"/>
      <c r="BR168" s="4286"/>
      <c r="BS168" s="4286"/>
      <c r="BT168" s="4286"/>
      <c r="BU168" s="2267"/>
    </row>
    <row r="169" spans="1:73" s="3" customFormat="1" ht="69" customHeight="1" x14ac:dyDescent="0.25">
      <c r="A169" s="1473"/>
      <c r="B169" s="1443"/>
      <c r="C169" s="1452"/>
      <c r="D169" s="1443"/>
      <c r="E169" s="1622"/>
      <c r="F169" s="1623"/>
      <c r="G169" s="4313">
        <v>1905012</v>
      </c>
      <c r="H169" s="4322" t="s">
        <v>2305</v>
      </c>
      <c r="I169" s="4313">
        <v>1905012</v>
      </c>
      <c r="J169" s="4322" t="s">
        <v>2305</v>
      </c>
      <c r="K169" s="3169">
        <v>190501200</v>
      </c>
      <c r="L169" s="3104" t="s">
        <v>2305</v>
      </c>
      <c r="M169" s="3169">
        <v>190501200</v>
      </c>
      <c r="N169" s="3104" t="s">
        <v>2305</v>
      </c>
      <c r="O169" s="4340">
        <v>1</v>
      </c>
      <c r="P169" s="4342">
        <v>1</v>
      </c>
      <c r="Q169" s="3385" t="s">
        <v>2306</v>
      </c>
      <c r="R169" s="2476" t="s">
        <v>2307</v>
      </c>
      <c r="S169" s="4339">
        <f>SUM(X169:X172)/T169</f>
        <v>0.13071895424836602</v>
      </c>
      <c r="T169" s="4311">
        <f>SUM(X169:X183)</f>
        <v>153000000</v>
      </c>
      <c r="U169" s="2475" t="s">
        <v>2308</v>
      </c>
      <c r="V169" s="2285" t="s">
        <v>2309</v>
      </c>
      <c r="W169" s="1447" t="s">
        <v>2310</v>
      </c>
      <c r="X169" s="1584">
        <v>6000000</v>
      </c>
      <c r="Y169" s="1638">
        <v>6000000</v>
      </c>
      <c r="Z169" s="1605">
        <v>4710000</v>
      </c>
      <c r="AA169" s="1583" t="s">
        <v>2311</v>
      </c>
      <c r="AB169" s="1621">
        <v>61</v>
      </c>
      <c r="AC169" s="1441" t="s">
        <v>1987</v>
      </c>
      <c r="AD169" s="2438">
        <v>289394</v>
      </c>
      <c r="AE169" s="2438"/>
      <c r="AF169" s="2438">
        <v>279112</v>
      </c>
      <c r="AG169" s="2438"/>
      <c r="AH169" s="3809">
        <v>63164</v>
      </c>
      <c r="AI169" s="2438"/>
      <c r="AJ169" s="2438">
        <v>45607</v>
      </c>
      <c r="AK169" s="2438"/>
      <c r="AL169" s="2438">
        <v>365607</v>
      </c>
      <c r="AM169" s="2438"/>
      <c r="AN169" s="2438">
        <v>75612</v>
      </c>
      <c r="AO169" s="2438"/>
      <c r="AP169" s="2438">
        <v>2145</v>
      </c>
      <c r="AQ169" s="2438"/>
      <c r="AR169" s="2438">
        <v>12718</v>
      </c>
      <c r="AS169" s="2438"/>
      <c r="AT169" s="2438">
        <v>26</v>
      </c>
      <c r="AU169" s="2438"/>
      <c r="AV169" s="2438">
        <v>37</v>
      </c>
      <c r="AW169" s="2438"/>
      <c r="AX169" s="2438">
        <v>0</v>
      </c>
      <c r="AY169" s="2438"/>
      <c r="AZ169" s="2438">
        <v>0</v>
      </c>
      <c r="BA169" s="2438"/>
      <c r="BB169" s="2438">
        <v>78</v>
      </c>
      <c r="BC169" s="2438"/>
      <c r="BD169" s="2438">
        <v>16897</v>
      </c>
      <c r="BE169" s="2438"/>
      <c r="BF169" s="2438">
        <v>852</v>
      </c>
      <c r="BG169" s="2438"/>
      <c r="BH169" s="2438">
        <v>568506</v>
      </c>
      <c r="BI169" s="2438"/>
      <c r="BJ169" s="2438">
        <v>9</v>
      </c>
      <c r="BK169" s="4287">
        <f>SUM(Y169:Y183)</f>
        <v>123660000</v>
      </c>
      <c r="BL169" s="4287">
        <f>SUM(Z169:Z183)</f>
        <v>81445000</v>
      </c>
      <c r="BM169" s="4277">
        <f>BL169/BK169</f>
        <v>0.65862041080381695</v>
      </c>
      <c r="BN169" s="2438">
        <v>61</v>
      </c>
      <c r="BO169" s="2438" t="s">
        <v>2056</v>
      </c>
      <c r="BP169" s="2438" t="s">
        <v>2170</v>
      </c>
      <c r="BQ169" s="4285">
        <v>44197</v>
      </c>
      <c r="BR169" s="4285">
        <v>44239</v>
      </c>
      <c r="BS169" s="4285">
        <v>44561</v>
      </c>
      <c r="BT169" s="4285">
        <v>44561</v>
      </c>
      <c r="BU169" s="2438" t="s">
        <v>1991</v>
      </c>
    </row>
    <row r="170" spans="1:73" s="3" customFormat="1" ht="45" customHeight="1" x14ac:dyDescent="0.25">
      <c r="A170" s="1473"/>
      <c r="B170" s="1443"/>
      <c r="C170" s="1452"/>
      <c r="D170" s="1443"/>
      <c r="E170" s="1622"/>
      <c r="F170" s="1623"/>
      <c r="G170" s="4313"/>
      <c r="H170" s="4328"/>
      <c r="I170" s="4313"/>
      <c r="J170" s="4328"/>
      <c r="K170" s="3170"/>
      <c r="L170" s="3105"/>
      <c r="M170" s="3170"/>
      <c r="N170" s="3105"/>
      <c r="O170" s="4341"/>
      <c r="P170" s="4343"/>
      <c r="Q170" s="3385"/>
      <c r="R170" s="2476"/>
      <c r="S170" s="4339"/>
      <c r="T170" s="4311"/>
      <c r="U170" s="2475"/>
      <c r="V170" s="2285"/>
      <c r="W170" s="1447" t="s">
        <v>2312</v>
      </c>
      <c r="X170" s="1584">
        <v>6000000</v>
      </c>
      <c r="Y170" s="1638">
        <v>6000000</v>
      </c>
      <c r="Z170" s="1605">
        <v>4000000</v>
      </c>
      <c r="AA170" s="1583" t="s">
        <v>2311</v>
      </c>
      <c r="AB170" s="1621">
        <v>61</v>
      </c>
      <c r="AC170" s="1441" t="s">
        <v>1987</v>
      </c>
      <c r="AD170" s="2267"/>
      <c r="AE170" s="2267"/>
      <c r="AF170" s="2267"/>
      <c r="AG170" s="2267"/>
      <c r="AH170" s="4272"/>
      <c r="AI170" s="2267"/>
      <c r="AJ170" s="2267"/>
      <c r="AK170" s="2267"/>
      <c r="AL170" s="2267"/>
      <c r="AM170" s="2267"/>
      <c r="AN170" s="2267"/>
      <c r="AO170" s="2267"/>
      <c r="AP170" s="2267"/>
      <c r="AQ170" s="2267"/>
      <c r="AR170" s="2267"/>
      <c r="AS170" s="2267"/>
      <c r="AT170" s="2267"/>
      <c r="AU170" s="2267"/>
      <c r="AV170" s="2267"/>
      <c r="AW170" s="2267"/>
      <c r="AX170" s="2267"/>
      <c r="AY170" s="2267"/>
      <c r="AZ170" s="2267"/>
      <c r="BA170" s="2267"/>
      <c r="BB170" s="2267"/>
      <c r="BC170" s="2267"/>
      <c r="BD170" s="2267"/>
      <c r="BE170" s="2267"/>
      <c r="BF170" s="2267"/>
      <c r="BG170" s="2267"/>
      <c r="BH170" s="2267"/>
      <c r="BI170" s="2267"/>
      <c r="BJ170" s="2267"/>
      <c r="BK170" s="2267"/>
      <c r="BL170" s="2267"/>
      <c r="BM170" s="4278"/>
      <c r="BN170" s="2267"/>
      <c r="BO170" s="2267"/>
      <c r="BP170" s="2267"/>
      <c r="BQ170" s="4286"/>
      <c r="BR170" s="4286"/>
      <c r="BS170" s="4286"/>
      <c r="BT170" s="4286"/>
      <c r="BU170" s="2267"/>
    </row>
    <row r="171" spans="1:73" s="3" customFormat="1" ht="45" customHeight="1" x14ac:dyDescent="0.25">
      <c r="A171" s="1473"/>
      <c r="B171" s="1443"/>
      <c r="C171" s="1452"/>
      <c r="D171" s="1443"/>
      <c r="E171" s="1622"/>
      <c r="F171" s="1623"/>
      <c r="G171" s="4313"/>
      <c r="H171" s="4328"/>
      <c r="I171" s="4313"/>
      <c r="J171" s="4328"/>
      <c r="K171" s="3170"/>
      <c r="L171" s="3105"/>
      <c r="M171" s="3170"/>
      <c r="N171" s="3105"/>
      <c r="O171" s="4341"/>
      <c r="P171" s="4343"/>
      <c r="Q171" s="3385"/>
      <c r="R171" s="2476"/>
      <c r="S171" s="4339"/>
      <c r="T171" s="4311"/>
      <c r="U171" s="2475"/>
      <c r="V171" s="2285"/>
      <c r="W171" s="1447" t="s">
        <v>2313</v>
      </c>
      <c r="X171" s="1584">
        <v>4000000</v>
      </c>
      <c r="Y171" s="1638">
        <v>2960000</v>
      </c>
      <c r="Z171" s="1605">
        <v>1890000</v>
      </c>
      <c r="AA171" s="1583" t="s">
        <v>2311</v>
      </c>
      <c r="AB171" s="1621">
        <v>61</v>
      </c>
      <c r="AC171" s="1441" t="s">
        <v>1987</v>
      </c>
      <c r="AD171" s="2267"/>
      <c r="AE171" s="2267"/>
      <c r="AF171" s="2267"/>
      <c r="AG171" s="2267"/>
      <c r="AH171" s="4272"/>
      <c r="AI171" s="2267"/>
      <c r="AJ171" s="2267"/>
      <c r="AK171" s="2267"/>
      <c r="AL171" s="2267"/>
      <c r="AM171" s="2267"/>
      <c r="AN171" s="2267"/>
      <c r="AO171" s="2267"/>
      <c r="AP171" s="2267"/>
      <c r="AQ171" s="2267"/>
      <c r="AR171" s="2267"/>
      <c r="AS171" s="2267"/>
      <c r="AT171" s="2267"/>
      <c r="AU171" s="2267"/>
      <c r="AV171" s="2267"/>
      <c r="AW171" s="2267"/>
      <c r="AX171" s="2267"/>
      <c r="AY171" s="2267"/>
      <c r="AZ171" s="2267"/>
      <c r="BA171" s="2267"/>
      <c r="BB171" s="2267"/>
      <c r="BC171" s="2267"/>
      <c r="BD171" s="2267"/>
      <c r="BE171" s="2267"/>
      <c r="BF171" s="2267"/>
      <c r="BG171" s="2267"/>
      <c r="BH171" s="2267"/>
      <c r="BI171" s="2267"/>
      <c r="BJ171" s="2267"/>
      <c r="BK171" s="2267"/>
      <c r="BL171" s="2267"/>
      <c r="BM171" s="4278"/>
      <c r="BN171" s="2267"/>
      <c r="BO171" s="2267"/>
      <c r="BP171" s="2267"/>
      <c r="BQ171" s="4286"/>
      <c r="BR171" s="4286"/>
      <c r="BS171" s="4286"/>
      <c r="BT171" s="4286"/>
      <c r="BU171" s="2267"/>
    </row>
    <row r="172" spans="1:73" s="3" customFormat="1" ht="45" customHeight="1" x14ac:dyDescent="0.25">
      <c r="A172" s="1473"/>
      <c r="B172" s="1443"/>
      <c r="C172" s="1452"/>
      <c r="D172" s="1443"/>
      <c r="E172" s="1622"/>
      <c r="F172" s="1623"/>
      <c r="G172" s="4313"/>
      <c r="H172" s="4323"/>
      <c r="I172" s="4313"/>
      <c r="J172" s="4323"/>
      <c r="K172" s="3171"/>
      <c r="L172" s="3106"/>
      <c r="M172" s="3171"/>
      <c r="N172" s="3106"/>
      <c r="O172" s="4378"/>
      <c r="P172" s="4344"/>
      <c r="Q172" s="3385"/>
      <c r="R172" s="2476"/>
      <c r="S172" s="4339"/>
      <c r="T172" s="4311"/>
      <c r="U172" s="2475"/>
      <c r="V172" s="2285"/>
      <c r="W172" s="1447" t="s">
        <v>2314</v>
      </c>
      <c r="X172" s="1584">
        <v>4000000</v>
      </c>
      <c r="Y172" s="1638">
        <v>4000000</v>
      </c>
      <c r="Z172" s="1605">
        <v>2590000</v>
      </c>
      <c r="AA172" s="1583" t="s">
        <v>2311</v>
      </c>
      <c r="AB172" s="1621">
        <v>61</v>
      </c>
      <c r="AC172" s="1441" t="s">
        <v>1987</v>
      </c>
      <c r="AD172" s="2267"/>
      <c r="AE172" s="2267"/>
      <c r="AF172" s="2267"/>
      <c r="AG172" s="2267"/>
      <c r="AH172" s="4272"/>
      <c r="AI172" s="2267"/>
      <c r="AJ172" s="2267"/>
      <c r="AK172" s="2267"/>
      <c r="AL172" s="2267"/>
      <c r="AM172" s="2267"/>
      <c r="AN172" s="2267"/>
      <c r="AO172" s="2267"/>
      <c r="AP172" s="2267"/>
      <c r="AQ172" s="2267"/>
      <c r="AR172" s="2267"/>
      <c r="AS172" s="2267"/>
      <c r="AT172" s="2267"/>
      <c r="AU172" s="2267"/>
      <c r="AV172" s="2267"/>
      <c r="AW172" s="2267"/>
      <c r="AX172" s="2267"/>
      <c r="AY172" s="2267"/>
      <c r="AZ172" s="2267"/>
      <c r="BA172" s="2267"/>
      <c r="BB172" s="2267"/>
      <c r="BC172" s="2267"/>
      <c r="BD172" s="2267"/>
      <c r="BE172" s="2267"/>
      <c r="BF172" s="2267"/>
      <c r="BG172" s="2267"/>
      <c r="BH172" s="2267"/>
      <c r="BI172" s="2267"/>
      <c r="BJ172" s="2267"/>
      <c r="BK172" s="2267"/>
      <c r="BL172" s="2267"/>
      <c r="BM172" s="4278"/>
      <c r="BN172" s="2267"/>
      <c r="BO172" s="2267"/>
      <c r="BP172" s="2267"/>
      <c r="BQ172" s="4286"/>
      <c r="BR172" s="4286"/>
      <c r="BS172" s="4286"/>
      <c r="BT172" s="4286"/>
      <c r="BU172" s="2267"/>
    </row>
    <row r="173" spans="1:73" s="3" customFormat="1" ht="45" customHeight="1" x14ac:dyDescent="0.25">
      <c r="A173" s="1473"/>
      <c r="B173" s="1443"/>
      <c r="C173" s="1452"/>
      <c r="D173" s="1443"/>
      <c r="E173" s="1622"/>
      <c r="F173" s="1623"/>
      <c r="G173" s="4313">
        <v>1905026</v>
      </c>
      <c r="H173" s="4322" t="s">
        <v>2315</v>
      </c>
      <c r="I173" s="4313">
        <v>1905026</v>
      </c>
      <c r="J173" s="4322" t="s">
        <v>2315</v>
      </c>
      <c r="K173" s="3169">
        <v>190502600</v>
      </c>
      <c r="L173" s="3104" t="s">
        <v>2316</v>
      </c>
      <c r="M173" s="3169">
        <v>190502600</v>
      </c>
      <c r="N173" s="3104" t="s">
        <v>2316</v>
      </c>
      <c r="O173" s="4340">
        <v>12</v>
      </c>
      <c r="P173" s="4342">
        <v>12</v>
      </c>
      <c r="Q173" s="3385"/>
      <c r="R173" s="2476"/>
      <c r="S173" s="4339">
        <f>SUM(X173:X178)/T169</f>
        <v>0.37908496732026142</v>
      </c>
      <c r="T173" s="4311"/>
      <c r="U173" s="2475"/>
      <c r="V173" s="2295" t="s">
        <v>2317</v>
      </c>
      <c r="W173" s="1447" t="s">
        <v>2318</v>
      </c>
      <c r="X173" s="1584">
        <v>10000000</v>
      </c>
      <c r="Y173" s="1638">
        <v>3000000</v>
      </c>
      <c r="Z173" s="1605">
        <v>2400000</v>
      </c>
      <c r="AA173" s="1583" t="s">
        <v>2319</v>
      </c>
      <c r="AB173" s="1621">
        <v>61</v>
      </c>
      <c r="AC173" s="1441" t="s">
        <v>1987</v>
      </c>
      <c r="AD173" s="2267"/>
      <c r="AE173" s="2267"/>
      <c r="AF173" s="2267"/>
      <c r="AG173" s="2267"/>
      <c r="AH173" s="4272"/>
      <c r="AI173" s="2267"/>
      <c r="AJ173" s="2267"/>
      <c r="AK173" s="2267"/>
      <c r="AL173" s="2267"/>
      <c r="AM173" s="2267"/>
      <c r="AN173" s="2267"/>
      <c r="AO173" s="2267"/>
      <c r="AP173" s="2267"/>
      <c r="AQ173" s="2267"/>
      <c r="AR173" s="2267"/>
      <c r="AS173" s="2267"/>
      <c r="AT173" s="2267"/>
      <c r="AU173" s="2267"/>
      <c r="AV173" s="2267"/>
      <c r="AW173" s="2267"/>
      <c r="AX173" s="2267"/>
      <c r="AY173" s="2267"/>
      <c r="AZ173" s="2267"/>
      <c r="BA173" s="2267"/>
      <c r="BB173" s="2267"/>
      <c r="BC173" s="2267"/>
      <c r="BD173" s="2267"/>
      <c r="BE173" s="2267"/>
      <c r="BF173" s="2267"/>
      <c r="BG173" s="2267"/>
      <c r="BH173" s="2267"/>
      <c r="BI173" s="2267"/>
      <c r="BJ173" s="2267"/>
      <c r="BK173" s="2267"/>
      <c r="BL173" s="2267"/>
      <c r="BM173" s="4278"/>
      <c r="BN173" s="2267"/>
      <c r="BO173" s="2267"/>
      <c r="BP173" s="2267"/>
      <c r="BQ173" s="4286"/>
      <c r="BR173" s="4286"/>
      <c r="BS173" s="4286"/>
      <c r="BT173" s="4286"/>
      <c r="BU173" s="2267"/>
    </row>
    <row r="174" spans="1:73" s="3" customFormat="1" ht="67.5" customHeight="1" x14ac:dyDescent="0.25">
      <c r="A174" s="1473"/>
      <c r="B174" s="1443"/>
      <c r="C174" s="1452"/>
      <c r="D174" s="1443"/>
      <c r="E174" s="1622"/>
      <c r="F174" s="1623"/>
      <c r="G174" s="4313"/>
      <c r="H174" s="4328"/>
      <c r="I174" s="4313"/>
      <c r="J174" s="4328"/>
      <c r="K174" s="3170"/>
      <c r="L174" s="3105"/>
      <c r="M174" s="3170"/>
      <c r="N174" s="3105"/>
      <c r="O174" s="4341"/>
      <c r="P174" s="4343"/>
      <c r="Q174" s="3385"/>
      <c r="R174" s="2476"/>
      <c r="S174" s="4339"/>
      <c r="T174" s="4311"/>
      <c r="U174" s="2475"/>
      <c r="V174" s="2699"/>
      <c r="W174" s="1447" t="s">
        <v>2320</v>
      </c>
      <c r="X174" s="1584">
        <v>10000000</v>
      </c>
      <c r="Y174" s="1638">
        <v>6500000</v>
      </c>
      <c r="Z174" s="1605">
        <v>2900000</v>
      </c>
      <c r="AA174" s="1583" t="s">
        <v>2319</v>
      </c>
      <c r="AB174" s="1621">
        <v>61</v>
      </c>
      <c r="AC174" s="1441" t="s">
        <v>1987</v>
      </c>
      <c r="AD174" s="2267"/>
      <c r="AE174" s="2267"/>
      <c r="AF174" s="2267"/>
      <c r="AG174" s="2267"/>
      <c r="AH174" s="4272"/>
      <c r="AI174" s="2267"/>
      <c r="AJ174" s="2267"/>
      <c r="AK174" s="2267"/>
      <c r="AL174" s="2267"/>
      <c r="AM174" s="2267"/>
      <c r="AN174" s="2267"/>
      <c r="AO174" s="2267"/>
      <c r="AP174" s="2267"/>
      <c r="AQ174" s="2267"/>
      <c r="AR174" s="2267"/>
      <c r="AS174" s="2267"/>
      <c r="AT174" s="2267"/>
      <c r="AU174" s="2267"/>
      <c r="AV174" s="2267"/>
      <c r="AW174" s="2267"/>
      <c r="AX174" s="2267"/>
      <c r="AY174" s="2267"/>
      <c r="AZ174" s="2267"/>
      <c r="BA174" s="2267"/>
      <c r="BB174" s="2267"/>
      <c r="BC174" s="2267"/>
      <c r="BD174" s="2267"/>
      <c r="BE174" s="2267"/>
      <c r="BF174" s="2267"/>
      <c r="BG174" s="2267"/>
      <c r="BH174" s="2267"/>
      <c r="BI174" s="2267"/>
      <c r="BJ174" s="2267"/>
      <c r="BK174" s="2267"/>
      <c r="BL174" s="2267"/>
      <c r="BM174" s="4278"/>
      <c r="BN174" s="2267"/>
      <c r="BO174" s="2267"/>
      <c r="BP174" s="2267"/>
      <c r="BQ174" s="4286"/>
      <c r="BR174" s="4286"/>
      <c r="BS174" s="4286"/>
      <c r="BT174" s="4286"/>
      <c r="BU174" s="2267"/>
    </row>
    <row r="175" spans="1:73" s="3" customFormat="1" ht="67.5" customHeight="1" x14ac:dyDescent="0.25">
      <c r="A175" s="1473"/>
      <c r="B175" s="1443"/>
      <c r="C175" s="1452"/>
      <c r="D175" s="1443"/>
      <c r="E175" s="1622"/>
      <c r="F175" s="1623"/>
      <c r="G175" s="4313"/>
      <c r="H175" s="4328"/>
      <c r="I175" s="4313"/>
      <c r="J175" s="4328"/>
      <c r="K175" s="3170"/>
      <c r="L175" s="3105"/>
      <c r="M175" s="3170"/>
      <c r="N175" s="3105"/>
      <c r="O175" s="4341"/>
      <c r="P175" s="4343"/>
      <c r="Q175" s="3385"/>
      <c r="R175" s="2476"/>
      <c r="S175" s="4339"/>
      <c r="T175" s="4311"/>
      <c r="U175" s="2475"/>
      <c r="V175" s="2699"/>
      <c r="W175" s="1447" t="s">
        <v>2321</v>
      </c>
      <c r="X175" s="1584">
        <v>10000000</v>
      </c>
      <c r="Y175" s="1638">
        <v>6320000</v>
      </c>
      <c r="Z175" s="1605">
        <v>2300000</v>
      </c>
      <c r="AA175" s="1583" t="s">
        <v>2319</v>
      </c>
      <c r="AB175" s="1621">
        <v>61</v>
      </c>
      <c r="AC175" s="1441" t="s">
        <v>1987</v>
      </c>
      <c r="AD175" s="2267"/>
      <c r="AE175" s="2267"/>
      <c r="AF175" s="2267"/>
      <c r="AG175" s="2267"/>
      <c r="AH175" s="4272"/>
      <c r="AI175" s="2267"/>
      <c r="AJ175" s="2267"/>
      <c r="AK175" s="2267"/>
      <c r="AL175" s="2267"/>
      <c r="AM175" s="2267"/>
      <c r="AN175" s="2267"/>
      <c r="AO175" s="2267"/>
      <c r="AP175" s="2267"/>
      <c r="AQ175" s="2267"/>
      <c r="AR175" s="2267"/>
      <c r="AS175" s="2267"/>
      <c r="AT175" s="2267"/>
      <c r="AU175" s="2267"/>
      <c r="AV175" s="2267"/>
      <c r="AW175" s="2267"/>
      <c r="AX175" s="2267"/>
      <c r="AY175" s="2267"/>
      <c r="AZ175" s="2267"/>
      <c r="BA175" s="2267"/>
      <c r="BB175" s="2267"/>
      <c r="BC175" s="2267"/>
      <c r="BD175" s="2267"/>
      <c r="BE175" s="2267"/>
      <c r="BF175" s="2267"/>
      <c r="BG175" s="2267"/>
      <c r="BH175" s="2267"/>
      <c r="BI175" s="2267"/>
      <c r="BJ175" s="2267"/>
      <c r="BK175" s="2267"/>
      <c r="BL175" s="2267"/>
      <c r="BM175" s="4278"/>
      <c r="BN175" s="2267"/>
      <c r="BO175" s="2267"/>
      <c r="BP175" s="2267"/>
      <c r="BQ175" s="4286"/>
      <c r="BR175" s="4286"/>
      <c r="BS175" s="4286"/>
      <c r="BT175" s="4286"/>
      <c r="BU175" s="2267"/>
    </row>
    <row r="176" spans="1:73" s="3" customFormat="1" ht="67.5" customHeight="1" x14ac:dyDescent="0.25">
      <c r="A176" s="1473"/>
      <c r="B176" s="1443"/>
      <c r="C176" s="1452"/>
      <c r="D176" s="1443"/>
      <c r="E176" s="1622"/>
      <c r="F176" s="1623"/>
      <c r="G176" s="4313"/>
      <c r="H176" s="4328"/>
      <c r="I176" s="4313"/>
      <c r="J176" s="4328"/>
      <c r="K176" s="3170"/>
      <c r="L176" s="3105"/>
      <c r="M176" s="3170"/>
      <c r="N176" s="3105"/>
      <c r="O176" s="4341"/>
      <c r="P176" s="4343"/>
      <c r="Q176" s="3385"/>
      <c r="R176" s="2476"/>
      <c r="S176" s="4339"/>
      <c r="T176" s="4311"/>
      <c r="U176" s="2475"/>
      <c r="V176" s="2699"/>
      <c r="W176" s="1447" t="s">
        <v>2322</v>
      </c>
      <c r="X176" s="1584">
        <v>10000000</v>
      </c>
      <c r="Y176" s="1638">
        <v>5460000</v>
      </c>
      <c r="Z176" s="1605">
        <v>3490000</v>
      </c>
      <c r="AA176" s="1583" t="s">
        <v>2319</v>
      </c>
      <c r="AB176" s="1621">
        <v>61</v>
      </c>
      <c r="AC176" s="1441" t="s">
        <v>1987</v>
      </c>
      <c r="AD176" s="2267"/>
      <c r="AE176" s="2267"/>
      <c r="AF176" s="2267"/>
      <c r="AG176" s="2267"/>
      <c r="AH176" s="4272"/>
      <c r="AI176" s="2267"/>
      <c r="AJ176" s="2267"/>
      <c r="AK176" s="2267"/>
      <c r="AL176" s="2267"/>
      <c r="AM176" s="2267"/>
      <c r="AN176" s="2267"/>
      <c r="AO176" s="2267"/>
      <c r="AP176" s="2267"/>
      <c r="AQ176" s="2267"/>
      <c r="AR176" s="2267"/>
      <c r="AS176" s="2267"/>
      <c r="AT176" s="2267"/>
      <c r="AU176" s="2267"/>
      <c r="AV176" s="2267"/>
      <c r="AW176" s="2267"/>
      <c r="AX176" s="2267"/>
      <c r="AY176" s="2267"/>
      <c r="AZ176" s="2267"/>
      <c r="BA176" s="2267"/>
      <c r="BB176" s="2267"/>
      <c r="BC176" s="2267"/>
      <c r="BD176" s="2267"/>
      <c r="BE176" s="2267"/>
      <c r="BF176" s="2267"/>
      <c r="BG176" s="2267"/>
      <c r="BH176" s="2267"/>
      <c r="BI176" s="2267"/>
      <c r="BJ176" s="2267"/>
      <c r="BK176" s="2267"/>
      <c r="BL176" s="2267"/>
      <c r="BM176" s="4278"/>
      <c r="BN176" s="2267"/>
      <c r="BO176" s="2267"/>
      <c r="BP176" s="2267"/>
      <c r="BQ176" s="4286"/>
      <c r="BR176" s="4286"/>
      <c r="BS176" s="4286"/>
      <c r="BT176" s="4286"/>
      <c r="BU176" s="2267"/>
    </row>
    <row r="177" spans="1:73" s="3" customFormat="1" ht="67.5" customHeight="1" x14ac:dyDescent="0.25">
      <c r="A177" s="1473"/>
      <c r="B177" s="1443"/>
      <c r="C177" s="1452"/>
      <c r="D177" s="1443"/>
      <c r="E177" s="1622"/>
      <c r="F177" s="1623"/>
      <c r="G177" s="4313"/>
      <c r="H177" s="4328"/>
      <c r="I177" s="4313"/>
      <c r="J177" s="4328"/>
      <c r="K177" s="3170"/>
      <c r="L177" s="3105"/>
      <c r="M177" s="3170"/>
      <c r="N177" s="3105"/>
      <c r="O177" s="4341"/>
      <c r="P177" s="4343"/>
      <c r="Q177" s="3385"/>
      <c r="R177" s="2476"/>
      <c r="S177" s="4339"/>
      <c r="T177" s="4311"/>
      <c r="U177" s="2475"/>
      <c r="V177" s="2699"/>
      <c r="W177" s="1447" t="s">
        <v>2323</v>
      </c>
      <c r="X177" s="1584">
        <v>10000000</v>
      </c>
      <c r="Y177" s="1638">
        <v>10000000</v>
      </c>
      <c r="Z177" s="1605">
        <v>3300000</v>
      </c>
      <c r="AA177" s="1583" t="s">
        <v>2319</v>
      </c>
      <c r="AB177" s="1621">
        <v>61</v>
      </c>
      <c r="AC177" s="1441" t="s">
        <v>1987</v>
      </c>
      <c r="AD177" s="2267"/>
      <c r="AE177" s="2267"/>
      <c r="AF177" s="2267"/>
      <c r="AG177" s="2267"/>
      <c r="AH177" s="4272"/>
      <c r="AI177" s="2267"/>
      <c r="AJ177" s="2267"/>
      <c r="AK177" s="2267"/>
      <c r="AL177" s="2267"/>
      <c r="AM177" s="2267"/>
      <c r="AN177" s="2267"/>
      <c r="AO177" s="2267"/>
      <c r="AP177" s="2267"/>
      <c r="AQ177" s="2267"/>
      <c r="AR177" s="2267"/>
      <c r="AS177" s="2267"/>
      <c r="AT177" s="2267"/>
      <c r="AU177" s="2267"/>
      <c r="AV177" s="2267"/>
      <c r="AW177" s="2267"/>
      <c r="AX177" s="2267"/>
      <c r="AY177" s="2267"/>
      <c r="AZ177" s="2267"/>
      <c r="BA177" s="2267"/>
      <c r="BB177" s="2267"/>
      <c r="BC177" s="2267"/>
      <c r="BD177" s="2267"/>
      <c r="BE177" s="2267"/>
      <c r="BF177" s="2267"/>
      <c r="BG177" s="2267"/>
      <c r="BH177" s="2267"/>
      <c r="BI177" s="2267"/>
      <c r="BJ177" s="2267"/>
      <c r="BK177" s="2267"/>
      <c r="BL177" s="2267"/>
      <c r="BM177" s="4278"/>
      <c r="BN177" s="2267"/>
      <c r="BO177" s="2267"/>
      <c r="BP177" s="2267"/>
      <c r="BQ177" s="4286"/>
      <c r="BR177" s="4286"/>
      <c r="BS177" s="4286"/>
      <c r="BT177" s="4286"/>
      <c r="BU177" s="2267"/>
    </row>
    <row r="178" spans="1:73" s="3" customFormat="1" ht="67.5" customHeight="1" x14ac:dyDescent="0.25">
      <c r="A178" s="1473"/>
      <c r="B178" s="1443"/>
      <c r="C178" s="1452"/>
      <c r="D178" s="1443"/>
      <c r="E178" s="1622"/>
      <c r="F178" s="1623"/>
      <c r="G178" s="4313"/>
      <c r="H178" s="4328"/>
      <c r="I178" s="4313"/>
      <c r="J178" s="4328"/>
      <c r="K178" s="3170"/>
      <c r="L178" s="3105"/>
      <c r="M178" s="3170"/>
      <c r="N178" s="3105"/>
      <c r="O178" s="4341"/>
      <c r="P178" s="4379"/>
      <c r="Q178" s="3385"/>
      <c r="R178" s="2476"/>
      <c r="S178" s="4339"/>
      <c r="T178" s="4311"/>
      <c r="U178" s="2475"/>
      <c r="V178" s="2699"/>
      <c r="W178" s="1447" t="s">
        <v>2324</v>
      </c>
      <c r="X178" s="1584">
        <v>8000000</v>
      </c>
      <c r="Y178" s="1638">
        <v>8000000</v>
      </c>
      <c r="Z178" s="1605">
        <v>1600000</v>
      </c>
      <c r="AA178" s="1583" t="s">
        <v>2319</v>
      </c>
      <c r="AB178" s="1621">
        <v>61</v>
      </c>
      <c r="AC178" s="1441" t="s">
        <v>1987</v>
      </c>
      <c r="AD178" s="2267"/>
      <c r="AE178" s="2267"/>
      <c r="AF178" s="2267"/>
      <c r="AG178" s="2267"/>
      <c r="AH178" s="4272"/>
      <c r="AI178" s="2267"/>
      <c r="AJ178" s="2267"/>
      <c r="AK178" s="2267"/>
      <c r="AL178" s="2267"/>
      <c r="AM178" s="2267"/>
      <c r="AN178" s="2267"/>
      <c r="AO178" s="2267"/>
      <c r="AP178" s="2267"/>
      <c r="AQ178" s="2267"/>
      <c r="AR178" s="2267"/>
      <c r="AS178" s="2267"/>
      <c r="AT178" s="2267"/>
      <c r="AU178" s="2267"/>
      <c r="AV178" s="2267"/>
      <c r="AW178" s="2267"/>
      <c r="AX178" s="2267"/>
      <c r="AY178" s="2267"/>
      <c r="AZ178" s="2267"/>
      <c r="BA178" s="2267"/>
      <c r="BB178" s="2267"/>
      <c r="BC178" s="2267"/>
      <c r="BD178" s="2267"/>
      <c r="BE178" s="2267"/>
      <c r="BF178" s="2267"/>
      <c r="BG178" s="2267"/>
      <c r="BH178" s="2267"/>
      <c r="BI178" s="2267"/>
      <c r="BJ178" s="2267"/>
      <c r="BK178" s="2267"/>
      <c r="BL178" s="2267"/>
      <c r="BM178" s="4278"/>
      <c r="BN178" s="2267"/>
      <c r="BO178" s="2267"/>
      <c r="BP178" s="2267"/>
      <c r="BQ178" s="4286"/>
      <c r="BR178" s="4286"/>
      <c r="BS178" s="4286"/>
      <c r="BT178" s="4286"/>
      <c r="BU178" s="2267"/>
    </row>
    <row r="179" spans="1:73" s="3" customFormat="1" ht="54.75" customHeight="1" x14ac:dyDescent="0.25">
      <c r="A179" s="1473"/>
      <c r="B179" s="1443"/>
      <c r="C179" s="1452"/>
      <c r="D179" s="1443"/>
      <c r="E179" s="1622"/>
      <c r="F179" s="1623"/>
      <c r="G179" s="4313">
        <v>1905027</v>
      </c>
      <c r="H179" s="4314" t="s">
        <v>2325</v>
      </c>
      <c r="I179" s="4313">
        <v>1905027</v>
      </c>
      <c r="J179" s="4314" t="s">
        <v>2325</v>
      </c>
      <c r="K179" s="3606">
        <v>190502700</v>
      </c>
      <c r="L179" s="2475" t="s">
        <v>2326</v>
      </c>
      <c r="M179" s="3606">
        <v>190502700</v>
      </c>
      <c r="N179" s="2475" t="s">
        <v>2326</v>
      </c>
      <c r="O179" s="4371">
        <v>12</v>
      </c>
      <c r="P179" s="3468">
        <v>12</v>
      </c>
      <c r="Q179" s="3385"/>
      <c r="R179" s="2476"/>
      <c r="S179" s="4339">
        <f>SUM(X179:X183)/T169</f>
        <v>0.49019607843137253</v>
      </c>
      <c r="T179" s="4311"/>
      <c r="U179" s="2475"/>
      <c r="V179" s="2699"/>
      <c r="W179" s="1447" t="s">
        <v>2327</v>
      </c>
      <c r="X179" s="1584">
        <f>7000000+7000000+7000000</f>
        <v>21000000</v>
      </c>
      <c r="Y179" s="1638">
        <v>15000000</v>
      </c>
      <c r="Z179" s="1605">
        <v>13000000</v>
      </c>
      <c r="AA179" s="1583" t="s">
        <v>2328</v>
      </c>
      <c r="AB179" s="1621">
        <v>61</v>
      </c>
      <c r="AC179" s="1441" t="s">
        <v>1987</v>
      </c>
      <c r="AD179" s="2267"/>
      <c r="AE179" s="2267"/>
      <c r="AF179" s="2267"/>
      <c r="AG179" s="2267"/>
      <c r="AH179" s="4272"/>
      <c r="AI179" s="2267"/>
      <c r="AJ179" s="2267"/>
      <c r="AK179" s="2267"/>
      <c r="AL179" s="2267"/>
      <c r="AM179" s="2267"/>
      <c r="AN179" s="2267"/>
      <c r="AO179" s="2267"/>
      <c r="AP179" s="2267"/>
      <c r="AQ179" s="2267"/>
      <c r="AR179" s="2267"/>
      <c r="AS179" s="2267"/>
      <c r="AT179" s="2267"/>
      <c r="AU179" s="2267"/>
      <c r="AV179" s="2267"/>
      <c r="AW179" s="2267"/>
      <c r="AX179" s="2267"/>
      <c r="AY179" s="2267"/>
      <c r="AZ179" s="2267"/>
      <c r="BA179" s="2267"/>
      <c r="BB179" s="2267"/>
      <c r="BC179" s="2267"/>
      <c r="BD179" s="2267"/>
      <c r="BE179" s="2267"/>
      <c r="BF179" s="2267"/>
      <c r="BG179" s="2267"/>
      <c r="BH179" s="2267"/>
      <c r="BI179" s="2267"/>
      <c r="BJ179" s="2267"/>
      <c r="BK179" s="2267"/>
      <c r="BL179" s="2267"/>
      <c r="BM179" s="4278"/>
      <c r="BN179" s="2267"/>
      <c r="BO179" s="2267"/>
      <c r="BP179" s="2267"/>
      <c r="BQ179" s="4286"/>
      <c r="BR179" s="4286"/>
      <c r="BS179" s="4286"/>
      <c r="BT179" s="4286"/>
      <c r="BU179" s="2267"/>
    </row>
    <row r="180" spans="1:73" s="3" customFormat="1" ht="54.75" customHeight="1" x14ac:dyDescent="0.25">
      <c r="A180" s="1473"/>
      <c r="B180" s="1443"/>
      <c r="C180" s="1452"/>
      <c r="D180" s="1443"/>
      <c r="E180" s="1622"/>
      <c r="F180" s="1623"/>
      <c r="G180" s="4313"/>
      <c r="H180" s="4314"/>
      <c r="I180" s="4313"/>
      <c r="J180" s="4314"/>
      <c r="K180" s="3606"/>
      <c r="L180" s="2475"/>
      <c r="M180" s="3606"/>
      <c r="N180" s="2475"/>
      <c r="O180" s="4371"/>
      <c r="P180" s="3469"/>
      <c r="Q180" s="3385"/>
      <c r="R180" s="2476"/>
      <c r="S180" s="4339"/>
      <c r="T180" s="4311"/>
      <c r="U180" s="2475"/>
      <c r="V180" s="2699"/>
      <c r="W180" s="1447" t="s">
        <v>2329</v>
      </c>
      <c r="X180" s="1584">
        <f>5000000+7000000</f>
        <v>12000000</v>
      </c>
      <c r="Y180" s="1638">
        <v>12000000</v>
      </c>
      <c r="Z180" s="1605">
        <v>4313000</v>
      </c>
      <c r="AA180" s="1583" t="s">
        <v>2328</v>
      </c>
      <c r="AB180" s="1621">
        <v>61</v>
      </c>
      <c r="AC180" s="1441" t="s">
        <v>1987</v>
      </c>
      <c r="AD180" s="2267"/>
      <c r="AE180" s="2267"/>
      <c r="AF180" s="2267"/>
      <c r="AG180" s="2267"/>
      <c r="AH180" s="4272"/>
      <c r="AI180" s="2267"/>
      <c r="AJ180" s="2267"/>
      <c r="AK180" s="2267"/>
      <c r="AL180" s="2267"/>
      <c r="AM180" s="2267"/>
      <c r="AN180" s="2267"/>
      <c r="AO180" s="2267"/>
      <c r="AP180" s="2267"/>
      <c r="AQ180" s="2267"/>
      <c r="AR180" s="2267"/>
      <c r="AS180" s="2267"/>
      <c r="AT180" s="2267"/>
      <c r="AU180" s="2267"/>
      <c r="AV180" s="2267"/>
      <c r="AW180" s="2267"/>
      <c r="AX180" s="2267"/>
      <c r="AY180" s="2267"/>
      <c r="AZ180" s="2267"/>
      <c r="BA180" s="2267"/>
      <c r="BB180" s="2267"/>
      <c r="BC180" s="2267"/>
      <c r="BD180" s="2267"/>
      <c r="BE180" s="2267"/>
      <c r="BF180" s="2267"/>
      <c r="BG180" s="2267"/>
      <c r="BH180" s="2267"/>
      <c r="BI180" s="2267"/>
      <c r="BJ180" s="2267"/>
      <c r="BK180" s="2267"/>
      <c r="BL180" s="2267"/>
      <c r="BM180" s="4278"/>
      <c r="BN180" s="2267"/>
      <c r="BO180" s="2267"/>
      <c r="BP180" s="2267"/>
      <c r="BQ180" s="4286"/>
      <c r="BR180" s="4286"/>
      <c r="BS180" s="4286"/>
      <c r="BT180" s="4286"/>
      <c r="BU180" s="2267"/>
    </row>
    <row r="181" spans="1:73" s="3" customFormat="1" ht="54.75" customHeight="1" x14ac:dyDescent="0.25">
      <c r="A181" s="1473"/>
      <c r="B181" s="1443"/>
      <c r="C181" s="1452"/>
      <c r="D181" s="1443"/>
      <c r="E181" s="1622"/>
      <c r="F181" s="1623"/>
      <c r="G181" s="4313"/>
      <c r="H181" s="4314"/>
      <c r="I181" s="4313"/>
      <c r="J181" s="4314"/>
      <c r="K181" s="3606"/>
      <c r="L181" s="2475"/>
      <c r="M181" s="3606"/>
      <c r="N181" s="2475"/>
      <c r="O181" s="4371"/>
      <c r="P181" s="3469"/>
      <c r="Q181" s="3385"/>
      <c r="R181" s="2476"/>
      <c r="S181" s="4339"/>
      <c r="T181" s="4311"/>
      <c r="U181" s="2475"/>
      <c r="V181" s="2699"/>
      <c r="W181" s="1447" t="s">
        <v>2330</v>
      </c>
      <c r="X181" s="1584">
        <v>14000000</v>
      </c>
      <c r="Y181" s="1638">
        <v>14000000</v>
      </c>
      <c r="Z181" s="1605">
        <v>6500000</v>
      </c>
      <c r="AA181" s="1583" t="s">
        <v>2328</v>
      </c>
      <c r="AB181" s="1621">
        <v>61</v>
      </c>
      <c r="AC181" s="1441" t="s">
        <v>1987</v>
      </c>
      <c r="AD181" s="2267"/>
      <c r="AE181" s="2267"/>
      <c r="AF181" s="2267"/>
      <c r="AG181" s="2267"/>
      <c r="AH181" s="4272"/>
      <c r="AI181" s="2267"/>
      <c r="AJ181" s="2267"/>
      <c r="AK181" s="2267"/>
      <c r="AL181" s="2267"/>
      <c r="AM181" s="2267"/>
      <c r="AN181" s="2267"/>
      <c r="AO181" s="2267"/>
      <c r="AP181" s="2267"/>
      <c r="AQ181" s="2267"/>
      <c r="AR181" s="2267"/>
      <c r="AS181" s="2267"/>
      <c r="AT181" s="2267"/>
      <c r="AU181" s="2267"/>
      <c r="AV181" s="2267"/>
      <c r="AW181" s="2267"/>
      <c r="AX181" s="2267"/>
      <c r="AY181" s="2267"/>
      <c r="AZ181" s="2267"/>
      <c r="BA181" s="2267"/>
      <c r="BB181" s="2267"/>
      <c r="BC181" s="2267"/>
      <c r="BD181" s="2267"/>
      <c r="BE181" s="2267"/>
      <c r="BF181" s="2267"/>
      <c r="BG181" s="2267"/>
      <c r="BH181" s="2267"/>
      <c r="BI181" s="2267"/>
      <c r="BJ181" s="2267"/>
      <c r="BK181" s="2267"/>
      <c r="BL181" s="2267"/>
      <c r="BM181" s="4278"/>
      <c r="BN181" s="2267"/>
      <c r="BO181" s="2267"/>
      <c r="BP181" s="2267"/>
      <c r="BQ181" s="4286"/>
      <c r="BR181" s="4286"/>
      <c r="BS181" s="4286"/>
      <c r="BT181" s="4286"/>
      <c r="BU181" s="2267"/>
    </row>
    <row r="182" spans="1:73" s="3" customFormat="1" ht="54.75" customHeight="1" x14ac:dyDescent="0.25">
      <c r="A182" s="1473"/>
      <c r="B182" s="1443"/>
      <c r="C182" s="1452"/>
      <c r="D182" s="1443"/>
      <c r="E182" s="1622"/>
      <c r="F182" s="1623"/>
      <c r="G182" s="4313"/>
      <c r="H182" s="4314"/>
      <c r="I182" s="4313"/>
      <c r="J182" s="4314"/>
      <c r="K182" s="3606"/>
      <c r="L182" s="2475"/>
      <c r="M182" s="3606"/>
      <c r="N182" s="2475"/>
      <c r="O182" s="4371"/>
      <c r="P182" s="3469"/>
      <c r="Q182" s="3385"/>
      <c r="R182" s="2476"/>
      <c r="S182" s="4339"/>
      <c r="T182" s="4311"/>
      <c r="U182" s="2475"/>
      <c r="V182" s="2699"/>
      <c r="W182" s="1447" t="s">
        <v>2324</v>
      </c>
      <c r="X182" s="1584">
        <v>10000000</v>
      </c>
      <c r="Y182" s="1638">
        <v>10000000</v>
      </c>
      <c r="Z182" s="1605">
        <v>16000000</v>
      </c>
      <c r="AA182" s="1583" t="s">
        <v>2328</v>
      </c>
      <c r="AB182" s="1621">
        <v>61</v>
      </c>
      <c r="AC182" s="1441" t="s">
        <v>1987</v>
      </c>
      <c r="AD182" s="2267"/>
      <c r="AE182" s="2267"/>
      <c r="AF182" s="2267"/>
      <c r="AG182" s="2267"/>
      <c r="AH182" s="4272"/>
      <c r="AI182" s="2267"/>
      <c r="AJ182" s="2267"/>
      <c r="AK182" s="2267"/>
      <c r="AL182" s="2267"/>
      <c r="AM182" s="2267"/>
      <c r="AN182" s="2267"/>
      <c r="AO182" s="2267"/>
      <c r="AP182" s="2267"/>
      <c r="AQ182" s="2267"/>
      <c r="AR182" s="2267"/>
      <c r="AS182" s="2267"/>
      <c r="AT182" s="2267"/>
      <c r="AU182" s="2267"/>
      <c r="AV182" s="2267"/>
      <c r="AW182" s="2267"/>
      <c r="AX182" s="2267"/>
      <c r="AY182" s="2267"/>
      <c r="AZ182" s="2267"/>
      <c r="BA182" s="2267"/>
      <c r="BB182" s="2267"/>
      <c r="BC182" s="2267"/>
      <c r="BD182" s="2267"/>
      <c r="BE182" s="2267"/>
      <c r="BF182" s="2267"/>
      <c r="BG182" s="2267"/>
      <c r="BH182" s="2267"/>
      <c r="BI182" s="2267"/>
      <c r="BJ182" s="2267"/>
      <c r="BK182" s="2267"/>
      <c r="BL182" s="2267"/>
      <c r="BM182" s="4278"/>
      <c r="BN182" s="2267"/>
      <c r="BO182" s="2267"/>
      <c r="BP182" s="2267"/>
      <c r="BQ182" s="4286"/>
      <c r="BR182" s="4286"/>
      <c r="BS182" s="4286"/>
      <c r="BT182" s="4286"/>
      <c r="BU182" s="2267"/>
    </row>
    <row r="183" spans="1:73" s="3" customFormat="1" ht="54.75" customHeight="1" x14ac:dyDescent="0.25">
      <c r="A183" s="1473"/>
      <c r="B183" s="1443"/>
      <c r="C183" s="1452"/>
      <c r="D183" s="1443"/>
      <c r="E183" s="1622"/>
      <c r="F183" s="1623"/>
      <c r="G183" s="4313"/>
      <c r="H183" s="4314"/>
      <c r="I183" s="4313"/>
      <c r="J183" s="4314"/>
      <c r="K183" s="3606"/>
      <c r="L183" s="2475"/>
      <c r="M183" s="3606"/>
      <c r="N183" s="2475"/>
      <c r="O183" s="4371"/>
      <c r="P183" s="3470"/>
      <c r="Q183" s="3385"/>
      <c r="R183" s="2476"/>
      <c r="S183" s="4339"/>
      <c r="T183" s="4311"/>
      <c r="U183" s="2475"/>
      <c r="V183" s="2700"/>
      <c r="W183" s="1447" t="s">
        <v>2331</v>
      </c>
      <c r="X183" s="1584">
        <f>11000000+7000000</f>
        <v>18000000</v>
      </c>
      <c r="Y183" s="1638">
        <v>14420000</v>
      </c>
      <c r="Z183" s="1605">
        <v>12452000</v>
      </c>
      <c r="AA183" s="1583" t="s">
        <v>2328</v>
      </c>
      <c r="AB183" s="1621">
        <v>61</v>
      </c>
      <c r="AC183" s="1441" t="s">
        <v>1987</v>
      </c>
      <c r="AD183" s="2439"/>
      <c r="AE183" s="2439"/>
      <c r="AF183" s="2439"/>
      <c r="AG183" s="2439"/>
      <c r="AH183" s="3808"/>
      <c r="AI183" s="2439"/>
      <c r="AJ183" s="2439"/>
      <c r="AK183" s="2439"/>
      <c r="AL183" s="2439"/>
      <c r="AM183" s="2439"/>
      <c r="AN183" s="2439"/>
      <c r="AO183" s="2439"/>
      <c r="AP183" s="2439"/>
      <c r="AQ183" s="2439"/>
      <c r="AR183" s="2439"/>
      <c r="AS183" s="2439"/>
      <c r="AT183" s="2439"/>
      <c r="AU183" s="2439"/>
      <c r="AV183" s="2439"/>
      <c r="AW183" s="2439"/>
      <c r="AX183" s="2439"/>
      <c r="AY183" s="2439"/>
      <c r="AZ183" s="2439"/>
      <c r="BA183" s="2439"/>
      <c r="BB183" s="2439"/>
      <c r="BC183" s="2439"/>
      <c r="BD183" s="2439"/>
      <c r="BE183" s="2439"/>
      <c r="BF183" s="2439"/>
      <c r="BG183" s="2439"/>
      <c r="BH183" s="2439"/>
      <c r="BI183" s="2439"/>
      <c r="BJ183" s="2439"/>
      <c r="BK183" s="2439"/>
      <c r="BL183" s="2439"/>
      <c r="BM183" s="4279"/>
      <c r="BN183" s="2439"/>
      <c r="BO183" s="2439"/>
      <c r="BP183" s="2439"/>
      <c r="BQ183" s="4327"/>
      <c r="BR183" s="4327"/>
      <c r="BS183" s="4327"/>
      <c r="BT183" s="4327"/>
      <c r="BU183" s="2439"/>
    </row>
    <row r="184" spans="1:73" s="3" customFormat="1" ht="69" customHeight="1" x14ac:dyDescent="0.25">
      <c r="A184" s="1473"/>
      <c r="B184" s="1443"/>
      <c r="C184" s="1452"/>
      <c r="D184" s="1443"/>
      <c r="E184" s="1622"/>
      <c r="F184" s="1623"/>
      <c r="G184" s="4313" t="s">
        <v>74</v>
      </c>
      <c r="H184" s="4314" t="s">
        <v>2332</v>
      </c>
      <c r="I184" s="4313" t="s">
        <v>2333</v>
      </c>
      <c r="J184" s="4314" t="s">
        <v>1474</v>
      </c>
      <c r="K184" s="3606" t="s">
        <v>74</v>
      </c>
      <c r="L184" s="2475" t="s">
        <v>2214</v>
      </c>
      <c r="M184" s="3606" t="s">
        <v>2334</v>
      </c>
      <c r="N184" s="2475" t="s">
        <v>1770</v>
      </c>
      <c r="O184" s="4382">
        <v>4</v>
      </c>
      <c r="P184" s="4330">
        <v>2</v>
      </c>
      <c r="Q184" s="3385" t="s">
        <v>2335</v>
      </c>
      <c r="R184" s="2476" t="s">
        <v>2336</v>
      </c>
      <c r="S184" s="4339">
        <f>SUM(X184:X190)/T184</f>
        <v>0.17866969925693699</v>
      </c>
      <c r="T184" s="4311">
        <f>SUM(X184:X196)</f>
        <v>531707393</v>
      </c>
      <c r="U184" s="2476" t="s">
        <v>2337</v>
      </c>
      <c r="V184" s="2285" t="s">
        <v>2338</v>
      </c>
      <c r="W184" s="1447" t="s">
        <v>2339</v>
      </c>
      <c r="X184" s="1584">
        <v>20000000</v>
      </c>
      <c r="Y184" s="1638">
        <v>10000000</v>
      </c>
      <c r="Z184" s="1605">
        <v>9450000</v>
      </c>
      <c r="AA184" s="1583" t="s">
        <v>2340</v>
      </c>
      <c r="AB184" s="1621">
        <v>61</v>
      </c>
      <c r="AC184" s="1441" t="s">
        <v>1987</v>
      </c>
      <c r="AD184" s="2438">
        <v>292684</v>
      </c>
      <c r="AE184" s="2438"/>
      <c r="AF184" s="2438">
        <v>282326</v>
      </c>
      <c r="AG184" s="2438"/>
      <c r="AH184" s="3809">
        <v>135912</v>
      </c>
      <c r="AI184" s="2438"/>
      <c r="AJ184" s="2438">
        <v>45122</v>
      </c>
      <c r="AK184" s="2438"/>
      <c r="AL184" s="2438">
        <v>307101</v>
      </c>
      <c r="AM184" s="2438"/>
      <c r="AN184" s="2438">
        <v>86875</v>
      </c>
      <c r="AO184" s="2438"/>
      <c r="AP184" s="2438">
        <v>2145</v>
      </c>
      <c r="AQ184" s="2438"/>
      <c r="AR184" s="2438">
        <v>12718</v>
      </c>
      <c r="AS184" s="2438"/>
      <c r="AT184" s="2438">
        <v>26</v>
      </c>
      <c r="AU184" s="2438"/>
      <c r="AV184" s="2438">
        <v>37</v>
      </c>
      <c r="AW184" s="2438"/>
      <c r="AX184" s="2438">
        <v>0</v>
      </c>
      <c r="AY184" s="2438"/>
      <c r="AZ184" s="2438">
        <v>0</v>
      </c>
      <c r="BA184" s="2438"/>
      <c r="BB184" s="2438">
        <v>53164</v>
      </c>
      <c r="BC184" s="2438"/>
      <c r="BD184" s="2438">
        <v>16982</v>
      </c>
      <c r="BE184" s="2438"/>
      <c r="BF184" s="2438">
        <v>60013</v>
      </c>
      <c r="BG184" s="2438"/>
      <c r="BH184" s="2438">
        <v>575010</v>
      </c>
      <c r="BI184" s="2438"/>
      <c r="BJ184" s="2438">
        <v>15</v>
      </c>
      <c r="BK184" s="4287">
        <f>SUM(Y184:Y196)</f>
        <v>239119643</v>
      </c>
      <c r="BL184" s="4287">
        <f>SUM(Z184:Z196)</f>
        <v>213424543</v>
      </c>
      <c r="BM184" s="4277">
        <f>BL184/BK184</f>
        <v>0.89254291417623099</v>
      </c>
      <c r="BN184" s="2438" t="s">
        <v>2341</v>
      </c>
      <c r="BO184" s="2438" t="s">
        <v>2342</v>
      </c>
      <c r="BP184" s="2438" t="s">
        <v>2170</v>
      </c>
      <c r="BQ184" s="4285">
        <v>44197</v>
      </c>
      <c r="BR184" s="4285">
        <v>44251</v>
      </c>
      <c r="BS184" s="4285">
        <v>44561</v>
      </c>
      <c r="BT184" s="4285">
        <v>44561</v>
      </c>
      <c r="BU184" s="2438" t="s">
        <v>1991</v>
      </c>
    </row>
    <row r="185" spans="1:73" s="3" customFormat="1" ht="69" customHeight="1" x14ac:dyDescent="0.25">
      <c r="A185" s="1473"/>
      <c r="B185" s="1443"/>
      <c r="C185" s="1452"/>
      <c r="D185" s="1443"/>
      <c r="E185" s="1622"/>
      <c r="F185" s="1623"/>
      <c r="G185" s="4313"/>
      <c r="H185" s="4314"/>
      <c r="I185" s="4313"/>
      <c r="J185" s="4314"/>
      <c r="K185" s="3606"/>
      <c r="L185" s="2475"/>
      <c r="M185" s="3606"/>
      <c r="N185" s="2475"/>
      <c r="O185" s="4382"/>
      <c r="P185" s="4333"/>
      <c r="Q185" s="3385"/>
      <c r="R185" s="2476"/>
      <c r="S185" s="4339"/>
      <c r="T185" s="4311"/>
      <c r="U185" s="2476"/>
      <c r="V185" s="2285"/>
      <c r="W185" s="1447" t="s">
        <v>2343</v>
      </c>
      <c r="X185" s="1584">
        <v>10000000</v>
      </c>
      <c r="Y185" s="1638">
        <v>7000000</v>
      </c>
      <c r="Z185" s="1605">
        <v>6600000</v>
      </c>
      <c r="AA185" s="1583" t="s">
        <v>2340</v>
      </c>
      <c r="AB185" s="1621">
        <v>61</v>
      </c>
      <c r="AC185" s="1441" t="s">
        <v>1987</v>
      </c>
      <c r="AD185" s="2267"/>
      <c r="AE185" s="2267"/>
      <c r="AF185" s="2267"/>
      <c r="AG185" s="2267"/>
      <c r="AH185" s="4272"/>
      <c r="AI185" s="2267"/>
      <c r="AJ185" s="2267"/>
      <c r="AK185" s="2267"/>
      <c r="AL185" s="2267"/>
      <c r="AM185" s="2267"/>
      <c r="AN185" s="2267"/>
      <c r="AO185" s="2267"/>
      <c r="AP185" s="2267"/>
      <c r="AQ185" s="2267"/>
      <c r="AR185" s="2267"/>
      <c r="AS185" s="2267"/>
      <c r="AT185" s="2267"/>
      <c r="AU185" s="2267"/>
      <c r="AV185" s="2267"/>
      <c r="AW185" s="2267"/>
      <c r="AX185" s="2267"/>
      <c r="AY185" s="2267"/>
      <c r="AZ185" s="2267"/>
      <c r="BA185" s="2267"/>
      <c r="BB185" s="2267"/>
      <c r="BC185" s="2267"/>
      <c r="BD185" s="2267"/>
      <c r="BE185" s="2267"/>
      <c r="BF185" s="2267"/>
      <c r="BG185" s="2267"/>
      <c r="BH185" s="2267"/>
      <c r="BI185" s="2267"/>
      <c r="BJ185" s="2267"/>
      <c r="BK185" s="2267"/>
      <c r="BL185" s="2267"/>
      <c r="BM185" s="4278"/>
      <c r="BN185" s="2267"/>
      <c r="BO185" s="2267"/>
      <c r="BP185" s="2267"/>
      <c r="BQ185" s="4286"/>
      <c r="BR185" s="4286"/>
      <c r="BS185" s="4286"/>
      <c r="BT185" s="4286"/>
      <c r="BU185" s="2267"/>
    </row>
    <row r="186" spans="1:73" s="3" customFormat="1" ht="69" customHeight="1" x14ac:dyDescent="0.25">
      <c r="A186" s="1473"/>
      <c r="B186" s="1443"/>
      <c r="C186" s="1452"/>
      <c r="D186" s="1443"/>
      <c r="E186" s="1622"/>
      <c r="F186" s="1623"/>
      <c r="G186" s="4313"/>
      <c r="H186" s="4314"/>
      <c r="I186" s="4313"/>
      <c r="J186" s="4314"/>
      <c r="K186" s="3606"/>
      <c r="L186" s="2475"/>
      <c r="M186" s="3606"/>
      <c r="N186" s="2475"/>
      <c r="O186" s="4382"/>
      <c r="P186" s="4333"/>
      <c r="Q186" s="3385"/>
      <c r="R186" s="2476"/>
      <c r="S186" s="4339"/>
      <c r="T186" s="4311"/>
      <c r="U186" s="2476"/>
      <c r="V186" s="2285"/>
      <c r="W186" s="2701" t="s">
        <v>2344</v>
      </c>
      <c r="X186" s="1584">
        <v>10000000</v>
      </c>
      <c r="Y186" s="1638">
        <v>5000000</v>
      </c>
      <c r="Z186" s="1605">
        <v>3570000</v>
      </c>
      <c r="AA186" s="1583" t="s">
        <v>2340</v>
      </c>
      <c r="AB186" s="1621">
        <v>61</v>
      </c>
      <c r="AC186" s="1441" t="s">
        <v>1987</v>
      </c>
      <c r="AD186" s="2267"/>
      <c r="AE186" s="2267"/>
      <c r="AF186" s="2267"/>
      <c r="AG186" s="2267"/>
      <c r="AH186" s="4272"/>
      <c r="AI186" s="2267"/>
      <c r="AJ186" s="2267"/>
      <c r="AK186" s="2267"/>
      <c r="AL186" s="2267"/>
      <c r="AM186" s="2267"/>
      <c r="AN186" s="2267"/>
      <c r="AO186" s="2267"/>
      <c r="AP186" s="2267"/>
      <c r="AQ186" s="2267"/>
      <c r="AR186" s="2267"/>
      <c r="AS186" s="2267"/>
      <c r="AT186" s="2267"/>
      <c r="AU186" s="2267"/>
      <c r="AV186" s="2267"/>
      <c r="AW186" s="2267"/>
      <c r="AX186" s="2267"/>
      <c r="AY186" s="2267"/>
      <c r="AZ186" s="2267"/>
      <c r="BA186" s="2267"/>
      <c r="BB186" s="2267"/>
      <c r="BC186" s="2267"/>
      <c r="BD186" s="2267"/>
      <c r="BE186" s="2267"/>
      <c r="BF186" s="2267"/>
      <c r="BG186" s="2267"/>
      <c r="BH186" s="2267"/>
      <c r="BI186" s="2267"/>
      <c r="BJ186" s="2267"/>
      <c r="BK186" s="2267"/>
      <c r="BL186" s="2267"/>
      <c r="BM186" s="4278"/>
      <c r="BN186" s="2267"/>
      <c r="BO186" s="2267"/>
      <c r="BP186" s="2267"/>
      <c r="BQ186" s="4286"/>
      <c r="BR186" s="4286"/>
      <c r="BS186" s="4286"/>
      <c r="BT186" s="4286"/>
      <c r="BU186" s="2267"/>
    </row>
    <row r="187" spans="1:73" s="3" customFormat="1" ht="69" customHeight="1" x14ac:dyDescent="0.25">
      <c r="A187" s="1473"/>
      <c r="B187" s="1443"/>
      <c r="C187" s="1452"/>
      <c r="D187" s="1443"/>
      <c r="E187" s="1622"/>
      <c r="F187" s="1623"/>
      <c r="G187" s="4313"/>
      <c r="H187" s="4314"/>
      <c r="I187" s="4313"/>
      <c r="J187" s="4314"/>
      <c r="K187" s="3606"/>
      <c r="L187" s="2475"/>
      <c r="M187" s="3606"/>
      <c r="N187" s="2475"/>
      <c r="O187" s="4382"/>
      <c r="P187" s="4333"/>
      <c r="Q187" s="3385"/>
      <c r="R187" s="2476"/>
      <c r="S187" s="4339"/>
      <c r="T187" s="4311"/>
      <c r="U187" s="2476"/>
      <c r="V187" s="2285"/>
      <c r="W187" s="2703"/>
      <c r="X187" s="1584">
        <v>10000000</v>
      </c>
      <c r="Y187" s="1638"/>
      <c r="Z187" s="1605"/>
      <c r="AA187" s="1583" t="s">
        <v>2340</v>
      </c>
      <c r="AB187" s="1621">
        <v>61</v>
      </c>
      <c r="AC187" s="1441" t="s">
        <v>1987</v>
      </c>
      <c r="AD187" s="2267"/>
      <c r="AE187" s="2267"/>
      <c r="AF187" s="2267"/>
      <c r="AG187" s="2267"/>
      <c r="AH187" s="4272"/>
      <c r="AI187" s="2267"/>
      <c r="AJ187" s="2267"/>
      <c r="AK187" s="2267"/>
      <c r="AL187" s="2267"/>
      <c r="AM187" s="2267"/>
      <c r="AN187" s="2267"/>
      <c r="AO187" s="2267"/>
      <c r="AP187" s="2267"/>
      <c r="AQ187" s="2267"/>
      <c r="AR187" s="2267"/>
      <c r="AS187" s="2267"/>
      <c r="AT187" s="2267"/>
      <c r="AU187" s="2267"/>
      <c r="AV187" s="2267"/>
      <c r="AW187" s="2267"/>
      <c r="AX187" s="2267"/>
      <c r="AY187" s="2267"/>
      <c r="AZ187" s="2267"/>
      <c r="BA187" s="2267"/>
      <c r="BB187" s="2267"/>
      <c r="BC187" s="2267"/>
      <c r="BD187" s="2267"/>
      <c r="BE187" s="2267"/>
      <c r="BF187" s="2267"/>
      <c r="BG187" s="2267"/>
      <c r="BH187" s="2267"/>
      <c r="BI187" s="2267"/>
      <c r="BJ187" s="2267"/>
      <c r="BK187" s="2267"/>
      <c r="BL187" s="2267"/>
      <c r="BM187" s="4278"/>
      <c r="BN187" s="2267"/>
      <c r="BO187" s="2267"/>
      <c r="BP187" s="2267"/>
      <c r="BQ187" s="4286"/>
      <c r="BR187" s="4286"/>
      <c r="BS187" s="4286"/>
      <c r="BT187" s="4286"/>
      <c r="BU187" s="2267"/>
    </row>
    <row r="188" spans="1:73" s="3" customFormat="1" ht="69" customHeight="1" x14ac:dyDescent="0.25">
      <c r="A188" s="1473"/>
      <c r="B188" s="1443"/>
      <c r="C188" s="1452"/>
      <c r="D188" s="1443"/>
      <c r="E188" s="1622"/>
      <c r="F188" s="1623"/>
      <c r="G188" s="4313"/>
      <c r="H188" s="4314"/>
      <c r="I188" s="4313"/>
      <c r="J188" s="4314"/>
      <c r="K188" s="3606"/>
      <c r="L188" s="2475"/>
      <c r="M188" s="3606"/>
      <c r="N188" s="2475"/>
      <c r="O188" s="4382"/>
      <c r="P188" s="4333"/>
      <c r="Q188" s="3385"/>
      <c r="R188" s="2476"/>
      <c r="S188" s="4339"/>
      <c r="T188" s="4311"/>
      <c r="U188" s="2476"/>
      <c r="V188" s="2285"/>
      <c r="W188" s="1447" t="s">
        <v>2345</v>
      </c>
      <c r="X188" s="1584">
        <v>10000000</v>
      </c>
      <c r="Y188" s="1638">
        <v>5000000</v>
      </c>
      <c r="Z188" s="1605">
        <v>4200000</v>
      </c>
      <c r="AA188" s="1583" t="s">
        <v>2340</v>
      </c>
      <c r="AB188" s="1621">
        <v>61</v>
      </c>
      <c r="AC188" s="1441" t="s">
        <v>1987</v>
      </c>
      <c r="AD188" s="2267"/>
      <c r="AE188" s="2267"/>
      <c r="AF188" s="2267"/>
      <c r="AG188" s="2267"/>
      <c r="AH188" s="4272"/>
      <c r="AI188" s="2267"/>
      <c r="AJ188" s="2267"/>
      <c r="AK188" s="2267"/>
      <c r="AL188" s="2267"/>
      <c r="AM188" s="2267"/>
      <c r="AN188" s="2267"/>
      <c r="AO188" s="2267"/>
      <c r="AP188" s="2267"/>
      <c r="AQ188" s="2267"/>
      <c r="AR188" s="2267"/>
      <c r="AS188" s="2267"/>
      <c r="AT188" s="2267"/>
      <c r="AU188" s="2267"/>
      <c r="AV188" s="2267"/>
      <c r="AW188" s="2267"/>
      <c r="AX188" s="2267"/>
      <c r="AY188" s="2267"/>
      <c r="AZ188" s="2267"/>
      <c r="BA188" s="2267"/>
      <c r="BB188" s="2267"/>
      <c r="BC188" s="2267"/>
      <c r="BD188" s="2267"/>
      <c r="BE188" s="2267"/>
      <c r="BF188" s="2267"/>
      <c r="BG188" s="2267"/>
      <c r="BH188" s="2267"/>
      <c r="BI188" s="2267"/>
      <c r="BJ188" s="2267"/>
      <c r="BK188" s="2267"/>
      <c r="BL188" s="2267"/>
      <c r="BM188" s="4278"/>
      <c r="BN188" s="2267"/>
      <c r="BO188" s="2267"/>
      <c r="BP188" s="2267"/>
      <c r="BQ188" s="4286"/>
      <c r="BR188" s="4286"/>
      <c r="BS188" s="4286"/>
      <c r="BT188" s="4286"/>
      <c r="BU188" s="2267"/>
    </row>
    <row r="189" spans="1:73" s="3" customFormat="1" ht="69" customHeight="1" x14ac:dyDescent="0.25">
      <c r="A189" s="1473"/>
      <c r="B189" s="1443"/>
      <c r="C189" s="1452"/>
      <c r="D189" s="1443"/>
      <c r="E189" s="1622"/>
      <c r="F189" s="1623"/>
      <c r="G189" s="4313"/>
      <c r="H189" s="4314"/>
      <c r="I189" s="4313"/>
      <c r="J189" s="4314"/>
      <c r="K189" s="3606"/>
      <c r="L189" s="2475"/>
      <c r="M189" s="3606"/>
      <c r="N189" s="2475"/>
      <c r="O189" s="4382"/>
      <c r="P189" s="4333"/>
      <c r="Q189" s="3385"/>
      <c r="R189" s="2476"/>
      <c r="S189" s="4339"/>
      <c r="T189" s="4311"/>
      <c r="U189" s="2476"/>
      <c r="V189" s="2285"/>
      <c r="W189" s="1447" t="s">
        <v>2346</v>
      </c>
      <c r="X189" s="1584">
        <v>25000000</v>
      </c>
      <c r="Y189" s="1638">
        <v>17780000</v>
      </c>
      <c r="Z189" s="1605">
        <v>16900000</v>
      </c>
      <c r="AA189" s="1583" t="s">
        <v>2340</v>
      </c>
      <c r="AB189" s="1621">
        <v>61</v>
      </c>
      <c r="AC189" s="1441" t="s">
        <v>1987</v>
      </c>
      <c r="AD189" s="2267"/>
      <c r="AE189" s="2267"/>
      <c r="AF189" s="2267"/>
      <c r="AG189" s="2267"/>
      <c r="AH189" s="4272"/>
      <c r="AI189" s="2267"/>
      <c r="AJ189" s="2267"/>
      <c r="AK189" s="2267"/>
      <c r="AL189" s="2267"/>
      <c r="AM189" s="2267"/>
      <c r="AN189" s="2267"/>
      <c r="AO189" s="2267"/>
      <c r="AP189" s="2267"/>
      <c r="AQ189" s="2267"/>
      <c r="AR189" s="2267"/>
      <c r="AS189" s="2267"/>
      <c r="AT189" s="2267"/>
      <c r="AU189" s="2267"/>
      <c r="AV189" s="2267"/>
      <c r="AW189" s="2267"/>
      <c r="AX189" s="2267"/>
      <c r="AY189" s="2267"/>
      <c r="AZ189" s="2267"/>
      <c r="BA189" s="2267"/>
      <c r="BB189" s="2267"/>
      <c r="BC189" s="2267"/>
      <c r="BD189" s="2267"/>
      <c r="BE189" s="2267"/>
      <c r="BF189" s="2267"/>
      <c r="BG189" s="2267"/>
      <c r="BH189" s="2267"/>
      <c r="BI189" s="2267"/>
      <c r="BJ189" s="2267"/>
      <c r="BK189" s="2267"/>
      <c r="BL189" s="2267"/>
      <c r="BM189" s="4278"/>
      <c r="BN189" s="2267"/>
      <c r="BO189" s="2267"/>
      <c r="BP189" s="2267"/>
      <c r="BQ189" s="4286"/>
      <c r="BR189" s="4286"/>
      <c r="BS189" s="4286"/>
      <c r="BT189" s="4286"/>
      <c r="BU189" s="2267"/>
    </row>
    <row r="190" spans="1:73" s="3" customFormat="1" ht="69" customHeight="1" x14ac:dyDescent="0.25">
      <c r="A190" s="1473"/>
      <c r="B190" s="1443"/>
      <c r="C190" s="1452"/>
      <c r="D190" s="1443"/>
      <c r="E190" s="1622"/>
      <c r="F190" s="1623"/>
      <c r="G190" s="4313"/>
      <c r="H190" s="4314"/>
      <c r="I190" s="4313"/>
      <c r="J190" s="4314"/>
      <c r="K190" s="3606"/>
      <c r="L190" s="2475"/>
      <c r="M190" s="3606"/>
      <c r="N190" s="2475"/>
      <c r="O190" s="4382"/>
      <c r="P190" s="4331"/>
      <c r="Q190" s="3385"/>
      <c r="R190" s="2476"/>
      <c r="S190" s="4339"/>
      <c r="T190" s="4311"/>
      <c r="U190" s="2476"/>
      <c r="V190" s="2285"/>
      <c r="W190" s="1447" t="s">
        <v>2347</v>
      </c>
      <c r="X190" s="1584">
        <v>10000000</v>
      </c>
      <c r="Y190" s="1638">
        <v>5000000</v>
      </c>
      <c r="Z190" s="1605">
        <v>3950000</v>
      </c>
      <c r="AA190" s="1583" t="s">
        <v>2340</v>
      </c>
      <c r="AB190" s="1621">
        <v>61</v>
      </c>
      <c r="AC190" s="1441" t="s">
        <v>1987</v>
      </c>
      <c r="AD190" s="2267"/>
      <c r="AE190" s="2267"/>
      <c r="AF190" s="2267"/>
      <c r="AG190" s="2267"/>
      <c r="AH190" s="4272"/>
      <c r="AI190" s="2267"/>
      <c r="AJ190" s="2267"/>
      <c r="AK190" s="2267"/>
      <c r="AL190" s="2267"/>
      <c r="AM190" s="2267"/>
      <c r="AN190" s="2267"/>
      <c r="AO190" s="2267"/>
      <c r="AP190" s="2267"/>
      <c r="AQ190" s="2267"/>
      <c r="AR190" s="2267"/>
      <c r="AS190" s="2267"/>
      <c r="AT190" s="2267"/>
      <c r="AU190" s="2267"/>
      <c r="AV190" s="2267"/>
      <c r="AW190" s="2267"/>
      <c r="AX190" s="2267"/>
      <c r="AY190" s="2267"/>
      <c r="AZ190" s="2267"/>
      <c r="BA190" s="2267"/>
      <c r="BB190" s="2267"/>
      <c r="BC190" s="2267"/>
      <c r="BD190" s="2267"/>
      <c r="BE190" s="2267"/>
      <c r="BF190" s="2267"/>
      <c r="BG190" s="2267"/>
      <c r="BH190" s="2267"/>
      <c r="BI190" s="2267"/>
      <c r="BJ190" s="2267"/>
      <c r="BK190" s="2267"/>
      <c r="BL190" s="2267"/>
      <c r="BM190" s="4278"/>
      <c r="BN190" s="2267"/>
      <c r="BO190" s="2267"/>
      <c r="BP190" s="2267"/>
      <c r="BQ190" s="4286"/>
      <c r="BR190" s="4286"/>
      <c r="BS190" s="4286"/>
      <c r="BT190" s="4286"/>
      <c r="BU190" s="2267"/>
    </row>
    <row r="191" spans="1:73" s="3" customFormat="1" ht="62.25" customHeight="1" x14ac:dyDescent="0.25">
      <c r="A191" s="1473"/>
      <c r="B191" s="1443"/>
      <c r="C191" s="1452"/>
      <c r="D191" s="1443"/>
      <c r="E191" s="1622"/>
      <c r="F191" s="1623"/>
      <c r="G191" s="4313">
        <v>1905026</v>
      </c>
      <c r="H191" s="4314" t="s">
        <v>2315</v>
      </c>
      <c r="I191" s="4313">
        <v>1905026</v>
      </c>
      <c r="J191" s="4314" t="s">
        <v>2315</v>
      </c>
      <c r="K191" s="3606">
        <v>190502600</v>
      </c>
      <c r="L191" s="2475" t="s">
        <v>2316</v>
      </c>
      <c r="M191" s="3606">
        <v>190502600</v>
      </c>
      <c r="N191" s="2475" t="s">
        <v>2316</v>
      </c>
      <c r="O191" s="4325">
        <v>12</v>
      </c>
      <c r="P191" s="4330">
        <v>12</v>
      </c>
      <c r="Q191" s="3385"/>
      <c r="R191" s="2476"/>
      <c r="S191" s="4339">
        <f>SUM(X191:X196)/T184</f>
        <v>0.82133030074306301</v>
      </c>
      <c r="T191" s="4311"/>
      <c r="U191" s="2476"/>
      <c r="V191" s="2285" t="s">
        <v>2348</v>
      </c>
      <c r="W191" s="2701" t="s">
        <v>2349</v>
      </c>
      <c r="X191" s="1584">
        <f>36000000</f>
        <v>36000000</v>
      </c>
      <c r="Y191" s="1584">
        <v>26000000</v>
      </c>
      <c r="Z191" s="1605">
        <v>11410000</v>
      </c>
      <c r="AA191" s="1583" t="s">
        <v>2350</v>
      </c>
      <c r="AB191" s="1621">
        <v>61</v>
      </c>
      <c r="AC191" s="1441" t="s">
        <v>1987</v>
      </c>
      <c r="AD191" s="2267"/>
      <c r="AE191" s="2267"/>
      <c r="AF191" s="2267"/>
      <c r="AG191" s="2267"/>
      <c r="AH191" s="4272"/>
      <c r="AI191" s="2267"/>
      <c r="AJ191" s="2267"/>
      <c r="AK191" s="2267"/>
      <c r="AL191" s="2267"/>
      <c r="AM191" s="2267"/>
      <c r="AN191" s="2267"/>
      <c r="AO191" s="2267"/>
      <c r="AP191" s="2267"/>
      <c r="AQ191" s="2267"/>
      <c r="AR191" s="2267"/>
      <c r="AS191" s="2267"/>
      <c r="AT191" s="2267"/>
      <c r="AU191" s="2267"/>
      <c r="AV191" s="2267"/>
      <c r="AW191" s="2267"/>
      <c r="AX191" s="2267"/>
      <c r="AY191" s="2267"/>
      <c r="AZ191" s="2267"/>
      <c r="BA191" s="2267"/>
      <c r="BB191" s="2267"/>
      <c r="BC191" s="2267"/>
      <c r="BD191" s="2267"/>
      <c r="BE191" s="2267"/>
      <c r="BF191" s="2267"/>
      <c r="BG191" s="2267"/>
      <c r="BH191" s="2267"/>
      <c r="BI191" s="2267"/>
      <c r="BJ191" s="2267"/>
      <c r="BK191" s="2267"/>
      <c r="BL191" s="2267"/>
      <c r="BM191" s="4278"/>
      <c r="BN191" s="2267"/>
      <c r="BO191" s="2267"/>
      <c r="BP191" s="2267"/>
      <c r="BQ191" s="4286"/>
      <c r="BR191" s="4286"/>
      <c r="BS191" s="4286"/>
      <c r="BT191" s="4286"/>
      <c r="BU191" s="2267"/>
    </row>
    <row r="192" spans="1:73" s="3" customFormat="1" ht="62.25" customHeight="1" x14ac:dyDescent="0.25">
      <c r="A192" s="1473"/>
      <c r="B192" s="1443"/>
      <c r="C192" s="1452"/>
      <c r="D192" s="1443"/>
      <c r="E192" s="1622"/>
      <c r="F192" s="1623"/>
      <c r="G192" s="4313"/>
      <c r="H192" s="4314"/>
      <c r="I192" s="4313"/>
      <c r="J192" s="4314"/>
      <c r="K192" s="3606"/>
      <c r="L192" s="2475"/>
      <c r="M192" s="3606"/>
      <c r="N192" s="2475"/>
      <c r="O192" s="4332"/>
      <c r="P192" s="4333"/>
      <c r="Q192" s="3385"/>
      <c r="R192" s="2476"/>
      <c r="S192" s="4339"/>
      <c r="T192" s="4311"/>
      <c r="U192" s="2476"/>
      <c r="V192" s="2285"/>
      <c r="W192" s="2702"/>
      <c r="X192" s="1584">
        <v>130000000</v>
      </c>
      <c r="Y192" s="1584"/>
      <c r="Z192" s="1605"/>
      <c r="AA192" s="1583" t="s">
        <v>2351</v>
      </c>
      <c r="AB192" s="1621">
        <v>20</v>
      </c>
      <c r="AC192" s="1441" t="s">
        <v>86</v>
      </c>
      <c r="AD192" s="2267"/>
      <c r="AE192" s="2267"/>
      <c r="AF192" s="2267"/>
      <c r="AG192" s="2267"/>
      <c r="AH192" s="4272"/>
      <c r="AI192" s="2267"/>
      <c r="AJ192" s="2267"/>
      <c r="AK192" s="2267"/>
      <c r="AL192" s="2267"/>
      <c r="AM192" s="2267"/>
      <c r="AN192" s="2267"/>
      <c r="AO192" s="2267"/>
      <c r="AP192" s="2267"/>
      <c r="AQ192" s="2267"/>
      <c r="AR192" s="2267"/>
      <c r="AS192" s="2267"/>
      <c r="AT192" s="2267"/>
      <c r="AU192" s="2267"/>
      <c r="AV192" s="2267"/>
      <c r="AW192" s="2267"/>
      <c r="AX192" s="2267"/>
      <c r="AY192" s="2267"/>
      <c r="AZ192" s="2267"/>
      <c r="BA192" s="2267"/>
      <c r="BB192" s="2267"/>
      <c r="BC192" s="2267"/>
      <c r="BD192" s="2267"/>
      <c r="BE192" s="2267"/>
      <c r="BF192" s="2267"/>
      <c r="BG192" s="2267"/>
      <c r="BH192" s="2267"/>
      <c r="BI192" s="2267"/>
      <c r="BJ192" s="2267"/>
      <c r="BK192" s="2267"/>
      <c r="BL192" s="2267"/>
      <c r="BM192" s="4278"/>
      <c r="BN192" s="2267"/>
      <c r="BO192" s="2267"/>
      <c r="BP192" s="2267"/>
      <c r="BQ192" s="4286"/>
      <c r="BR192" s="4286"/>
      <c r="BS192" s="4286"/>
      <c r="BT192" s="4286"/>
      <c r="BU192" s="2267"/>
    </row>
    <row r="193" spans="1:73" s="3" customFormat="1" ht="62.25" customHeight="1" x14ac:dyDescent="0.25">
      <c r="A193" s="1473"/>
      <c r="B193" s="1443"/>
      <c r="C193" s="1452"/>
      <c r="D193" s="1443"/>
      <c r="E193" s="1622"/>
      <c r="F193" s="1623"/>
      <c r="G193" s="4313"/>
      <c r="H193" s="4314"/>
      <c r="I193" s="4313"/>
      <c r="J193" s="4314"/>
      <c r="K193" s="3606"/>
      <c r="L193" s="2475"/>
      <c r="M193" s="3606"/>
      <c r="N193" s="2475"/>
      <c r="O193" s="4332"/>
      <c r="P193" s="4333"/>
      <c r="Q193" s="3385"/>
      <c r="R193" s="2476"/>
      <c r="S193" s="4339"/>
      <c r="T193" s="4311"/>
      <c r="U193" s="2476"/>
      <c r="V193" s="2285"/>
      <c r="W193" s="2702"/>
      <c r="X193" s="1584">
        <v>210707393</v>
      </c>
      <c r="Y193" s="399">
        <v>150199643</v>
      </c>
      <c r="Z193" s="399">
        <v>150199543</v>
      </c>
      <c r="AA193" s="1583" t="s">
        <v>2352</v>
      </c>
      <c r="AB193" s="1621">
        <v>111</v>
      </c>
      <c r="AC193" s="1441" t="s">
        <v>2353</v>
      </c>
      <c r="AD193" s="4380"/>
      <c r="AE193" s="4380"/>
      <c r="AF193" s="4380"/>
      <c r="AG193" s="4380"/>
      <c r="AH193" s="4381"/>
      <c r="AI193" s="4380"/>
      <c r="AJ193" s="4380"/>
      <c r="AK193" s="4380"/>
      <c r="AL193" s="4380"/>
      <c r="AM193" s="4380"/>
      <c r="AN193" s="4380"/>
      <c r="AO193" s="4380"/>
      <c r="AP193" s="4380"/>
      <c r="AQ193" s="4380"/>
      <c r="AR193" s="4380"/>
      <c r="AS193" s="4380"/>
      <c r="AT193" s="4380"/>
      <c r="AU193" s="4380"/>
      <c r="AV193" s="4380"/>
      <c r="AW193" s="4380"/>
      <c r="AX193" s="4380"/>
      <c r="AY193" s="4380"/>
      <c r="AZ193" s="4380"/>
      <c r="BA193" s="4380"/>
      <c r="BB193" s="4380"/>
      <c r="BC193" s="4380"/>
      <c r="BD193" s="4380"/>
      <c r="BE193" s="4380"/>
      <c r="BF193" s="4380"/>
      <c r="BG193" s="4380"/>
      <c r="BH193" s="4380"/>
      <c r="BI193" s="4380"/>
      <c r="BJ193" s="4380"/>
      <c r="BK193" s="4380"/>
      <c r="BL193" s="4380"/>
      <c r="BM193" s="4384"/>
      <c r="BN193" s="4380"/>
      <c r="BO193" s="4380"/>
      <c r="BP193" s="4380"/>
      <c r="BQ193" s="4383"/>
      <c r="BR193" s="4383"/>
      <c r="BS193" s="4383"/>
      <c r="BT193" s="4383"/>
      <c r="BU193" s="4380"/>
    </row>
    <row r="194" spans="1:73" s="3" customFormat="1" ht="62.25" customHeight="1" x14ac:dyDescent="0.25">
      <c r="A194" s="1473"/>
      <c r="B194" s="1443"/>
      <c r="C194" s="1452"/>
      <c r="D194" s="1443"/>
      <c r="E194" s="1622"/>
      <c r="F194" s="1623"/>
      <c r="G194" s="4313"/>
      <c r="H194" s="4314"/>
      <c r="I194" s="4313"/>
      <c r="J194" s="4314"/>
      <c r="K194" s="3606"/>
      <c r="L194" s="2475"/>
      <c r="M194" s="3606"/>
      <c r="N194" s="2475"/>
      <c r="O194" s="4332"/>
      <c r="P194" s="4333"/>
      <c r="Q194" s="3385"/>
      <c r="R194" s="2476"/>
      <c r="S194" s="4339"/>
      <c r="T194" s="4311"/>
      <c r="U194" s="2476"/>
      <c r="V194" s="2285"/>
      <c r="W194" s="1447" t="s">
        <v>2354</v>
      </c>
      <c r="X194" s="1584">
        <v>10000000</v>
      </c>
      <c r="Y194" s="1584"/>
      <c r="Z194" s="1605"/>
      <c r="AA194" s="1583" t="s">
        <v>2350</v>
      </c>
      <c r="AB194" s="1621">
        <v>61</v>
      </c>
      <c r="AC194" s="1441" t="s">
        <v>1987</v>
      </c>
      <c r="AD194" s="2267"/>
      <c r="AE194" s="2267"/>
      <c r="AF194" s="2267"/>
      <c r="AG194" s="2267"/>
      <c r="AH194" s="4272"/>
      <c r="AI194" s="2267"/>
      <c r="AJ194" s="2267"/>
      <c r="AK194" s="2267"/>
      <c r="AL194" s="2267"/>
      <c r="AM194" s="2267"/>
      <c r="AN194" s="2267"/>
      <c r="AO194" s="2267"/>
      <c r="AP194" s="2267"/>
      <c r="AQ194" s="2267"/>
      <c r="AR194" s="2267"/>
      <c r="AS194" s="2267"/>
      <c r="AT194" s="2267"/>
      <c r="AU194" s="2267"/>
      <c r="AV194" s="2267"/>
      <c r="AW194" s="2267"/>
      <c r="AX194" s="2267"/>
      <c r="AY194" s="2267"/>
      <c r="AZ194" s="2267"/>
      <c r="BA194" s="2267"/>
      <c r="BB194" s="2267"/>
      <c r="BC194" s="2267"/>
      <c r="BD194" s="2267"/>
      <c r="BE194" s="2267"/>
      <c r="BF194" s="2267"/>
      <c r="BG194" s="2267"/>
      <c r="BH194" s="2267"/>
      <c r="BI194" s="2267"/>
      <c r="BJ194" s="2267"/>
      <c r="BK194" s="2267"/>
      <c r="BL194" s="2267"/>
      <c r="BM194" s="4278"/>
      <c r="BN194" s="2267"/>
      <c r="BO194" s="2267"/>
      <c r="BP194" s="2267"/>
      <c r="BQ194" s="4286"/>
      <c r="BR194" s="4286"/>
      <c r="BS194" s="4286"/>
      <c r="BT194" s="4286"/>
      <c r="BU194" s="2267"/>
    </row>
    <row r="195" spans="1:73" s="3" customFormat="1" ht="92.25" customHeight="1" x14ac:dyDescent="0.25">
      <c r="A195" s="1473"/>
      <c r="B195" s="1443"/>
      <c r="C195" s="1452"/>
      <c r="D195" s="1443"/>
      <c r="E195" s="1622"/>
      <c r="F195" s="1623"/>
      <c r="G195" s="4313"/>
      <c r="H195" s="4314"/>
      <c r="I195" s="4313"/>
      <c r="J195" s="4314"/>
      <c r="K195" s="3606"/>
      <c r="L195" s="2475"/>
      <c r="M195" s="3606"/>
      <c r="N195" s="2475"/>
      <c r="O195" s="4332"/>
      <c r="P195" s="4333"/>
      <c r="Q195" s="3385"/>
      <c r="R195" s="2476"/>
      <c r="S195" s="4339"/>
      <c r="T195" s="4311"/>
      <c r="U195" s="2476"/>
      <c r="V195" s="2285"/>
      <c r="W195" s="1447" t="s">
        <v>2355</v>
      </c>
      <c r="X195" s="1584">
        <f>26000000+14000000</f>
        <v>40000000</v>
      </c>
      <c r="Y195" s="1584">
        <v>13140000</v>
      </c>
      <c r="Z195" s="1605">
        <v>7145000</v>
      </c>
      <c r="AA195" s="1583" t="s">
        <v>2350</v>
      </c>
      <c r="AB195" s="1621">
        <v>61</v>
      </c>
      <c r="AC195" s="1441" t="s">
        <v>1987</v>
      </c>
      <c r="AD195" s="2267"/>
      <c r="AE195" s="2267"/>
      <c r="AF195" s="2267"/>
      <c r="AG195" s="2267"/>
      <c r="AH195" s="4272"/>
      <c r="AI195" s="2267"/>
      <c r="AJ195" s="2267"/>
      <c r="AK195" s="2267"/>
      <c r="AL195" s="2267"/>
      <c r="AM195" s="2267"/>
      <c r="AN195" s="2267"/>
      <c r="AO195" s="2267"/>
      <c r="AP195" s="2267"/>
      <c r="AQ195" s="2267"/>
      <c r="AR195" s="2267"/>
      <c r="AS195" s="2267"/>
      <c r="AT195" s="2267"/>
      <c r="AU195" s="2267"/>
      <c r="AV195" s="2267"/>
      <c r="AW195" s="2267"/>
      <c r="AX195" s="2267"/>
      <c r="AY195" s="2267"/>
      <c r="AZ195" s="2267"/>
      <c r="BA195" s="2267"/>
      <c r="BB195" s="2267"/>
      <c r="BC195" s="2267"/>
      <c r="BD195" s="2267"/>
      <c r="BE195" s="2267"/>
      <c r="BF195" s="2267"/>
      <c r="BG195" s="2267"/>
      <c r="BH195" s="2267"/>
      <c r="BI195" s="2267"/>
      <c r="BJ195" s="2267"/>
      <c r="BK195" s="2267"/>
      <c r="BL195" s="2267"/>
      <c r="BM195" s="4278"/>
      <c r="BN195" s="2267"/>
      <c r="BO195" s="2267"/>
      <c r="BP195" s="2267"/>
      <c r="BQ195" s="4286"/>
      <c r="BR195" s="4286"/>
      <c r="BS195" s="4286"/>
      <c r="BT195" s="4286"/>
      <c r="BU195" s="2267"/>
    </row>
    <row r="196" spans="1:73" s="3" customFormat="1" ht="62.25" customHeight="1" x14ac:dyDescent="0.25">
      <c r="A196" s="1473"/>
      <c r="B196" s="1443"/>
      <c r="C196" s="1452"/>
      <c r="D196" s="1443"/>
      <c r="E196" s="1622"/>
      <c r="F196" s="1623"/>
      <c r="G196" s="4313"/>
      <c r="H196" s="4314"/>
      <c r="I196" s="4313"/>
      <c r="J196" s="4314"/>
      <c r="K196" s="3606"/>
      <c r="L196" s="2475"/>
      <c r="M196" s="3606"/>
      <c r="N196" s="2475"/>
      <c r="O196" s="4326"/>
      <c r="P196" s="4331"/>
      <c r="Q196" s="3385"/>
      <c r="R196" s="2476"/>
      <c r="S196" s="4339"/>
      <c r="T196" s="4311"/>
      <c r="U196" s="2476"/>
      <c r="V196" s="2285"/>
      <c r="W196" s="1447" t="s">
        <v>2356</v>
      </c>
      <c r="X196" s="1632">
        <v>10000000</v>
      </c>
      <c r="Y196" s="1632"/>
      <c r="Z196" s="1633"/>
      <c r="AA196" s="1583" t="s">
        <v>2350</v>
      </c>
      <c r="AB196" s="1621">
        <v>61</v>
      </c>
      <c r="AC196" s="1441" t="s">
        <v>1987</v>
      </c>
      <c r="AD196" s="2439"/>
      <c r="AE196" s="2439"/>
      <c r="AF196" s="2267"/>
      <c r="AG196" s="2439"/>
      <c r="AH196" s="4272"/>
      <c r="AI196" s="2439"/>
      <c r="AJ196" s="2267"/>
      <c r="AK196" s="2439"/>
      <c r="AL196" s="2267"/>
      <c r="AM196" s="2439"/>
      <c r="AN196" s="2267"/>
      <c r="AO196" s="2439"/>
      <c r="AP196" s="2267"/>
      <c r="AQ196" s="2439"/>
      <c r="AR196" s="2267"/>
      <c r="AS196" s="2439"/>
      <c r="AT196" s="2267"/>
      <c r="AU196" s="2439"/>
      <c r="AV196" s="2267"/>
      <c r="AW196" s="2439"/>
      <c r="AX196" s="2267"/>
      <c r="AY196" s="2439"/>
      <c r="AZ196" s="2267"/>
      <c r="BA196" s="2439"/>
      <c r="BB196" s="2267"/>
      <c r="BC196" s="2439"/>
      <c r="BD196" s="2267"/>
      <c r="BE196" s="2439"/>
      <c r="BF196" s="2267"/>
      <c r="BG196" s="2439"/>
      <c r="BH196" s="2267"/>
      <c r="BI196" s="2439"/>
      <c r="BJ196" s="2439"/>
      <c r="BK196" s="2439"/>
      <c r="BL196" s="2439"/>
      <c r="BM196" s="4279"/>
      <c r="BN196" s="2439"/>
      <c r="BO196" s="2439"/>
      <c r="BP196" s="2439"/>
      <c r="BQ196" s="4286"/>
      <c r="BR196" s="4286"/>
      <c r="BS196" s="4286"/>
      <c r="BT196" s="4286"/>
      <c r="BU196" s="2267"/>
    </row>
    <row r="197" spans="1:73" s="3" customFormat="1" ht="99.75" customHeight="1" x14ac:dyDescent="0.25">
      <c r="A197" s="1473"/>
      <c r="B197" s="1443"/>
      <c r="C197" s="1452"/>
      <c r="D197" s="1443"/>
      <c r="E197" s="1622"/>
      <c r="F197" s="1623"/>
      <c r="G197" s="877">
        <v>1905014</v>
      </c>
      <c r="H197" s="1642" t="s">
        <v>197</v>
      </c>
      <c r="I197" s="877">
        <v>1905014</v>
      </c>
      <c r="J197" s="1642" t="s">
        <v>197</v>
      </c>
      <c r="K197" s="1643">
        <v>190501400</v>
      </c>
      <c r="L197" s="747" t="s">
        <v>862</v>
      </c>
      <c r="M197" s="1643">
        <v>190501400</v>
      </c>
      <c r="N197" s="747" t="s">
        <v>862</v>
      </c>
      <c r="O197" s="70">
        <v>12</v>
      </c>
      <c r="P197" s="1629">
        <v>12</v>
      </c>
      <c r="Q197" s="3385" t="s">
        <v>2357</v>
      </c>
      <c r="R197" s="2476" t="s">
        <v>2358</v>
      </c>
      <c r="S197" s="1630">
        <f>X197/T197</f>
        <v>0.19403819802573716</v>
      </c>
      <c r="T197" s="4311">
        <f>SUM(X197:X211)</f>
        <v>221605851</v>
      </c>
      <c r="U197" s="2476" t="s">
        <v>2359</v>
      </c>
      <c r="V197" s="1644" t="s">
        <v>2360</v>
      </c>
      <c r="W197" s="1456" t="s">
        <v>2361</v>
      </c>
      <c r="X197" s="1585">
        <v>43000000</v>
      </c>
      <c r="Y197" s="1056">
        <v>42988636</v>
      </c>
      <c r="Z197" s="1604">
        <v>40103636</v>
      </c>
      <c r="AA197" s="1589" t="s">
        <v>2362</v>
      </c>
      <c r="AB197" s="1454">
        <v>61</v>
      </c>
      <c r="AC197" s="1442" t="s">
        <v>1987</v>
      </c>
      <c r="AD197" s="4336">
        <v>289394</v>
      </c>
      <c r="AE197" s="4336"/>
      <c r="AF197" s="4336">
        <v>279112</v>
      </c>
      <c r="AG197" s="4336"/>
      <c r="AH197" s="4337">
        <v>63164</v>
      </c>
      <c r="AI197" s="4336"/>
      <c r="AJ197" s="4336">
        <v>45607</v>
      </c>
      <c r="AK197" s="4336"/>
      <c r="AL197" s="4336">
        <v>365607</v>
      </c>
      <c r="AM197" s="4336"/>
      <c r="AN197" s="4336">
        <v>75612</v>
      </c>
      <c r="AO197" s="4336"/>
      <c r="AP197" s="4336">
        <v>2145</v>
      </c>
      <c r="AQ197" s="4336"/>
      <c r="AR197" s="4336">
        <v>12718</v>
      </c>
      <c r="AS197" s="4336"/>
      <c r="AT197" s="4336">
        <v>26</v>
      </c>
      <c r="AU197" s="4336"/>
      <c r="AV197" s="4336">
        <v>37</v>
      </c>
      <c r="AW197" s="4336"/>
      <c r="AX197" s="4336">
        <v>0</v>
      </c>
      <c r="AY197" s="4336"/>
      <c r="AZ197" s="4336">
        <v>0</v>
      </c>
      <c r="BA197" s="4336"/>
      <c r="BB197" s="4336">
        <v>78</v>
      </c>
      <c r="BC197" s="4336"/>
      <c r="BD197" s="4336">
        <v>16897</v>
      </c>
      <c r="BE197" s="4336"/>
      <c r="BF197" s="4336">
        <v>852</v>
      </c>
      <c r="BG197" s="4336"/>
      <c r="BH197" s="4336">
        <v>568506</v>
      </c>
      <c r="BI197" s="4336"/>
      <c r="BJ197" s="4336">
        <v>6</v>
      </c>
      <c r="BK197" s="4355">
        <f>SUM(Y197:Y211)</f>
        <v>113368636</v>
      </c>
      <c r="BL197" s="4355">
        <f>SUM(Z197:Z211)</f>
        <v>40103636</v>
      </c>
      <c r="BM197" s="4356">
        <f>BL197/BK197</f>
        <v>0.35374542214656263</v>
      </c>
      <c r="BN197" s="4336" t="s">
        <v>2363</v>
      </c>
      <c r="BO197" s="4336" t="s">
        <v>2364</v>
      </c>
      <c r="BP197" s="4336" t="s">
        <v>2170</v>
      </c>
      <c r="BQ197" s="4285">
        <v>44197</v>
      </c>
      <c r="BR197" s="4285"/>
      <c r="BS197" s="4285">
        <v>44561</v>
      </c>
      <c r="BT197" s="4285"/>
      <c r="BU197" s="2438" t="s">
        <v>1991</v>
      </c>
    </row>
    <row r="198" spans="1:73" s="3" customFormat="1" ht="45" customHeight="1" x14ac:dyDescent="0.25">
      <c r="A198" s="1473"/>
      <c r="B198" s="1443"/>
      <c r="C198" s="1452"/>
      <c r="D198" s="1443"/>
      <c r="E198" s="1622"/>
      <c r="F198" s="1623"/>
      <c r="G198" s="4313">
        <v>1905026</v>
      </c>
      <c r="H198" s="4314" t="s">
        <v>2365</v>
      </c>
      <c r="I198" s="4313">
        <v>1905026</v>
      </c>
      <c r="J198" s="4314" t="s">
        <v>2365</v>
      </c>
      <c r="K198" s="3606">
        <v>190502600</v>
      </c>
      <c r="L198" s="2475" t="s">
        <v>2316</v>
      </c>
      <c r="M198" s="3606">
        <v>190502600</v>
      </c>
      <c r="N198" s="2475" t="s">
        <v>2316</v>
      </c>
      <c r="O198" s="4382">
        <v>12</v>
      </c>
      <c r="P198" s="4330">
        <v>6</v>
      </c>
      <c r="Q198" s="3385"/>
      <c r="R198" s="2476"/>
      <c r="S198" s="4339">
        <f>SUM(X198:X211)/T197</f>
        <v>0.80596180197426281</v>
      </c>
      <c r="T198" s="4311"/>
      <c r="U198" s="2476"/>
      <c r="V198" s="2285" t="s">
        <v>2366</v>
      </c>
      <c r="W198" s="2701" t="s">
        <v>2367</v>
      </c>
      <c r="X198" s="1585">
        <v>17000000</v>
      </c>
      <c r="Y198" s="1585">
        <v>9000000</v>
      </c>
      <c r="Z198" s="1604"/>
      <c r="AA198" s="1583" t="s">
        <v>2368</v>
      </c>
      <c r="AB198" s="1454">
        <v>113</v>
      </c>
      <c r="AC198" s="1442" t="s">
        <v>2369</v>
      </c>
      <c r="AD198" s="4315"/>
      <c r="AE198" s="4315"/>
      <c r="AF198" s="4315"/>
      <c r="AG198" s="4315"/>
      <c r="AH198" s="4338"/>
      <c r="AI198" s="4315"/>
      <c r="AJ198" s="4315"/>
      <c r="AK198" s="4315"/>
      <c r="AL198" s="4315"/>
      <c r="AM198" s="4315"/>
      <c r="AN198" s="4315"/>
      <c r="AO198" s="4315"/>
      <c r="AP198" s="4315"/>
      <c r="AQ198" s="4315"/>
      <c r="AR198" s="4315"/>
      <c r="AS198" s="4315"/>
      <c r="AT198" s="4315"/>
      <c r="AU198" s="4315"/>
      <c r="AV198" s="4315"/>
      <c r="AW198" s="4315"/>
      <c r="AX198" s="4315"/>
      <c r="AY198" s="4315"/>
      <c r="AZ198" s="4315"/>
      <c r="BA198" s="4315"/>
      <c r="BB198" s="4315"/>
      <c r="BC198" s="4315"/>
      <c r="BD198" s="4315"/>
      <c r="BE198" s="4315"/>
      <c r="BF198" s="4315"/>
      <c r="BG198" s="4315"/>
      <c r="BH198" s="4315"/>
      <c r="BI198" s="4315"/>
      <c r="BJ198" s="4315"/>
      <c r="BK198" s="4315"/>
      <c r="BL198" s="4315"/>
      <c r="BM198" s="4357"/>
      <c r="BN198" s="4315"/>
      <c r="BO198" s="4315"/>
      <c r="BP198" s="4315"/>
      <c r="BQ198" s="4286"/>
      <c r="BR198" s="4286"/>
      <c r="BS198" s="4286"/>
      <c r="BT198" s="4286"/>
      <c r="BU198" s="2267"/>
    </row>
    <row r="199" spans="1:73" s="3" customFormat="1" ht="45" customHeight="1" x14ac:dyDescent="0.25">
      <c r="A199" s="1473"/>
      <c r="B199" s="1443"/>
      <c r="C199" s="1452"/>
      <c r="D199" s="1443"/>
      <c r="E199" s="1622"/>
      <c r="F199" s="1623"/>
      <c r="G199" s="4313"/>
      <c r="H199" s="4314"/>
      <c r="I199" s="4313"/>
      <c r="J199" s="4314"/>
      <c r="K199" s="3606"/>
      <c r="L199" s="2475"/>
      <c r="M199" s="3606"/>
      <c r="N199" s="2475"/>
      <c r="O199" s="4382"/>
      <c r="P199" s="4333"/>
      <c r="Q199" s="3385"/>
      <c r="R199" s="2476"/>
      <c r="S199" s="4339"/>
      <c r="T199" s="4311"/>
      <c r="U199" s="2476"/>
      <c r="V199" s="2285"/>
      <c r="W199" s="2703"/>
      <c r="X199" s="1584">
        <v>4927171</v>
      </c>
      <c r="Y199" s="1584"/>
      <c r="Z199" s="1605"/>
      <c r="AA199" s="1583" t="s">
        <v>2370</v>
      </c>
      <c r="AB199" s="1480">
        <v>114</v>
      </c>
      <c r="AC199" s="1441" t="s">
        <v>2371</v>
      </c>
      <c r="AD199" s="4315"/>
      <c r="AE199" s="4315"/>
      <c r="AF199" s="4315"/>
      <c r="AG199" s="4315"/>
      <c r="AH199" s="4338"/>
      <c r="AI199" s="4315"/>
      <c r="AJ199" s="4315"/>
      <c r="AK199" s="4315"/>
      <c r="AL199" s="4315"/>
      <c r="AM199" s="4315"/>
      <c r="AN199" s="4315"/>
      <c r="AO199" s="4315"/>
      <c r="AP199" s="4315"/>
      <c r="AQ199" s="4315"/>
      <c r="AR199" s="4315"/>
      <c r="AS199" s="4315"/>
      <c r="AT199" s="4315"/>
      <c r="AU199" s="4315"/>
      <c r="AV199" s="4315"/>
      <c r="AW199" s="4315"/>
      <c r="AX199" s="4315"/>
      <c r="AY199" s="4315"/>
      <c r="AZ199" s="4315"/>
      <c r="BA199" s="4315"/>
      <c r="BB199" s="4315"/>
      <c r="BC199" s="4315"/>
      <c r="BD199" s="4315"/>
      <c r="BE199" s="4315"/>
      <c r="BF199" s="4315"/>
      <c r="BG199" s="4315"/>
      <c r="BH199" s="4315"/>
      <c r="BI199" s="4315"/>
      <c r="BJ199" s="4315"/>
      <c r="BK199" s="4315"/>
      <c r="BL199" s="4315"/>
      <c r="BM199" s="4357"/>
      <c r="BN199" s="4315"/>
      <c r="BO199" s="4315"/>
      <c r="BP199" s="4315"/>
      <c r="BQ199" s="4286"/>
      <c r="BR199" s="4286"/>
      <c r="BS199" s="4286"/>
      <c r="BT199" s="4286"/>
      <c r="BU199" s="2267"/>
    </row>
    <row r="200" spans="1:73" s="3" customFormat="1" ht="45" customHeight="1" x14ac:dyDescent="0.25">
      <c r="A200" s="1473"/>
      <c r="B200" s="1443"/>
      <c r="C200" s="1452"/>
      <c r="D200" s="1443"/>
      <c r="E200" s="1622"/>
      <c r="F200" s="1623"/>
      <c r="G200" s="4313"/>
      <c r="H200" s="4314"/>
      <c r="I200" s="4313"/>
      <c r="J200" s="4314"/>
      <c r="K200" s="3606"/>
      <c r="L200" s="2475"/>
      <c r="M200" s="3606"/>
      <c r="N200" s="2475"/>
      <c r="O200" s="4382"/>
      <c r="P200" s="4333"/>
      <c r="Q200" s="3385"/>
      <c r="R200" s="2476"/>
      <c r="S200" s="4339"/>
      <c r="T200" s="4311"/>
      <c r="U200" s="2476"/>
      <c r="V200" s="2285"/>
      <c r="W200" s="1447" t="s">
        <v>2372</v>
      </c>
      <c r="X200" s="1584">
        <f>15000000+838724</f>
        <v>15838724</v>
      </c>
      <c r="Y200" s="1584">
        <v>12300000</v>
      </c>
      <c r="Z200" s="1605"/>
      <c r="AA200" s="1583" t="s">
        <v>2368</v>
      </c>
      <c r="AB200" s="1480">
        <v>113</v>
      </c>
      <c r="AC200" s="1442" t="s">
        <v>2369</v>
      </c>
      <c r="AD200" s="4315"/>
      <c r="AE200" s="4315"/>
      <c r="AF200" s="4315"/>
      <c r="AG200" s="4315"/>
      <c r="AH200" s="4338"/>
      <c r="AI200" s="4315"/>
      <c r="AJ200" s="4315"/>
      <c r="AK200" s="4315"/>
      <c r="AL200" s="4315"/>
      <c r="AM200" s="4315"/>
      <c r="AN200" s="4315"/>
      <c r="AO200" s="4315"/>
      <c r="AP200" s="4315"/>
      <c r="AQ200" s="4315"/>
      <c r="AR200" s="4315"/>
      <c r="AS200" s="4315"/>
      <c r="AT200" s="4315"/>
      <c r="AU200" s="4315"/>
      <c r="AV200" s="4315"/>
      <c r="AW200" s="4315"/>
      <c r="AX200" s="4315"/>
      <c r="AY200" s="4315"/>
      <c r="AZ200" s="4315"/>
      <c r="BA200" s="4315"/>
      <c r="BB200" s="4315"/>
      <c r="BC200" s="4315"/>
      <c r="BD200" s="4315"/>
      <c r="BE200" s="4315"/>
      <c r="BF200" s="4315"/>
      <c r="BG200" s="4315"/>
      <c r="BH200" s="4315"/>
      <c r="BI200" s="4315"/>
      <c r="BJ200" s="4315"/>
      <c r="BK200" s="4315"/>
      <c r="BL200" s="4315"/>
      <c r="BM200" s="4357"/>
      <c r="BN200" s="4315"/>
      <c r="BO200" s="4315"/>
      <c r="BP200" s="4315"/>
      <c r="BQ200" s="4286"/>
      <c r="BR200" s="4286"/>
      <c r="BS200" s="4286"/>
      <c r="BT200" s="4286"/>
      <c r="BU200" s="2267"/>
    </row>
    <row r="201" spans="1:73" s="3" customFormat="1" ht="45" customHeight="1" x14ac:dyDescent="0.25">
      <c r="A201" s="1473"/>
      <c r="B201" s="1443"/>
      <c r="C201" s="1452"/>
      <c r="D201" s="1443"/>
      <c r="E201" s="1622"/>
      <c r="F201" s="1623"/>
      <c r="G201" s="4313"/>
      <c r="H201" s="4314"/>
      <c r="I201" s="4313"/>
      <c r="J201" s="4314"/>
      <c r="K201" s="3606"/>
      <c r="L201" s="2475"/>
      <c r="M201" s="3606"/>
      <c r="N201" s="2475"/>
      <c r="O201" s="4382"/>
      <c r="P201" s="4333"/>
      <c r="Q201" s="3385"/>
      <c r="R201" s="2476"/>
      <c r="S201" s="4339"/>
      <c r="T201" s="4311"/>
      <c r="U201" s="2476"/>
      <c r="V201" s="2285"/>
      <c r="W201" s="2701" t="s">
        <v>2373</v>
      </c>
      <c r="X201" s="1585">
        <v>13000000</v>
      </c>
      <c r="Y201" s="1585">
        <v>4500000</v>
      </c>
      <c r="Z201" s="1604"/>
      <c r="AA201" s="1583" t="s">
        <v>2368</v>
      </c>
      <c r="AB201" s="1454">
        <v>113</v>
      </c>
      <c r="AC201" s="1442" t="s">
        <v>2369</v>
      </c>
      <c r="AD201" s="4315"/>
      <c r="AE201" s="4315"/>
      <c r="AF201" s="4315"/>
      <c r="AG201" s="4315"/>
      <c r="AH201" s="4338"/>
      <c r="AI201" s="4315"/>
      <c r="AJ201" s="4315"/>
      <c r="AK201" s="4315"/>
      <c r="AL201" s="4315"/>
      <c r="AM201" s="4315"/>
      <c r="AN201" s="4315"/>
      <c r="AO201" s="4315"/>
      <c r="AP201" s="4315"/>
      <c r="AQ201" s="4315"/>
      <c r="AR201" s="4315"/>
      <c r="AS201" s="4315"/>
      <c r="AT201" s="4315"/>
      <c r="AU201" s="4315"/>
      <c r="AV201" s="4315"/>
      <c r="AW201" s="4315"/>
      <c r="AX201" s="4315"/>
      <c r="AY201" s="4315"/>
      <c r="AZ201" s="4315"/>
      <c r="BA201" s="4315"/>
      <c r="BB201" s="4315"/>
      <c r="BC201" s="4315"/>
      <c r="BD201" s="4315"/>
      <c r="BE201" s="4315"/>
      <c r="BF201" s="4315"/>
      <c r="BG201" s="4315"/>
      <c r="BH201" s="4315"/>
      <c r="BI201" s="4315"/>
      <c r="BJ201" s="4315"/>
      <c r="BK201" s="4315"/>
      <c r="BL201" s="4315"/>
      <c r="BM201" s="4357"/>
      <c r="BN201" s="4315"/>
      <c r="BO201" s="4315"/>
      <c r="BP201" s="4315"/>
      <c r="BQ201" s="4286"/>
      <c r="BR201" s="4286"/>
      <c r="BS201" s="4286"/>
      <c r="BT201" s="4286"/>
      <c r="BU201" s="2267"/>
    </row>
    <row r="202" spans="1:73" s="3" customFormat="1" ht="45" customHeight="1" x14ac:dyDescent="0.25">
      <c r="A202" s="1473"/>
      <c r="B202" s="1443"/>
      <c r="C202" s="1452"/>
      <c r="D202" s="1443"/>
      <c r="E202" s="1622"/>
      <c r="F202" s="1623"/>
      <c r="G202" s="4313"/>
      <c r="H202" s="4314"/>
      <c r="I202" s="4313"/>
      <c r="J202" s="4314"/>
      <c r="K202" s="3606"/>
      <c r="L202" s="2475"/>
      <c r="M202" s="3606"/>
      <c r="N202" s="2475"/>
      <c r="O202" s="4382"/>
      <c r="P202" s="4333"/>
      <c r="Q202" s="3385"/>
      <c r="R202" s="2476"/>
      <c r="S202" s="4339"/>
      <c r="T202" s="4311"/>
      <c r="U202" s="2476"/>
      <c r="V202" s="2285"/>
      <c r="W202" s="2703"/>
      <c r="X202" s="1584">
        <v>1000000</v>
      </c>
      <c r="Y202" s="1584"/>
      <c r="Z202" s="1605"/>
      <c r="AA202" s="1645" t="s">
        <v>2370</v>
      </c>
      <c r="AB202" s="1480">
        <v>114</v>
      </c>
      <c r="AC202" s="1441" t="s">
        <v>2371</v>
      </c>
      <c r="AD202" s="4315"/>
      <c r="AE202" s="4315"/>
      <c r="AF202" s="4315"/>
      <c r="AG202" s="4315"/>
      <c r="AH202" s="4338"/>
      <c r="AI202" s="4315"/>
      <c r="AJ202" s="4315"/>
      <c r="AK202" s="4315"/>
      <c r="AL202" s="4315"/>
      <c r="AM202" s="4315"/>
      <c r="AN202" s="4315"/>
      <c r="AO202" s="4315"/>
      <c r="AP202" s="4315"/>
      <c r="AQ202" s="4315"/>
      <c r="AR202" s="4315"/>
      <c r="AS202" s="4315"/>
      <c r="AT202" s="4315"/>
      <c r="AU202" s="4315"/>
      <c r="AV202" s="4315"/>
      <c r="AW202" s="4315"/>
      <c r="AX202" s="4315"/>
      <c r="AY202" s="4315"/>
      <c r="AZ202" s="4315"/>
      <c r="BA202" s="4315"/>
      <c r="BB202" s="4315"/>
      <c r="BC202" s="4315"/>
      <c r="BD202" s="4315"/>
      <c r="BE202" s="4315"/>
      <c r="BF202" s="4315"/>
      <c r="BG202" s="4315"/>
      <c r="BH202" s="4315"/>
      <c r="BI202" s="4315"/>
      <c r="BJ202" s="4315"/>
      <c r="BK202" s="4315"/>
      <c r="BL202" s="4315"/>
      <c r="BM202" s="4357"/>
      <c r="BN202" s="4315"/>
      <c r="BO202" s="4315"/>
      <c r="BP202" s="4315"/>
      <c r="BQ202" s="4286"/>
      <c r="BR202" s="4286"/>
      <c r="BS202" s="4286"/>
      <c r="BT202" s="4286"/>
      <c r="BU202" s="2267"/>
    </row>
    <row r="203" spans="1:73" s="3" customFormat="1" ht="45" customHeight="1" x14ac:dyDescent="0.25">
      <c r="A203" s="1473"/>
      <c r="B203" s="1443"/>
      <c r="C203" s="1452"/>
      <c r="D203" s="1443"/>
      <c r="E203" s="1622"/>
      <c r="F203" s="1623"/>
      <c r="G203" s="4313"/>
      <c r="H203" s="4314"/>
      <c r="I203" s="4313"/>
      <c r="J203" s="4314"/>
      <c r="K203" s="3606"/>
      <c r="L203" s="2475"/>
      <c r="M203" s="3606"/>
      <c r="N203" s="2475"/>
      <c r="O203" s="4382"/>
      <c r="P203" s="4333"/>
      <c r="Q203" s="3385"/>
      <c r="R203" s="2476"/>
      <c r="S203" s="4339"/>
      <c r="T203" s="4311"/>
      <c r="U203" s="2476"/>
      <c r="V203" s="2285"/>
      <c r="W203" s="2701" t="s">
        <v>2374</v>
      </c>
      <c r="X203" s="1585">
        <v>11458887</v>
      </c>
      <c r="Y203" s="1585">
        <v>1080000</v>
      </c>
      <c r="Z203" s="1604"/>
      <c r="AA203" s="1583" t="s">
        <v>2368</v>
      </c>
      <c r="AB203" s="1454">
        <v>113</v>
      </c>
      <c r="AC203" s="1442" t="s">
        <v>2369</v>
      </c>
      <c r="AD203" s="4315"/>
      <c r="AE203" s="4315"/>
      <c r="AF203" s="4315"/>
      <c r="AG203" s="4315"/>
      <c r="AH203" s="4338"/>
      <c r="AI203" s="4315"/>
      <c r="AJ203" s="4315"/>
      <c r="AK203" s="4315"/>
      <c r="AL203" s="4315"/>
      <c r="AM203" s="4315"/>
      <c r="AN203" s="4315"/>
      <c r="AO203" s="4315"/>
      <c r="AP203" s="4315"/>
      <c r="AQ203" s="4315"/>
      <c r="AR203" s="4315"/>
      <c r="AS203" s="4315"/>
      <c r="AT203" s="4315"/>
      <c r="AU203" s="4315"/>
      <c r="AV203" s="4315"/>
      <c r="AW203" s="4315"/>
      <c r="AX203" s="4315"/>
      <c r="AY203" s="4315"/>
      <c r="AZ203" s="4315"/>
      <c r="BA203" s="4315"/>
      <c r="BB203" s="4315"/>
      <c r="BC203" s="4315"/>
      <c r="BD203" s="4315"/>
      <c r="BE203" s="4315"/>
      <c r="BF203" s="4315"/>
      <c r="BG203" s="4315"/>
      <c r="BH203" s="4315"/>
      <c r="BI203" s="4315"/>
      <c r="BJ203" s="4315"/>
      <c r="BK203" s="4315"/>
      <c r="BL203" s="4315"/>
      <c r="BM203" s="4357"/>
      <c r="BN203" s="4315"/>
      <c r="BO203" s="4315"/>
      <c r="BP203" s="4315"/>
      <c r="BQ203" s="4286"/>
      <c r="BR203" s="4286"/>
      <c r="BS203" s="4286"/>
      <c r="BT203" s="4286"/>
      <c r="BU203" s="2267"/>
    </row>
    <row r="204" spans="1:73" s="3" customFormat="1" ht="45" customHeight="1" x14ac:dyDescent="0.25">
      <c r="A204" s="1473"/>
      <c r="B204" s="1443"/>
      <c r="C204" s="1452"/>
      <c r="D204" s="1443"/>
      <c r="E204" s="1622"/>
      <c r="F204" s="1623"/>
      <c r="G204" s="4313"/>
      <c r="H204" s="4314"/>
      <c r="I204" s="4313"/>
      <c r="J204" s="4314"/>
      <c r="K204" s="3606"/>
      <c r="L204" s="2475"/>
      <c r="M204" s="3606"/>
      <c r="N204" s="2475"/>
      <c r="O204" s="4382"/>
      <c r="P204" s="4333"/>
      <c r="Q204" s="3385"/>
      <c r="R204" s="2476"/>
      <c r="S204" s="4339"/>
      <c r="T204" s="4311"/>
      <c r="U204" s="2476"/>
      <c r="V204" s="2285"/>
      <c r="W204" s="2703"/>
      <c r="X204" s="1584">
        <v>1000000</v>
      </c>
      <c r="Y204" s="1584"/>
      <c r="Z204" s="1605"/>
      <c r="AA204" s="1583" t="s">
        <v>2370</v>
      </c>
      <c r="AB204" s="1480">
        <v>114</v>
      </c>
      <c r="AC204" s="1441" t="s">
        <v>2371</v>
      </c>
      <c r="AD204" s="4315"/>
      <c r="AE204" s="4315"/>
      <c r="AF204" s="4315"/>
      <c r="AG204" s="4315"/>
      <c r="AH204" s="4338"/>
      <c r="AI204" s="4315"/>
      <c r="AJ204" s="4315"/>
      <c r="AK204" s="4315"/>
      <c r="AL204" s="4315"/>
      <c r="AM204" s="4315"/>
      <c r="AN204" s="4315"/>
      <c r="AO204" s="4315"/>
      <c r="AP204" s="4315"/>
      <c r="AQ204" s="4315"/>
      <c r="AR204" s="4315"/>
      <c r="AS204" s="4315"/>
      <c r="AT204" s="4315"/>
      <c r="AU204" s="4315"/>
      <c r="AV204" s="4315"/>
      <c r="AW204" s="4315"/>
      <c r="AX204" s="4315"/>
      <c r="AY204" s="4315"/>
      <c r="AZ204" s="4315"/>
      <c r="BA204" s="4315"/>
      <c r="BB204" s="4315"/>
      <c r="BC204" s="4315"/>
      <c r="BD204" s="4315"/>
      <c r="BE204" s="4315"/>
      <c r="BF204" s="4315"/>
      <c r="BG204" s="4315"/>
      <c r="BH204" s="4315"/>
      <c r="BI204" s="4315"/>
      <c r="BJ204" s="4315"/>
      <c r="BK204" s="4315"/>
      <c r="BL204" s="4315"/>
      <c r="BM204" s="4357"/>
      <c r="BN204" s="4315"/>
      <c r="BO204" s="4315"/>
      <c r="BP204" s="4315"/>
      <c r="BQ204" s="4286"/>
      <c r="BR204" s="4286"/>
      <c r="BS204" s="4286"/>
      <c r="BT204" s="4286"/>
      <c r="BU204" s="2267"/>
    </row>
    <row r="205" spans="1:73" s="3" customFormat="1" ht="45" customHeight="1" x14ac:dyDescent="0.25">
      <c r="A205" s="1473"/>
      <c r="B205" s="1443"/>
      <c r="C205" s="1452"/>
      <c r="D205" s="1443"/>
      <c r="E205" s="1622"/>
      <c r="F205" s="1623"/>
      <c r="G205" s="4313"/>
      <c r="H205" s="4314"/>
      <c r="I205" s="4313"/>
      <c r="J205" s="4314"/>
      <c r="K205" s="3606"/>
      <c r="L205" s="2475"/>
      <c r="M205" s="3606"/>
      <c r="N205" s="2475"/>
      <c r="O205" s="4382"/>
      <c r="P205" s="4333"/>
      <c r="Q205" s="3385"/>
      <c r="R205" s="2476"/>
      <c r="S205" s="4339"/>
      <c r="T205" s="4311"/>
      <c r="U205" s="2476"/>
      <c r="V205" s="2285"/>
      <c r="W205" s="2701" t="s">
        <v>2375</v>
      </c>
      <c r="X205" s="1585">
        <v>14000000</v>
      </c>
      <c r="Y205" s="1585">
        <v>5580000</v>
      </c>
      <c r="Z205" s="1604"/>
      <c r="AA205" s="1583" t="s">
        <v>2368</v>
      </c>
      <c r="AB205" s="1454">
        <v>113</v>
      </c>
      <c r="AC205" s="1442" t="s">
        <v>2369</v>
      </c>
      <c r="AD205" s="4315"/>
      <c r="AE205" s="4315"/>
      <c r="AF205" s="4315"/>
      <c r="AG205" s="4315"/>
      <c r="AH205" s="4338"/>
      <c r="AI205" s="4315"/>
      <c r="AJ205" s="4315"/>
      <c r="AK205" s="4315"/>
      <c r="AL205" s="4315"/>
      <c r="AM205" s="4315"/>
      <c r="AN205" s="4315"/>
      <c r="AO205" s="4315"/>
      <c r="AP205" s="4315"/>
      <c r="AQ205" s="4315"/>
      <c r="AR205" s="4315"/>
      <c r="AS205" s="4315"/>
      <c r="AT205" s="4315"/>
      <c r="AU205" s="4315"/>
      <c r="AV205" s="4315"/>
      <c r="AW205" s="4315"/>
      <c r="AX205" s="4315"/>
      <c r="AY205" s="4315"/>
      <c r="AZ205" s="4315"/>
      <c r="BA205" s="4315"/>
      <c r="BB205" s="4315"/>
      <c r="BC205" s="4315"/>
      <c r="BD205" s="4315"/>
      <c r="BE205" s="4315"/>
      <c r="BF205" s="4315"/>
      <c r="BG205" s="4315"/>
      <c r="BH205" s="4315"/>
      <c r="BI205" s="4315"/>
      <c r="BJ205" s="4315"/>
      <c r="BK205" s="4315"/>
      <c r="BL205" s="4315"/>
      <c r="BM205" s="4357"/>
      <c r="BN205" s="4315"/>
      <c r="BO205" s="4315"/>
      <c r="BP205" s="4315"/>
      <c r="BQ205" s="4286"/>
      <c r="BR205" s="4286"/>
      <c r="BS205" s="4286"/>
      <c r="BT205" s="4286"/>
      <c r="BU205" s="2267"/>
    </row>
    <row r="206" spans="1:73" s="3" customFormat="1" ht="45" customHeight="1" x14ac:dyDescent="0.25">
      <c r="A206" s="1473"/>
      <c r="B206" s="1443"/>
      <c r="C206" s="1452"/>
      <c r="D206" s="1443"/>
      <c r="E206" s="1622"/>
      <c r="F206" s="1623"/>
      <c r="G206" s="4313"/>
      <c r="H206" s="4314"/>
      <c r="I206" s="4313"/>
      <c r="J206" s="4314"/>
      <c r="K206" s="3606"/>
      <c r="L206" s="2475"/>
      <c r="M206" s="3606"/>
      <c r="N206" s="2475"/>
      <c r="O206" s="4382"/>
      <c r="P206" s="4333"/>
      <c r="Q206" s="3385"/>
      <c r="R206" s="2476"/>
      <c r="S206" s="4339"/>
      <c r="T206" s="4311"/>
      <c r="U206" s="2476"/>
      <c r="V206" s="2285"/>
      <c r="W206" s="2703"/>
      <c r="X206" s="1584">
        <v>1000000</v>
      </c>
      <c r="Y206" s="1584"/>
      <c r="Z206" s="1605"/>
      <c r="AA206" s="1583" t="s">
        <v>2370</v>
      </c>
      <c r="AB206" s="1480">
        <v>114</v>
      </c>
      <c r="AC206" s="1441" t="s">
        <v>2371</v>
      </c>
      <c r="AD206" s="4315"/>
      <c r="AE206" s="4315"/>
      <c r="AF206" s="4315"/>
      <c r="AG206" s="4315"/>
      <c r="AH206" s="4338"/>
      <c r="AI206" s="4315"/>
      <c r="AJ206" s="4315"/>
      <c r="AK206" s="4315"/>
      <c r="AL206" s="4315"/>
      <c r="AM206" s="4315"/>
      <c r="AN206" s="4315"/>
      <c r="AO206" s="4315"/>
      <c r="AP206" s="4315"/>
      <c r="AQ206" s="4315"/>
      <c r="AR206" s="4315"/>
      <c r="AS206" s="4315"/>
      <c r="AT206" s="4315"/>
      <c r="AU206" s="4315"/>
      <c r="AV206" s="4315"/>
      <c r="AW206" s="4315"/>
      <c r="AX206" s="4315"/>
      <c r="AY206" s="4315"/>
      <c r="AZ206" s="4315"/>
      <c r="BA206" s="4315"/>
      <c r="BB206" s="4315"/>
      <c r="BC206" s="4315"/>
      <c r="BD206" s="4315"/>
      <c r="BE206" s="4315"/>
      <c r="BF206" s="4315"/>
      <c r="BG206" s="4315"/>
      <c r="BH206" s="4315"/>
      <c r="BI206" s="4315"/>
      <c r="BJ206" s="4315"/>
      <c r="BK206" s="4315"/>
      <c r="BL206" s="4315"/>
      <c r="BM206" s="4357"/>
      <c r="BN206" s="4315"/>
      <c r="BO206" s="4315"/>
      <c r="BP206" s="4315"/>
      <c r="BQ206" s="4286"/>
      <c r="BR206" s="4286"/>
      <c r="BS206" s="4286"/>
      <c r="BT206" s="4286"/>
      <c r="BU206" s="2267"/>
    </row>
    <row r="207" spans="1:73" s="3" customFormat="1" ht="45" customHeight="1" x14ac:dyDescent="0.25">
      <c r="A207" s="1473"/>
      <c r="B207" s="1443"/>
      <c r="C207" s="1452"/>
      <c r="D207" s="1443"/>
      <c r="E207" s="1622"/>
      <c r="F207" s="1623"/>
      <c r="G207" s="4313"/>
      <c r="H207" s="4314"/>
      <c r="I207" s="4313"/>
      <c r="J207" s="4314"/>
      <c r="K207" s="3606"/>
      <c r="L207" s="2475"/>
      <c r="M207" s="3606"/>
      <c r="N207" s="2475"/>
      <c r="O207" s="4382"/>
      <c r="P207" s="4333"/>
      <c r="Q207" s="3385"/>
      <c r="R207" s="2476"/>
      <c r="S207" s="4339"/>
      <c r="T207" s="4311"/>
      <c r="U207" s="2476"/>
      <c r="V207" s="2285"/>
      <c r="W207" s="1446" t="s">
        <v>2376</v>
      </c>
      <c r="X207" s="1584">
        <v>15000000</v>
      </c>
      <c r="Y207" s="1584">
        <v>6500000</v>
      </c>
      <c r="Z207" s="1605"/>
      <c r="AA207" s="1583" t="s">
        <v>2368</v>
      </c>
      <c r="AB207" s="1480">
        <v>113</v>
      </c>
      <c r="AC207" s="1442" t="s">
        <v>2369</v>
      </c>
      <c r="AD207" s="4315"/>
      <c r="AE207" s="4315"/>
      <c r="AF207" s="4315"/>
      <c r="AG207" s="4315"/>
      <c r="AH207" s="4338"/>
      <c r="AI207" s="4315"/>
      <c r="AJ207" s="4315"/>
      <c r="AK207" s="4315"/>
      <c r="AL207" s="4315"/>
      <c r="AM207" s="4315"/>
      <c r="AN207" s="4315"/>
      <c r="AO207" s="4315"/>
      <c r="AP207" s="4315"/>
      <c r="AQ207" s="4315"/>
      <c r="AR207" s="4315"/>
      <c r="AS207" s="4315"/>
      <c r="AT207" s="4315"/>
      <c r="AU207" s="4315"/>
      <c r="AV207" s="4315"/>
      <c r="AW207" s="4315"/>
      <c r="AX207" s="4315"/>
      <c r="AY207" s="4315"/>
      <c r="AZ207" s="4315"/>
      <c r="BA207" s="4315"/>
      <c r="BB207" s="4315"/>
      <c r="BC207" s="4315"/>
      <c r="BD207" s="4315"/>
      <c r="BE207" s="4315"/>
      <c r="BF207" s="4315"/>
      <c r="BG207" s="4315"/>
      <c r="BH207" s="4315"/>
      <c r="BI207" s="4315"/>
      <c r="BJ207" s="4315"/>
      <c r="BK207" s="4315"/>
      <c r="BL207" s="4315"/>
      <c r="BM207" s="4357"/>
      <c r="BN207" s="4315"/>
      <c r="BO207" s="4315"/>
      <c r="BP207" s="4315"/>
      <c r="BQ207" s="4286"/>
      <c r="BR207" s="4286"/>
      <c r="BS207" s="4286"/>
      <c r="BT207" s="4286"/>
      <c r="BU207" s="2267"/>
    </row>
    <row r="208" spans="1:73" s="3" customFormat="1" ht="45" customHeight="1" x14ac:dyDescent="0.25">
      <c r="A208" s="1473"/>
      <c r="B208" s="1443"/>
      <c r="C208" s="1452"/>
      <c r="D208" s="1443"/>
      <c r="E208" s="1622"/>
      <c r="F208" s="1623"/>
      <c r="G208" s="4313"/>
      <c r="H208" s="4314"/>
      <c r="I208" s="4313"/>
      <c r="J208" s="4314"/>
      <c r="K208" s="3606"/>
      <c r="L208" s="2475"/>
      <c r="M208" s="3606"/>
      <c r="N208" s="2475"/>
      <c r="O208" s="4382"/>
      <c r="P208" s="4333"/>
      <c r="Q208" s="3385"/>
      <c r="R208" s="2476"/>
      <c r="S208" s="4339"/>
      <c r="T208" s="4311"/>
      <c r="U208" s="2476"/>
      <c r="V208" s="2285"/>
      <c r="W208" s="2701" t="s">
        <v>2377</v>
      </c>
      <c r="X208" s="1585">
        <v>35000000</v>
      </c>
      <c r="Y208" s="1585">
        <v>14000000</v>
      </c>
      <c r="Z208" s="1604"/>
      <c r="AA208" s="1583" t="s">
        <v>2368</v>
      </c>
      <c r="AB208" s="1454">
        <v>113</v>
      </c>
      <c r="AC208" s="1442" t="s">
        <v>2369</v>
      </c>
      <c r="AD208" s="4315"/>
      <c r="AE208" s="4315"/>
      <c r="AF208" s="4315"/>
      <c r="AG208" s="4315"/>
      <c r="AH208" s="4338"/>
      <c r="AI208" s="4315"/>
      <c r="AJ208" s="4315"/>
      <c r="AK208" s="4315"/>
      <c r="AL208" s="4315"/>
      <c r="AM208" s="4315"/>
      <c r="AN208" s="4315"/>
      <c r="AO208" s="4315"/>
      <c r="AP208" s="4315"/>
      <c r="AQ208" s="4315"/>
      <c r="AR208" s="4315"/>
      <c r="AS208" s="4315"/>
      <c r="AT208" s="4315"/>
      <c r="AU208" s="4315"/>
      <c r="AV208" s="4315"/>
      <c r="AW208" s="4315"/>
      <c r="AX208" s="4315"/>
      <c r="AY208" s="4315"/>
      <c r="AZ208" s="4315"/>
      <c r="BA208" s="4315"/>
      <c r="BB208" s="4315"/>
      <c r="BC208" s="4315"/>
      <c r="BD208" s="4315"/>
      <c r="BE208" s="4315"/>
      <c r="BF208" s="4315"/>
      <c r="BG208" s="4315"/>
      <c r="BH208" s="4315"/>
      <c r="BI208" s="4315"/>
      <c r="BJ208" s="4315"/>
      <c r="BK208" s="4315"/>
      <c r="BL208" s="4315"/>
      <c r="BM208" s="4357"/>
      <c r="BN208" s="4315"/>
      <c r="BO208" s="4315"/>
      <c r="BP208" s="4315"/>
      <c r="BQ208" s="4286"/>
      <c r="BR208" s="4286"/>
      <c r="BS208" s="4286"/>
      <c r="BT208" s="4286"/>
      <c r="BU208" s="2267"/>
    </row>
    <row r="209" spans="1:73" s="3" customFormat="1" ht="45" customHeight="1" x14ac:dyDescent="0.25">
      <c r="A209" s="1473"/>
      <c r="B209" s="1443"/>
      <c r="C209" s="1452"/>
      <c r="D209" s="1443"/>
      <c r="E209" s="1622"/>
      <c r="F209" s="1623"/>
      <c r="G209" s="4313"/>
      <c r="H209" s="4314"/>
      <c r="I209" s="4313"/>
      <c r="J209" s="4314"/>
      <c r="K209" s="3606"/>
      <c r="L209" s="2475"/>
      <c r="M209" s="3606"/>
      <c r="N209" s="2475"/>
      <c r="O209" s="4382"/>
      <c r="P209" s="4333"/>
      <c r="Q209" s="3385"/>
      <c r="R209" s="2476"/>
      <c r="S209" s="4339"/>
      <c r="T209" s="4311"/>
      <c r="U209" s="2476"/>
      <c r="V209" s="2285"/>
      <c r="W209" s="2703"/>
      <c r="X209" s="1584">
        <v>8000000</v>
      </c>
      <c r="Y209" s="1584"/>
      <c r="Z209" s="1605"/>
      <c r="AA209" s="1583" t="s">
        <v>2370</v>
      </c>
      <c r="AB209" s="1480">
        <v>114</v>
      </c>
      <c r="AC209" s="1441" t="s">
        <v>2371</v>
      </c>
      <c r="AD209" s="4315"/>
      <c r="AE209" s="4315"/>
      <c r="AF209" s="4315"/>
      <c r="AG209" s="4315"/>
      <c r="AH209" s="4338"/>
      <c r="AI209" s="4315"/>
      <c r="AJ209" s="4315"/>
      <c r="AK209" s="4315"/>
      <c r="AL209" s="4315"/>
      <c r="AM209" s="4315"/>
      <c r="AN209" s="4315"/>
      <c r="AO209" s="4315"/>
      <c r="AP209" s="4315"/>
      <c r="AQ209" s="4315"/>
      <c r="AR209" s="4315"/>
      <c r="AS209" s="4315"/>
      <c r="AT209" s="4315"/>
      <c r="AU209" s="4315"/>
      <c r="AV209" s="4315"/>
      <c r="AW209" s="4315"/>
      <c r="AX209" s="4315"/>
      <c r="AY209" s="4315"/>
      <c r="AZ209" s="4315"/>
      <c r="BA209" s="4315"/>
      <c r="BB209" s="4315"/>
      <c r="BC209" s="4315"/>
      <c r="BD209" s="4315"/>
      <c r="BE209" s="4315"/>
      <c r="BF209" s="4315"/>
      <c r="BG209" s="4315"/>
      <c r="BH209" s="4315"/>
      <c r="BI209" s="4315"/>
      <c r="BJ209" s="4315"/>
      <c r="BK209" s="4315"/>
      <c r="BL209" s="4315"/>
      <c r="BM209" s="4357"/>
      <c r="BN209" s="4315"/>
      <c r="BO209" s="4315"/>
      <c r="BP209" s="4315"/>
      <c r="BQ209" s="4286"/>
      <c r="BR209" s="4286"/>
      <c r="BS209" s="4286"/>
      <c r="BT209" s="4286"/>
      <c r="BU209" s="2267"/>
    </row>
    <row r="210" spans="1:73" s="3" customFormat="1" ht="45" customHeight="1" x14ac:dyDescent="0.25">
      <c r="A210" s="1473"/>
      <c r="B210" s="1443"/>
      <c r="C210" s="1452"/>
      <c r="D210" s="1443"/>
      <c r="E210" s="1622"/>
      <c r="F210" s="1623"/>
      <c r="G210" s="4313"/>
      <c r="H210" s="4314"/>
      <c r="I210" s="4313"/>
      <c r="J210" s="4314"/>
      <c r="K210" s="3606"/>
      <c r="L210" s="2475"/>
      <c r="M210" s="3606"/>
      <c r="N210" s="2475"/>
      <c r="O210" s="4382"/>
      <c r="P210" s="4333"/>
      <c r="Q210" s="3385"/>
      <c r="R210" s="2476"/>
      <c r="S210" s="4339"/>
      <c r="T210" s="4311"/>
      <c r="U210" s="2476"/>
      <c r="V210" s="2285"/>
      <c r="W210" s="2701" t="s">
        <v>2378</v>
      </c>
      <c r="X210" s="1585">
        <v>31072829</v>
      </c>
      <c r="Y210" s="1585">
        <v>15420000</v>
      </c>
      <c r="Z210" s="1604"/>
      <c r="AA210" s="1583" t="s">
        <v>2368</v>
      </c>
      <c r="AB210" s="1454">
        <v>113</v>
      </c>
      <c r="AC210" s="1442" t="s">
        <v>2369</v>
      </c>
      <c r="AD210" s="4315"/>
      <c r="AE210" s="4315"/>
      <c r="AF210" s="4315"/>
      <c r="AG210" s="4315"/>
      <c r="AH210" s="4338"/>
      <c r="AI210" s="4315"/>
      <c r="AJ210" s="4315"/>
      <c r="AK210" s="4315"/>
      <c r="AL210" s="4315"/>
      <c r="AM210" s="4315"/>
      <c r="AN210" s="4315"/>
      <c r="AO210" s="4315"/>
      <c r="AP210" s="4315"/>
      <c r="AQ210" s="4315"/>
      <c r="AR210" s="4315"/>
      <c r="AS210" s="4315"/>
      <c r="AT210" s="4315"/>
      <c r="AU210" s="4315"/>
      <c r="AV210" s="4315"/>
      <c r="AW210" s="4315"/>
      <c r="AX210" s="4315"/>
      <c r="AY210" s="4315"/>
      <c r="AZ210" s="4315"/>
      <c r="BA210" s="4315"/>
      <c r="BB210" s="4315"/>
      <c r="BC210" s="4315"/>
      <c r="BD210" s="4315"/>
      <c r="BE210" s="4315"/>
      <c r="BF210" s="4315"/>
      <c r="BG210" s="4315"/>
      <c r="BH210" s="4315"/>
      <c r="BI210" s="4315"/>
      <c r="BJ210" s="4315"/>
      <c r="BK210" s="4315"/>
      <c r="BL210" s="4315"/>
      <c r="BM210" s="4357"/>
      <c r="BN210" s="4315"/>
      <c r="BO210" s="4315"/>
      <c r="BP210" s="4315"/>
      <c r="BQ210" s="4286"/>
      <c r="BR210" s="4286"/>
      <c r="BS210" s="4286"/>
      <c r="BT210" s="4286"/>
      <c r="BU210" s="2267"/>
    </row>
    <row r="211" spans="1:73" s="3" customFormat="1" ht="45" customHeight="1" x14ac:dyDescent="0.25">
      <c r="A211" s="1473"/>
      <c r="B211" s="1443"/>
      <c r="C211" s="1452"/>
      <c r="D211" s="1443"/>
      <c r="E211" s="1622"/>
      <c r="F211" s="1623"/>
      <c r="G211" s="4313"/>
      <c r="H211" s="4314"/>
      <c r="I211" s="4313"/>
      <c r="J211" s="4314"/>
      <c r="K211" s="3606"/>
      <c r="L211" s="2475"/>
      <c r="M211" s="3606"/>
      <c r="N211" s="2475"/>
      <c r="O211" s="4382"/>
      <c r="P211" s="4331"/>
      <c r="Q211" s="3385"/>
      <c r="R211" s="2476"/>
      <c r="S211" s="4339"/>
      <c r="T211" s="4311"/>
      <c r="U211" s="2476"/>
      <c r="V211" s="2285"/>
      <c r="W211" s="2703"/>
      <c r="X211" s="1584">
        <v>10308240</v>
      </c>
      <c r="Y211" s="1584">
        <v>2000000</v>
      </c>
      <c r="Z211" s="1605"/>
      <c r="AA211" s="1583" t="s">
        <v>2370</v>
      </c>
      <c r="AB211" s="1480">
        <v>114</v>
      </c>
      <c r="AC211" s="1441" t="s">
        <v>2371</v>
      </c>
      <c r="AD211" s="4315"/>
      <c r="AE211" s="4315"/>
      <c r="AF211" s="4315"/>
      <c r="AG211" s="4315"/>
      <c r="AH211" s="4338"/>
      <c r="AI211" s="4315"/>
      <c r="AJ211" s="4315"/>
      <c r="AK211" s="4315"/>
      <c r="AL211" s="4315"/>
      <c r="AM211" s="4315"/>
      <c r="AN211" s="4315"/>
      <c r="AO211" s="4315"/>
      <c r="AP211" s="4315"/>
      <c r="AQ211" s="4315"/>
      <c r="AR211" s="4315"/>
      <c r="AS211" s="4315"/>
      <c r="AT211" s="4315"/>
      <c r="AU211" s="4315"/>
      <c r="AV211" s="4315"/>
      <c r="AW211" s="4315"/>
      <c r="AX211" s="4315"/>
      <c r="AY211" s="4315"/>
      <c r="AZ211" s="4315"/>
      <c r="BA211" s="4315"/>
      <c r="BB211" s="4315"/>
      <c r="BC211" s="4315"/>
      <c r="BD211" s="4315"/>
      <c r="BE211" s="4315"/>
      <c r="BF211" s="4315"/>
      <c r="BG211" s="4315"/>
      <c r="BH211" s="4315"/>
      <c r="BI211" s="4315"/>
      <c r="BJ211" s="4315"/>
      <c r="BK211" s="4315"/>
      <c r="BL211" s="4315"/>
      <c r="BM211" s="4357"/>
      <c r="BN211" s="4315"/>
      <c r="BO211" s="4315"/>
      <c r="BP211" s="4315"/>
      <c r="BQ211" s="4286"/>
      <c r="BR211" s="4286"/>
      <c r="BS211" s="4286"/>
      <c r="BT211" s="4286"/>
      <c r="BU211" s="2267"/>
    </row>
    <row r="212" spans="1:73" s="3" customFormat="1" ht="56.25" customHeight="1" x14ac:dyDescent="0.25">
      <c r="A212" s="1473"/>
      <c r="B212" s="1443"/>
      <c r="C212" s="1452"/>
      <c r="D212" s="1443"/>
      <c r="E212" s="1622"/>
      <c r="F212" s="1623"/>
      <c r="G212" s="3384">
        <v>1905026</v>
      </c>
      <c r="H212" s="3119" t="s">
        <v>2315</v>
      </c>
      <c r="I212" s="3384">
        <v>1905026</v>
      </c>
      <c r="J212" s="3119" t="s">
        <v>2315</v>
      </c>
      <c r="K212" s="4270">
        <v>190502600</v>
      </c>
      <c r="L212" s="2478" t="s">
        <v>2316</v>
      </c>
      <c r="M212" s="4270">
        <v>190502600</v>
      </c>
      <c r="N212" s="2478" t="s">
        <v>2316</v>
      </c>
      <c r="O212" s="2325">
        <v>12</v>
      </c>
      <c r="P212" s="3468">
        <v>12</v>
      </c>
      <c r="Q212" s="3408" t="s">
        <v>2379</v>
      </c>
      <c r="R212" s="2701" t="s">
        <v>2380</v>
      </c>
      <c r="S212" s="2410">
        <f>SUM(X212:X215)/T212</f>
        <v>1</v>
      </c>
      <c r="T212" s="4372">
        <f>SUM(X212:X215)</f>
        <v>1100000000</v>
      </c>
      <c r="U212" s="2701" t="s">
        <v>2381</v>
      </c>
      <c r="V212" s="2295" t="s">
        <v>2382</v>
      </c>
      <c r="W212" s="1447" t="s">
        <v>2383</v>
      </c>
      <c r="X212" s="1584">
        <v>70000000</v>
      </c>
      <c r="Y212" s="1584"/>
      <c r="Z212" s="1605"/>
      <c r="AA212" s="1594" t="s">
        <v>2384</v>
      </c>
      <c r="AB212" s="1480">
        <v>20</v>
      </c>
      <c r="AC212" s="1387" t="s">
        <v>86</v>
      </c>
      <c r="AD212" s="4386">
        <v>295972</v>
      </c>
      <c r="AE212" s="4386"/>
      <c r="AF212" s="4386">
        <v>285580</v>
      </c>
      <c r="AG212" s="4386"/>
      <c r="AH212" s="4391">
        <v>135545</v>
      </c>
      <c r="AI212" s="4386"/>
      <c r="AJ212" s="4386">
        <v>44254</v>
      </c>
      <c r="AK212" s="4386"/>
      <c r="AL212" s="4386">
        <v>309146</v>
      </c>
      <c r="AM212" s="4386"/>
      <c r="AN212" s="4386">
        <v>92607</v>
      </c>
      <c r="AO212" s="4386"/>
      <c r="AP212" s="4386">
        <v>2145</v>
      </c>
      <c r="AQ212" s="4386"/>
      <c r="AR212" s="4386">
        <v>12718</v>
      </c>
      <c r="AS212" s="4386"/>
      <c r="AT212" s="4386">
        <v>26</v>
      </c>
      <c r="AU212" s="4386"/>
      <c r="AV212" s="4386">
        <v>37</v>
      </c>
      <c r="AW212" s="4386"/>
      <c r="AX212" s="4386">
        <v>0</v>
      </c>
      <c r="AY212" s="4386"/>
      <c r="AZ212" s="4386">
        <v>0</v>
      </c>
      <c r="BA212" s="4386"/>
      <c r="BB212" s="4386">
        <v>44350</v>
      </c>
      <c r="BC212" s="4386"/>
      <c r="BD212" s="4386">
        <v>21944</v>
      </c>
      <c r="BE212" s="4386"/>
      <c r="BF212" s="4386">
        <v>75687</v>
      </c>
      <c r="BG212" s="4386"/>
      <c r="BH212" s="4386">
        <v>59.68</v>
      </c>
      <c r="BI212" s="4386"/>
      <c r="BJ212" s="4386">
        <v>17</v>
      </c>
      <c r="BK212" s="4386">
        <f>SUM(Y212:Y215)</f>
        <v>560423614</v>
      </c>
      <c r="BL212" s="4386">
        <f>SUM(Z212:Z215)</f>
        <v>115780000</v>
      </c>
      <c r="BM212" s="3693">
        <f>BL212/BK212</f>
        <v>0.20659372144158081</v>
      </c>
      <c r="BN212" s="4386" t="s">
        <v>2385</v>
      </c>
      <c r="BO212" s="4387" t="s">
        <v>2386</v>
      </c>
      <c r="BP212" s="4387" t="s">
        <v>2148</v>
      </c>
      <c r="BQ212" s="4388">
        <v>44197</v>
      </c>
      <c r="BR212" s="4388">
        <v>44244</v>
      </c>
      <c r="BS212" s="4388">
        <v>44561</v>
      </c>
      <c r="BT212" s="4388">
        <v>44561</v>
      </c>
      <c r="BU212" s="4387" t="s">
        <v>1991</v>
      </c>
    </row>
    <row r="213" spans="1:73" s="3" customFormat="1" ht="56.25" customHeight="1" x14ac:dyDescent="0.25">
      <c r="A213" s="1473"/>
      <c r="B213" s="1443"/>
      <c r="C213" s="1452"/>
      <c r="D213" s="1443"/>
      <c r="E213" s="1622"/>
      <c r="F213" s="1623"/>
      <c r="G213" s="4267"/>
      <c r="H213" s="3120"/>
      <c r="I213" s="4267"/>
      <c r="J213" s="3120"/>
      <c r="K213" s="4358"/>
      <c r="L213" s="3036"/>
      <c r="M213" s="4358"/>
      <c r="N213" s="3036"/>
      <c r="O213" s="2326"/>
      <c r="P213" s="3469"/>
      <c r="Q213" s="3409"/>
      <c r="R213" s="2702"/>
      <c r="S213" s="2411"/>
      <c r="T213" s="4385"/>
      <c r="U213" s="2702"/>
      <c r="V213" s="2699"/>
      <c r="W213" s="1447" t="s">
        <v>2387</v>
      </c>
      <c r="X213" s="1584">
        <v>400000000</v>
      </c>
      <c r="Y213" s="1639">
        <v>141840000</v>
      </c>
      <c r="Z213" s="1605">
        <v>115780000</v>
      </c>
      <c r="AA213" s="1583" t="s">
        <v>2384</v>
      </c>
      <c r="AB213" s="1646">
        <v>20</v>
      </c>
      <c r="AC213" s="1647" t="s">
        <v>86</v>
      </c>
      <c r="AD213" s="4386"/>
      <c r="AE213" s="4386"/>
      <c r="AF213" s="4386"/>
      <c r="AG213" s="4386"/>
      <c r="AH213" s="4391"/>
      <c r="AI213" s="4386"/>
      <c r="AJ213" s="4386"/>
      <c r="AK213" s="4386"/>
      <c r="AL213" s="4386"/>
      <c r="AM213" s="4386"/>
      <c r="AN213" s="4386"/>
      <c r="AO213" s="4386"/>
      <c r="AP213" s="4386"/>
      <c r="AQ213" s="4386"/>
      <c r="AR213" s="4386"/>
      <c r="AS213" s="4386"/>
      <c r="AT213" s="4386"/>
      <c r="AU213" s="4386"/>
      <c r="AV213" s="4386"/>
      <c r="AW213" s="4386"/>
      <c r="AX213" s="4386"/>
      <c r="AY213" s="4386"/>
      <c r="AZ213" s="4386"/>
      <c r="BA213" s="4386"/>
      <c r="BB213" s="4386"/>
      <c r="BC213" s="4386"/>
      <c r="BD213" s="4386"/>
      <c r="BE213" s="4386"/>
      <c r="BF213" s="4386"/>
      <c r="BG213" s="4386"/>
      <c r="BH213" s="4386"/>
      <c r="BI213" s="4386"/>
      <c r="BJ213" s="4386"/>
      <c r="BK213" s="4386"/>
      <c r="BL213" s="4386"/>
      <c r="BM213" s="3693"/>
      <c r="BN213" s="4386"/>
      <c r="BO213" s="4387"/>
      <c r="BP213" s="4387"/>
      <c r="BQ213" s="4388"/>
      <c r="BR213" s="4388"/>
      <c r="BS213" s="4388"/>
      <c r="BT213" s="4388"/>
      <c r="BU213" s="4386"/>
    </row>
    <row r="214" spans="1:73" s="3" customFormat="1" ht="36" customHeight="1" x14ac:dyDescent="0.25">
      <c r="A214" s="1473"/>
      <c r="B214" s="1443"/>
      <c r="C214" s="1452"/>
      <c r="D214" s="1443"/>
      <c r="E214" s="1622"/>
      <c r="F214" s="1623"/>
      <c r="G214" s="4267"/>
      <c r="H214" s="3120"/>
      <c r="I214" s="4267"/>
      <c r="J214" s="3120"/>
      <c r="K214" s="4358"/>
      <c r="L214" s="3036"/>
      <c r="M214" s="4358"/>
      <c r="N214" s="3036"/>
      <c r="O214" s="2326"/>
      <c r="P214" s="3469"/>
      <c r="Q214" s="3409"/>
      <c r="R214" s="2702"/>
      <c r="S214" s="2411"/>
      <c r="T214" s="4385"/>
      <c r="U214" s="2702"/>
      <c r="V214" s="2699"/>
      <c r="W214" s="2701" t="s">
        <v>2388</v>
      </c>
      <c r="X214" s="1584">
        <v>30000000</v>
      </c>
      <c r="Y214" s="1584"/>
      <c r="Z214" s="1605"/>
      <c r="AA214" s="1583" t="s">
        <v>2384</v>
      </c>
      <c r="AB214" s="1646">
        <v>20</v>
      </c>
      <c r="AC214" s="1647" t="s">
        <v>86</v>
      </c>
      <c r="AD214" s="4386"/>
      <c r="AE214" s="4386"/>
      <c r="AF214" s="4386"/>
      <c r="AG214" s="4386"/>
      <c r="AH214" s="4391"/>
      <c r="AI214" s="4386"/>
      <c r="AJ214" s="4386"/>
      <c r="AK214" s="4386"/>
      <c r="AL214" s="4386"/>
      <c r="AM214" s="4386"/>
      <c r="AN214" s="4386"/>
      <c r="AO214" s="4386"/>
      <c r="AP214" s="4386"/>
      <c r="AQ214" s="4386"/>
      <c r="AR214" s="4386"/>
      <c r="AS214" s="4386"/>
      <c r="AT214" s="4386"/>
      <c r="AU214" s="4386"/>
      <c r="AV214" s="4386"/>
      <c r="AW214" s="4386"/>
      <c r="AX214" s="4386"/>
      <c r="AY214" s="4386"/>
      <c r="AZ214" s="4386"/>
      <c r="BA214" s="4386"/>
      <c r="BB214" s="4386"/>
      <c r="BC214" s="4386"/>
      <c r="BD214" s="4386"/>
      <c r="BE214" s="4386"/>
      <c r="BF214" s="4386"/>
      <c r="BG214" s="4386"/>
      <c r="BH214" s="4386"/>
      <c r="BI214" s="4386"/>
      <c r="BJ214" s="4386"/>
      <c r="BK214" s="4386"/>
      <c r="BL214" s="4386"/>
      <c r="BM214" s="3693"/>
      <c r="BN214" s="4386"/>
      <c r="BO214" s="4387"/>
      <c r="BP214" s="4387"/>
      <c r="BQ214" s="4388"/>
      <c r="BR214" s="4388"/>
      <c r="BS214" s="4388"/>
      <c r="BT214" s="4388"/>
      <c r="BU214" s="4386"/>
    </row>
    <row r="215" spans="1:73" s="3" customFormat="1" ht="36" customHeight="1" x14ac:dyDescent="0.25">
      <c r="A215" s="1473"/>
      <c r="B215" s="1443"/>
      <c r="C215" s="1452"/>
      <c r="D215" s="1443"/>
      <c r="E215" s="1622"/>
      <c r="F215" s="1623"/>
      <c r="G215" s="3383"/>
      <c r="H215" s="3121"/>
      <c r="I215" s="3383"/>
      <c r="J215" s="3121"/>
      <c r="K215" s="4359"/>
      <c r="L215" s="2479"/>
      <c r="M215" s="4359"/>
      <c r="N215" s="2479"/>
      <c r="O215" s="2327"/>
      <c r="P215" s="3470"/>
      <c r="Q215" s="3601"/>
      <c r="R215" s="2703"/>
      <c r="S215" s="2412"/>
      <c r="T215" s="4310"/>
      <c r="U215" s="2703"/>
      <c r="V215" s="2700"/>
      <c r="W215" s="2703"/>
      <c r="X215" s="1584">
        <v>600000000</v>
      </c>
      <c r="Y215" s="1584">
        <v>418583614</v>
      </c>
      <c r="Z215" s="1605"/>
      <c r="AA215" s="1583" t="s">
        <v>2389</v>
      </c>
      <c r="AB215" s="1646">
        <v>88</v>
      </c>
      <c r="AC215" s="1647" t="s">
        <v>1919</v>
      </c>
      <c r="AD215" s="4386"/>
      <c r="AE215" s="4386"/>
      <c r="AF215" s="4386"/>
      <c r="AG215" s="4386"/>
      <c r="AH215" s="4391"/>
      <c r="AI215" s="4386"/>
      <c r="AJ215" s="4386"/>
      <c r="AK215" s="4386"/>
      <c r="AL215" s="4386"/>
      <c r="AM215" s="4386"/>
      <c r="AN215" s="4386"/>
      <c r="AO215" s="4386"/>
      <c r="AP215" s="4386"/>
      <c r="AQ215" s="4386"/>
      <c r="AR215" s="4386"/>
      <c r="AS215" s="4386"/>
      <c r="AT215" s="4386"/>
      <c r="AU215" s="4386"/>
      <c r="AV215" s="4386"/>
      <c r="AW215" s="4386"/>
      <c r="AX215" s="4386"/>
      <c r="AY215" s="4386"/>
      <c r="AZ215" s="4386"/>
      <c r="BA215" s="4386"/>
      <c r="BB215" s="4386"/>
      <c r="BC215" s="4386"/>
      <c r="BD215" s="4386"/>
      <c r="BE215" s="4386"/>
      <c r="BF215" s="4386"/>
      <c r="BG215" s="4386"/>
      <c r="BH215" s="4386"/>
      <c r="BI215" s="4386"/>
      <c r="BJ215" s="4386"/>
      <c r="BK215" s="4386"/>
      <c r="BL215" s="4386"/>
      <c r="BM215" s="3693"/>
      <c r="BN215" s="4386"/>
      <c r="BO215" s="4387"/>
      <c r="BP215" s="4387"/>
      <c r="BQ215" s="4388"/>
      <c r="BR215" s="4388"/>
      <c r="BS215" s="4388"/>
      <c r="BT215" s="4388"/>
      <c r="BU215" s="4386"/>
    </row>
    <row r="216" spans="1:73" s="3" customFormat="1" ht="119.25" customHeight="1" x14ac:dyDescent="0.25">
      <c r="A216" s="1473"/>
      <c r="B216" s="1443"/>
      <c r="C216" s="1452"/>
      <c r="D216" s="1443"/>
      <c r="E216" s="1622"/>
      <c r="F216" s="1623"/>
      <c r="G216" s="4112">
        <v>1905029</v>
      </c>
      <c r="H216" s="4296" t="s">
        <v>2390</v>
      </c>
      <c r="I216" s="4112">
        <v>1905030</v>
      </c>
      <c r="J216" s="4296" t="s">
        <v>2390</v>
      </c>
      <c r="K216" s="2728">
        <v>190502900</v>
      </c>
      <c r="L216" s="2476" t="s">
        <v>2391</v>
      </c>
      <c r="M216" s="2728">
        <v>190503000</v>
      </c>
      <c r="N216" s="2476" t="s">
        <v>2391</v>
      </c>
      <c r="O216" s="4382">
        <v>60</v>
      </c>
      <c r="P216" s="4330">
        <v>55</v>
      </c>
      <c r="Q216" s="3385" t="s">
        <v>2392</v>
      </c>
      <c r="R216" s="2476" t="s">
        <v>2393</v>
      </c>
      <c r="S216" s="4339">
        <f>SUM(X216:X217)/T216</f>
        <v>1</v>
      </c>
      <c r="T216" s="4311">
        <f>SUM(X216:X217)</f>
        <v>20000000</v>
      </c>
      <c r="U216" s="2476" t="s">
        <v>2394</v>
      </c>
      <c r="V216" s="2285" t="s">
        <v>2395</v>
      </c>
      <c r="W216" s="1447" t="s">
        <v>2396</v>
      </c>
      <c r="X216" s="1584">
        <v>10000000</v>
      </c>
      <c r="Y216" s="1641">
        <v>10000000</v>
      </c>
      <c r="Z216" s="1605">
        <v>10000000</v>
      </c>
      <c r="AA216" s="1583" t="s">
        <v>2397</v>
      </c>
      <c r="AB216" s="1480">
        <v>61</v>
      </c>
      <c r="AC216" s="1441" t="s">
        <v>1987</v>
      </c>
      <c r="AD216" s="4389">
        <v>292684</v>
      </c>
      <c r="AE216" s="4389"/>
      <c r="AF216" s="4389">
        <v>282326</v>
      </c>
      <c r="AG216" s="4389"/>
      <c r="AH216" s="4392">
        <v>135912</v>
      </c>
      <c r="AI216" s="4389"/>
      <c r="AJ216" s="4389">
        <v>45122</v>
      </c>
      <c r="AK216" s="4389"/>
      <c r="AL216" s="4389">
        <v>307101</v>
      </c>
      <c r="AM216" s="4389"/>
      <c r="AN216" s="4389">
        <v>86875</v>
      </c>
      <c r="AO216" s="4389"/>
      <c r="AP216" s="4389">
        <v>2145</v>
      </c>
      <c r="AQ216" s="4389"/>
      <c r="AR216" s="4389">
        <v>12718</v>
      </c>
      <c r="AS216" s="4389"/>
      <c r="AT216" s="4389">
        <v>26</v>
      </c>
      <c r="AU216" s="4389"/>
      <c r="AV216" s="4389">
        <v>37</v>
      </c>
      <c r="AW216" s="4389"/>
      <c r="AX216" s="4389">
        <v>0</v>
      </c>
      <c r="AY216" s="4389"/>
      <c r="AZ216" s="4389">
        <v>0</v>
      </c>
      <c r="BA216" s="4389"/>
      <c r="BB216" s="4389">
        <v>0</v>
      </c>
      <c r="BC216" s="4389"/>
      <c r="BD216" s="4389">
        <v>41.542999999999999</v>
      </c>
      <c r="BE216" s="4389"/>
      <c r="BF216" s="4389">
        <v>88.56</v>
      </c>
      <c r="BG216" s="4389"/>
      <c r="BH216" s="4389">
        <v>575010</v>
      </c>
      <c r="BI216" s="4389"/>
      <c r="BJ216" s="4389">
        <v>2</v>
      </c>
      <c r="BK216" s="4395">
        <f>SUM(Y216:Y217)</f>
        <v>19906500</v>
      </c>
      <c r="BL216" s="4395">
        <f>SUM(Z216:Z217)</f>
        <v>19906500</v>
      </c>
      <c r="BM216" s="4396">
        <f>BL216/BK216</f>
        <v>1</v>
      </c>
      <c r="BN216" s="4389">
        <v>61</v>
      </c>
      <c r="BO216" s="4389" t="s">
        <v>2056</v>
      </c>
      <c r="BP216" s="4389" t="s">
        <v>2170</v>
      </c>
      <c r="BQ216" s="2446">
        <v>44197</v>
      </c>
      <c r="BR216" s="2446">
        <v>44245</v>
      </c>
      <c r="BS216" s="2446">
        <v>44561</v>
      </c>
      <c r="BT216" s="2446">
        <v>44561</v>
      </c>
      <c r="BU216" s="4394" t="s">
        <v>1991</v>
      </c>
    </row>
    <row r="217" spans="1:73" s="3" customFormat="1" ht="154.5" customHeight="1" x14ac:dyDescent="0.25">
      <c r="A217" s="1473"/>
      <c r="B217" s="1443"/>
      <c r="C217" s="1452"/>
      <c r="D217" s="1443"/>
      <c r="E217" s="1622"/>
      <c r="F217" s="1623"/>
      <c r="G217" s="4112"/>
      <c r="H217" s="4296"/>
      <c r="I217" s="4112"/>
      <c r="J217" s="4296"/>
      <c r="K217" s="2728"/>
      <c r="L217" s="2476"/>
      <c r="M217" s="2728"/>
      <c r="N217" s="2476"/>
      <c r="O217" s="4382"/>
      <c r="P217" s="4331"/>
      <c r="Q217" s="3385"/>
      <c r="R217" s="2476"/>
      <c r="S217" s="4339"/>
      <c r="T217" s="4311"/>
      <c r="U217" s="2476"/>
      <c r="V217" s="2285"/>
      <c r="W217" s="1447" t="s">
        <v>2398</v>
      </c>
      <c r="X217" s="1584">
        <v>10000000</v>
      </c>
      <c r="Y217" s="1638">
        <v>9906500</v>
      </c>
      <c r="Z217" s="1605">
        <v>9906500</v>
      </c>
      <c r="AA217" s="1583" t="s">
        <v>2397</v>
      </c>
      <c r="AB217" s="1480">
        <v>61</v>
      </c>
      <c r="AC217" s="1441" t="s">
        <v>1987</v>
      </c>
      <c r="AD217" s="4390"/>
      <c r="AE217" s="4390"/>
      <c r="AF217" s="4390"/>
      <c r="AG217" s="4390"/>
      <c r="AH217" s="4393"/>
      <c r="AI217" s="4390"/>
      <c r="AJ217" s="4390"/>
      <c r="AK217" s="4390"/>
      <c r="AL217" s="4390"/>
      <c r="AM217" s="4390"/>
      <c r="AN217" s="4390"/>
      <c r="AO217" s="4390"/>
      <c r="AP217" s="4390"/>
      <c r="AQ217" s="4390"/>
      <c r="AR217" s="4390"/>
      <c r="AS217" s="4390"/>
      <c r="AT217" s="4390"/>
      <c r="AU217" s="4390"/>
      <c r="AV217" s="4390"/>
      <c r="AW217" s="4390"/>
      <c r="AX217" s="4390"/>
      <c r="AY217" s="4390"/>
      <c r="AZ217" s="4390"/>
      <c r="BA217" s="4390"/>
      <c r="BB217" s="4390"/>
      <c r="BC217" s="4390"/>
      <c r="BD217" s="4390"/>
      <c r="BE217" s="4390"/>
      <c r="BF217" s="4390"/>
      <c r="BG217" s="4390"/>
      <c r="BH217" s="4390"/>
      <c r="BI217" s="4390"/>
      <c r="BJ217" s="4390"/>
      <c r="BK217" s="4390"/>
      <c r="BL217" s="4390"/>
      <c r="BM217" s="4397"/>
      <c r="BN217" s="4390"/>
      <c r="BO217" s="4390"/>
      <c r="BP217" s="4390"/>
      <c r="BQ217" s="2447"/>
      <c r="BR217" s="2447"/>
      <c r="BS217" s="2447"/>
      <c r="BT217" s="2447"/>
      <c r="BU217" s="2801"/>
    </row>
    <row r="218" spans="1:73" s="3" customFormat="1" ht="57.75" customHeight="1" x14ac:dyDescent="0.25">
      <c r="A218" s="1473"/>
      <c r="B218" s="1443"/>
      <c r="C218" s="1452"/>
      <c r="D218" s="1443"/>
      <c r="E218" s="1622"/>
      <c r="F218" s="1623"/>
      <c r="G218" s="4313">
        <v>1905025</v>
      </c>
      <c r="H218" s="4314" t="s">
        <v>2399</v>
      </c>
      <c r="I218" s="4313">
        <v>1905025</v>
      </c>
      <c r="J218" s="4314" t="s">
        <v>2399</v>
      </c>
      <c r="K218" s="3606">
        <v>190502500</v>
      </c>
      <c r="L218" s="2475" t="s">
        <v>2400</v>
      </c>
      <c r="M218" s="3606">
        <v>190502500</v>
      </c>
      <c r="N218" s="2475" t="s">
        <v>2400</v>
      </c>
      <c r="O218" s="4325">
        <v>12</v>
      </c>
      <c r="P218" s="4330">
        <v>8</v>
      </c>
      <c r="Q218" s="3408" t="s">
        <v>2401</v>
      </c>
      <c r="R218" s="2476" t="s">
        <v>2402</v>
      </c>
      <c r="S218" s="4339">
        <f>SUM(X218:X223)/T218</f>
        <v>1</v>
      </c>
      <c r="T218" s="4311">
        <f>SUM(X218:X223)</f>
        <v>84414100</v>
      </c>
      <c r="U218" s="2476" t="s">
        <v>2403</v>
      </c>
      <c r="V218" s="2285" t="s">
        <v>2404</v>
      </c>
      <c r="W218" s="1447" t="s">
        <v>2405</v>
      </c>
      <c r="X218" s="1584">
        <f>7000000+7000000</f>
        <v>14000000</v>
      </c>
      <c r="Y218" s="1648">
        <v>10340000</v>
      </c>
      <c r="Z218" s="1605">
        <v>9800000</v>
      </c>
      <c r="AA218" s="1583" t="s">
        <v>2406</v>
      </c>
      <c r="AB218" s="1480">
        <v>61</v>
      </c>
      <c r="AC218" s="1441" t="s">
        <v>1987</v>
      </c>
      <c r="AD218" s="2438">
        <v>292684</v>
      </c>
      <c r="AE218" s="2438"/>
      <c r="AF218" s="2438">
        <v>282326</v>
      </c>
      <c r="AG218" s="2438"/>
      <c r="AH218" s="3809">
        <v>135912</v>
      </c>
      <c r="AI218" s="2438"/>
      <c r="AJ218" s="2438">
        <v>45122</v>
      </c>
      <c r="AK218" s="2438"/>
      <c r="AL218" s="2438">
        <v>0</v>
      </c>
      <c r="AM218" s="2438"/>
      <c r="AN218" s="2438">
        <v>0</v>
      </c>
      <c r="AO218" s="2438"/>
      <c r="AP218" s="2438">
        <v>2145</v>
      </c>
      <c r="AQ218" s="2438"/>
      <c r="AR218" s="2438">
        <v>12718</v>
      </c>
      <c r="AS218" s="2438"/>
      <c r="AT218" s="2438">
        <v>26</v>
      </c>
      <c r="AU218" s="2438"/>
      <c r="AV218" s="2438">
        <v>37</v>
      </c>
      <c r="AW218" s="2438"/>
      <c r="AX218" s="2438">
        <v>0</v>
      </c>
      <c r="AY218" s="2438"/>
      <c r="AZ218" s="2438">
        <v>0</v>
      </c>
      <c r="BA218" s="2438"/>
      <c r="BB218" s="2438">
        <v>53164</v>
      </c>
      <c r="BC218" s="2438"/>
      <c r="BD218" s="2438">
        <v>16982</v>
      </c>
      <c r="BE218" s="2438"/>
      <c r="BF218" s="2438">
        <v>60013</v>
      </c>
      <c r="BG218" s="2438"/>
      <c r="BH218" s="2438">
        <v>575010</v>
      </c>
      <c r="BI218" s="2438"/>
      <c r="BJ218" s="2438">
        <v>4</v>
      </c>
      <c r="BK218" s="4287">
        <f>SUM(Y218:Y223)</f>
        <v>46160000</v>
      </c>
      <c r="BL218" s="4287">
        <f>SUM(Z218:Z223)</f>
        <v>37505000</v>
      </c>
      <c r="BM218" s="4399">
        <f>BL218/BK218</f>
        <v>0.8125</v>
      </c>
      <c r="BN218" s="2438">
        <v>61</v>
      </c>
      <c r="BO218" s="2438" t="s">
        <v>2056</v>
      </c>
      <c r="BP218" s="2438" t="s">
        <v>2170</v>
      </c>
      <c r="BQ218" s="4285">
        <v>44197</v>
      </c>
      <c r="BR218" s="4285">
        <v>44239</v>
      </c>
      <c r="BS218" s="4285">
        <v>44561</v>
      </c>
      <c r="BT218" s="4285">
        <v>44561</v>
      </c>
      <c r="BU218" s="2438" t="s">
        <v>1991</v>
      </c>
    </row>
    <row r="219" spans="1:73" s="3" customFormat="1" ht="88.5" customHeight="1" x14ac:dyDescent="0.25">
      <c r="A219" s="1473"/>
      <c r="B219" s="1443"/>
      <c r="C219" s="1452"/>
      <c r="D219" s="1443"/>
      <c r="E219" s="1622"/>
      <c r="F219" s="1623"/>
      <c r="G219" s="4313"/>
      <c r="H219" s="4314"/>
      <c r="I219" s="4313"/>
      <c r="J219" s="4314"/>
      <c r="K219" s="3606"/>
      <c r="L219" s="2475"/>
      <c r="M219" s="3606"/>
      <c r="N219" s="2475"/>
      <c r="O219" s="4332"/>
      <c r="P219" s="4333"/>
      <c r="Q219" s="3409"/>
      <c r="R219" s="2476"/>
      <c r="S219" s="4339"/>
      <c r="T219" s="4311"/>
      <c r="U219" s="2476"/>
      <c r="V219" s="4398"/>
      <c r="W219" s="1447" t="s">
        <v>2407</v>
      </c>
      <c r="X219" s="1584">
        <f>14000000+7000000+7000000</f>
        <v>28000000</v>
      </c>
      <c r="Y219" s="1648">
        <v>20680000</v>
      </c>
      <c r="Z219" s="1605">
        <v>19700000</v>
      </c>
      <c r="AA219" s="1583" t="s">
        <v>2406</v>
      </c>
      <c r="AB219" s="1480">
        <v>61</v>
      </c>
      <c r="AC219" s="1441" t="s">
        <v>1987</v>
      </c>
      <c r="AD219" s="2267"/>
      <c r="AE219" s="2267"/>
      <c r="AF219" s="2267"/>
      <c r="AG219" s="2267"/>
      <c r="AH219" s="4272"/>
      <c r="AI219" s="2267"/>
      <c r="AJ219" s="2267"/>
      <c r="AK219" s="2267"/>
      <c r="AL219" s="2267"/>
      <c r="AM219" s="2267"/>
      <c r="AN219" s="2267"/>
      <c r="AO219" s="2267"/>
      <c r="AP219" s="2267"/>
      <c r="AQ219" s="2267"/>
      <c r="AR219" s="2267"/>
      <c r="AS219" s="2267"/>
      <c r="AT219" s="2267"/>
      <c r="AU219" s="2267"/>
      <c r="AV219" s="2267"/>
      <c r="AW219" s="2267"/>
      <c r="AX219" s="2267"/>
      <c r="AY219" s="2267"/>
      <c r="AZ219" s="2267"/>
      <c r="BA219" s="2267"/>
      <c r="BB219" s="2267"/>
      <c r="BC219" s="2267"/>
      <c r="BD219" s="2267"/>
      <c r="BE219" s="2267"/>
      <c r="BF219" s="2267"/>
      <c r="BG219" s="2267"/>
      <c r="BH219" s="2267"/>
      <c r="BI219" s="2267"/>
      <c r="BJ219" s="2267"/>
      <c r="BK219" s="2267"/>
      <c r="BL219" s="2267"/>
      <c r="BM219" s="4400"/>
      <c r="BN219" s="2267"/>
      <c r="BO219" s="2267"/>
      <c r="BP219" s="2267"/>
      <c r="BQ219" s="2267"/>
      <c r="BR219" s="2267"/>
      <c r="BS219" s="2267"/>
      <c r="BT219" s="2267"/>
      <c r="BU219" s="2267"/>
    </row>
    <row r="220" spans="1:73" s="3" customFormat="1" ht="59.25" customHeight="1" x14ac:dyDescent="0.25">
      <c r="A220" s="1473"/>
      <c r="B220" s="1443"/>
      <c r="C220" s="1452"/>
      <c r="D220" s="1443"/>
      <c r="E220" s="1622"/>
      <c r="F220" s="1623"/>
      <c r="G220" s="4313"/>
      <c r="H220" s="4314"/>
      <c r="I220" s="4313"/>
      <c r="J220" s="4314"/>
      <c r="K220" s="3606"/>
      <c r="L220" s="2475"/>
      <c r="M220" s="3606"/>
      <c r="N220" s="2475"/>
      <c r="O220" s="4332"/>
      <c r="P220" s="4333"/>
      <c r="Q220" s="3409"/>
      <c r="R220" s="2476"/>
      <c r="S220" s="4339"/>
      <c r="T220" s="4311"/>
      <c r="U220" s="2476"/>
      <c r="V220" s="4398"/>
      <c r="W220" s="1447" t="s">
        <v>2408</v>
      </c>
      <c r="X220" s="1584">
        <v>7000000</v>
      </c>
      <c r="Y220" s="1648">
        <v>7000000</v>
      </c>
      <c r="Z220" s="1605">
        <v>3700000</v>
      </c>
      <c r="AA220" s="1583" t="s">
        <v>2406</v>
      </c>
      <c r="AB220" s="1480">
        <v>61</v>
      </c>
      <c r="AC220" s="1441" t="s">
        <v>1987</v>
      </c>
      <c r="AD220" s="2267"/>
      <c r="AE220" s="2267"/>
      <c r="AF220" s="2267"/>
      <c r="AG220" s="2267"/>
      <c r="AH220" s="4272"/>
      <c r="AI220" s="2267"/>
      <c r="AJ220" s="2267"/>
      <c r="AK220" s="2267"/>
      <c r="AL220" s="2267"/>
      <c r="AM220" s="2267"/>
      <c r="AN220" s="2267"/>
      <c r="AO220" s="2267"/>
      <c r="AP220" s="2267"/>
      <c r="AQ220" s="2267"/>
      <c r="AR220" s="2267"/>
      <c r="AS220" s="2267"/>
      <c r="AT220" s="2267"/>
      <c r="AU220" s="2267"/>
      <c r="AV220" s="2267"/>
      <c r="AW220" s="2267"/>
      <c r="AX220" s="2267"/>
      <c r="AY220" s="2267"/>
      <c r="AZ220" s="2267"/>
      <c r="BA220" s="2267"/>
      <c r="BB220" s="2267"/>
      <c r="BC220" s="2267"/>
      <c r="BD220" s="2267"/>
      <c r="BE220" s="2267"/>
      <c r="BF220" s="2267"/>
      <c r="BG220" s="2267"/>
      <c r="BH220" s="2267"/>
      <c r="BI220" s="2267"/>
      <c r="BJ220" s="2267"/>
      <c r="BK220" s="2267"/>
      <c r="BL220" s="2267"/>
      <c r="BM220" s="4400"/>
      <c r="BN220" s="2267"/>
      <c r="BO220" s="2267"/>
      <c r="BP220" s="2267"/>
      <c r="BQ220" s="2267"/>
      <c r="BR220" s="2267"/>
      <c r="BS220" s="2267"/>
      <c r="BT220" s="2267"/>
      <c r="BU220" s="2267"/>
    </row>
    <row r="221" spans="1:73" s="3" customFormat="1" ht="48" customHeight="1" x14ac:dyDescent="0.25">
      <c r="A221" s="1473"/>
      <c r="B221" s="1443"/>
      <c r="C221" s="1452"/>
      <c r="D221" s="1443"/>
      <c r="E221" s="1622"/>
      <c r="F221" s="1623"/>
      <c r="G221" s="4313"/>
      <c r="H221" s="4314"/>
      <c r="I221" s="4313"/>
      <c r="J221" s="4314"/>
      <c r="K221" s="3606"/>
      <c r="L221" s="2475"/>
      <c r="M221" s="3606"/>
      <c r="N221" s="2475"/>
      <c r="O221" s="4332"/>
      <c r="P221" s="4333"/>
      <c r="Q221" s="3409"/>
      <c r="R221" s="2476"/>
      <c r="S221" s="4339"/>
      <c r="T221" s="4311"/>
      <c r="U221" s="2476"/>
      <c r="V221" s="4398"/>
      <c r="W221" s="1447" t="s">
        <v>2409</v>
      </c>
      <c r="X221" s="1584">
        <f>7414100+7000000</f>
        <v>14414100</v>
      </c>
      <c r="Y221" s="1648">
        <v>4800000</v>
      </c>
      <c r="Z221" s="1605">
        <v>1205000</v>
      </c>
      <c r="AA221" s="1583" t="s">
        <v>2406</v>
      </c>
      <c r="AB221" s="1480">
        <v>61</v>
      </c>
      <c r="AC221" s="1441" t="s">
        <v>1987</v>
      </c>
      <c r="AD221" s="2267"/>
      <c r="AE221" s="2267"/>
      <c r="AF221" s="2267"/>
      <c r="AG221" s="2267"/>
      <c r="AH221" s="4272"/>
      <c r="AI221" s="2267"/>
      <c r="AJ221" s="2267"/>
      <c r="AK221" s="2267"/>
      <c r="AL221" s="2267"/>
      <c r="AM221" s="2267"/>
      <c r="AN221" s="2267"/>
      <c r="AO221" s="2267"/>
      <c r="AP221" s="2267"/>
      <c r="AQ221" s="2267"/>
      <c r="AR221" s="2267"/>
      <c r="AS221" s="2267"/>
      <c r="AT221" s="2267"/>
      <c r="AU221" s="2267"/>
      <c r="AV221" s="2267"/>
      <c r="AW221" s="2267"/>
      <c r="AX221" s="2267"/>
      <c r="AY221" s="2267"/>
      <c r="AZ221" s="2267"/>
      <c r="BA221" s="2267"/>
      <c r="BB221" s="2267"/>
      <c r="BC221" s="2267"/>
      <c r="BD221" s="2267"/>
      <c r="BE221" s="2267"/>
      <c r="BF221" s="2267"/>
      <c r="BG221" s="2267"/>
      <c r="BH221" s="2267"/>
      <c r="BI221" s="2267"/>
      <c r="BJ221" s="2267"/>
      <c r="BK221" s="2267"/>
      <c r="BL221" s="2267"/>
      <c r="BM221" s="4400"/>
      <c r="BN221" s="2267"/>
      <c r="BO221" s="2267"/>
      <c r="BP221" s="2267"/>
      <c r="BQ221" s="2267"/>
      <c r="BR221" s="2267"/>
      <c r="BS221" s="2267"/>
      <c r="BT221" s="2267"/>
      <c r="BU221" s="2267"/>
    </row>
    <row r="222" spans="1:73" s="3" customFormat="1" ht="108" customHeight="1" x14ac:dyDescent="0.25">
      <c r="A222" s="1473"/>
      <c r="B222" s="1443"/>
      <c r="C222" s="1452"/>
      <c r="D222" s="1443"/>
      <c r="E222" s="1622"/>
      <c r="F222" s="1623"/>
      <c r="G222" s="4313"/>
      <c r="H222" s="4314"/>
      <c r="I222" s="4313"/>
      <c r="J222" s="4314"/>
      <c r="K222" s="3606"/>
      <c r="L222" s="2475"/>
      <c r="M222" s="3606"/>
      <c r="N222" s="2475"/>
      <c r="O222" s="4332"/>
      <c r="P222" s="4333"/>
      <c r="Q222" s="3409"/>
      <c r="R222" s="2476"/>
      <c r="S222" s="4339"/>
      <c r="T222" s="4311"/>
      <c r="U222" s="2476"/>
      <c r="V222" s="4398"/>
      <c r="W222" s="1447" t="s">
        <v>2410</v>
      </c>
      <c r="X222" s="1584">
        <f>7000000+7000000</f>
        <v>14000000</v>
      </c>
      <c r="Y222" s="1648"/>
      <c r="Z222" s="1605"/>
      <c r="AA222" s="1583" t="s">
        <v>2406</v>
      </c>
      <c r="AB222" s="1480">
        <v>61</v>
      </c>
      <c r="AC222" s="1441" t="s">
        <v>1987</v>
      </c>
      <c r="AD222" s="2267"/>
      <c r="AE222" s="2267"/>
      <c r="AF222" s="2267"/>
      <c r="AG222" s="2267"/>
      <c r="AH222" s="4272"/>
      <c r="AI222" s="2267"/>
      <c r="AJ222" s="2267"/>
      <c r="AK222" s="2267"/>
      <c r="AL222" s="2267"/>
      <c r="AM222" s="2267"/>
      <c r="AN222" s="2267"/>
      <c r="AO222" s="2267"/>
      <c r="AP222" s="2267"/>
      <c r="AQ222" s="2267"/>
      <c r="AR222" s="2267"/>
      <c r="AS222" s="2267"/>
      <c r="AT222" s="2267"/>
      <c r="AU222" s="2267"/>
      <c r="AV222" s="2267"/>
      <c r="AW222" s="2267"/>
      <c r="AX222" s="2267"/>
      <c r="AY222" s="2267"/>
      <c r="AZ222" s="2267"/>
      <c r="BA222" s="2267"/>
      <c r="BB222" s="2267"/>
      <c r="BC222" s="2267"/>
      <c r="BD222" s="2267"/>
      <c r="BE222" s="2267"/>
      <c r="BF222" s="2267"/>
      <c r="BG222" s="2267"/>
      <c r="BH222" s="2267"/>
      <c r="BI222" s="2267"/>
      <c r="BJ222" s="2267"/>
      <c r="BK222" s="2267"/>
      <c r="BL222" s="2267"/>
      <c r="BM222" s="4400"/>
      <c r="BN222" s="2267"/>
      <c r="BO222" s="2267"/>
      <c r="BP222" s="2267"/>
      <c r="BQ222" s="2267"/>
      <c r="BR222" s="2267"/>
      <c r="BS222" s="2267"/>
      <c r="BT222" s="2267"/>
      <c r="BU222" s="2267"/>
    </row>
    <row r="223" spans="1:73" s="3" customFormat="1" ht="67.5" customHeight="1" x14ac:dyDescent="0.25">
      <c r="A223" s="1473"/>
      <c r="B223" s="1443"/>
      <c r="C223" s="1452"/>
      <c r="D223" s="1443"/>
      <c r="E223" s="1622"/>
      <c r="F223" s="1623"/>
      <c r="G223" s="4313"/>
      <c r="H223" s="4314"/>
      <c r="I223" s="4313"/>
      <c r="J223" s="4314"/>
      <c r="K223" s="3606"/>
      <c r="L223" s="2475"/>
      <c r="M223" s="3606"/>
      <c r="N223" s="2475"/>
      <c r="O223" s="4326"/>
      <c r="P223" s="4331"/>
      <c r="Q223" s="3601"/>
      <c r="R223" s="2476"/>
      <c r="S223" s="4339"/>
      <c r="T223" s="4311"/>
      <c r="U223" s="2476"/>
      <c r="V223" s="4398"/>
      <c r="W223" s="1447" t="s">
        <v>2411</v>
      </c>
      <c r="X223" s="1584">
        <v>7000000</v>
      </c>
      <c r="Y223" s="1648">
        <v>3340000</v>
      </c>
      <c r="Z223" s="1605">
        <v>3100000</v>
      </c>
      <c r="AA223" s="1583" t="s">
        <v>2406</v>
      </c>
      <c r="AB223" s="1480">
        <v>61</v>
      </c>
      <c r="AC223" s="1441" t="s">
        <v>1987</v>
      </c>
      <c r="AD223" s="2439"/>
      <c r="AE223" s="2439"/>
      <c r="AF223" s="2267"/>
      <c r="AG223" s="2267"/>
      <c r="AH223" s="4272"/>
      <c r="AI223" s="2267"/>
      <c r="AJ223" s="2267"/>
      <c r="AK223" s="2267"/>
      <c r="AL223" s="2267"/>
      <c r="AM223" s="2267"/>
      <c r="AN223" s="2267"/>
      <c r="AO223" s="2267"/>
      <c r="AP223" s="2267"/>
      <c r="AQ223" s="2267"/>
      <c r="AR223" s="2267"/>
      <c r="AS223" s="2267"/>
      <c r="AT223" s="2267"/>
      <c r="AU223" s="2267"/>
      <c r="AV223" s="2267"/>
      <c r="AW223" s="2267"/>
      <c r="AX223" s="2267"/>
      <c r="AY223" s="2267"/>
      <c r="AZ223" s="2267"/>
      <c r="BA223" s="2267"/>
      <c r="BB223" s="2267"/>
      <c r="BC223" s="2267"/>
      <c r="BD223" s="2267"/>
      <c r="BE223" s="2267"/>
      <c r="BF223" s="2267"/>
      <c r="BG223" s="2267"/>
      <c r="BH223" s="2267"/>
      <c r="BI223" s="2267"/>
      <c r="BJ223" s="2267"/>
      <c r="BK223" s="2267"/>
      <c r="BL223" s="2267"/>
      <c r="BM223" s="4400"/>
      <c r="BN223" s="2267"/>
      <c r="BO223" s="2267"/>
      <c r="BP223" s="2267"/>
      <c r="BQ223" s="2267"/>
      <c r="BR223" s="2267"/>
      <c r="BS223" s="2267"/>
      <c r="BT223" s="2267"/>
      <c r="BU223" s="2267"/>
    </row>
    <row r="224" spans="1:73" s="3" customFormat="1" ht="55.5" customHeight="1" x14ac:dyDescent="0.25">
      <c r="A224" s="1473"/>
      <c r="B224" s="1443"/>
      <c r="C224" s="1452"/>
      <c r="D224" s="1443"/>
      <c r="E224" s="1622"/>
      <c r="F224" s="1623"/>
      <c r="G224" s="4313">
        <v>1905015</v>
      </c>
      <c r="H224" s="4314" t="s">
        <v>791</v>
      </c>
      <c r="I224" s="4313">
        <v>1905015</v>
      </c>
      <c r="J224" s="4314" t="s">
        <v>791</v>
      </c>
      <c r="K224" s="3606">
        <v>190501503</v>
      </c>
      <c r="L224" s="2475" t="s">
        <v>2412</v>
      </c>
      <c r="M224" s="3606">
        <v>190501503</v>
      </c>
      <c r="N224" s="2475" t="s">
        <v>2412</v>
      </c>
      <c r="O224" s="4382">
        <v>15</v>
      </c>
      <c r="P224" s="4330">
        <v>1</v>
      </c>
      <c r="Q224" s="3385" t="s">
        <v>2413</v>
      </c>
      <c r="R224" s="2476" t="s">
        <v>2414</v>
      </c>
      <c r="S224" s="4339">
        <f>SUM(X224:X234)/T224</f>
        <v>1</v>
      </c>
      <c r="T224" s="4311">
        <f>SUM(X224:X234)</f>
        <v>320000000</v>
      </c>
      <c r="U224" s="2476" t="s">
        <v>2415</v>
      </c>
      <c r="V224" s="2285" t="s">
        <v>2416</v>
      </c>
      <c r="W224" s="1447" t="s">
        <v>2417</v>
      </c>
      <c r="X224" s="1584">
        <v>20000000</v>
      </c>
      <c r="Y224" s="1058">
        <f>13200000</f>
        <v>13200000</v>
      </c>
      <c r="Z224" s="1605">
        <v>9500000</v>
      </c>
      <c r="AA224" s="1583" t="s">
        <v>2418</v>
      </c>
      <c r="AB224" s="1480">
        <v>61</v>
      </c>
      <c r="AC224" s="1649" t="s">
        <v>1987</v>
      </c>
      <c r="AD224" s="4336">
        <v>292684</v>
      </c>
      <c r="AE224" s="4336"/>
      <c r="AF224" s="4336">
        <v>282326</v>
      </c>
      <c r="AG224" s="4336"/>
      <c r="AH224" s="4337">
        <v>135912</v>
      </c>
      <c r="AI224" s="4336"/>
      <c r="AJ224" s="4336">
        <v>45122</v>
      </c>
      <c r="AK224" s="4336"/>
      <c r="AL224" s="4336">
        <v>0</v>
      </c>
      <c r="AM224" s="4336"/>
      <c r="AN224" s="4336">
        <v>0</v>
      </c>
      <c r="AO224" s="4336"/>
      <c r="AP224" s="4336">
        <v>2145</v>
      </c>
      <c r="AQ224" s="4336"/>
      <c r="AR224" s="4336">
        <v>12718</v>
      </c>
      <c r="AS224" s="4336"/>
      <c r="AT224" s="4336">
        <v>26</v>
      </c>
      <c r="AU224" s="4336"/>
      <c r="AV224" s="4336">
        <v>37</v>
      </c>
      <c r="AW224" s="4336"/>
      <c r="AX224" s="4336">
        <v>0</v>
      </c>
      <c r="AY224" s="4336"/>
      <c r="AZ224" s="4336">
        <v>0</v>
      </c>
      <c r="BA224" s="4336"/>
      <c r="BB224" s="4336">
        <v>53164</v>
      </c>
      <c r="BC224" s="4336"/>
      <c r="BD224" s="4336">
        <v>16982</v>
      </c>
      <c r="BE224" s="4336"/>
      <c r="BF224" s="4336">
        <v>60013</v>
      </c>
      <c r="BG224" s="4336"/>
      <c r="BH224" s="4336">
        <v>575010</v>
      </c>
      <c r="BI224" s="4336"/>
      <c r="BJ224" s="4336">
        <v>17</v>
      </c>
      <c r="BK224" s="4355">
        <f>SUM(Y224:Y234)</f>
        <v>219040000</v>
      </c>
      <c r="BL224" s="4355">
        <f>SUM(Z224:Z234)</f>
        <v>178875000</v>
      </c>
      <c r="BM224" s="4405">
        <f>BL224/BK224</f>
        <v>0.81663166544923305</v>
      </c>
      <c r="BN224" s="4336">
        <v>61</v>
      </c>
      <c r="BO224" s="4336" t="s">
        <v>2056</v>
      </c>
      <c r="BP224" s="4336" t="s">
        <v>2170</v>
      </c>
      <c r="BQ224" s="4353">
        <v>44197</v>
      </c>
      <c r="BR224" s="4353">
        <v>44239</v>
      </c>
      <c r="BS224" s="4353">
        <v>44561</v>
      </c>
      <c r="BT224" s="4353">
        <v>44561</v>
      </c>
      <c r="BU224" s="2438" t="s">
        <v>1991</v>
      </c>
    </row>
    <row r="225" spans="1:73" s="3" customFormat="1" ht="68.25" customHeight="1" x14ac:dyDescent="0.25">
      <c r="A225" s="1473"/>
      <c r="B225" s="1443"/>
      <c r="C225" s="1452"/>
      <c r="D225" s="1443"/>
      <c r="E225" s="1622"/>
      <c r="F225" s="1623"/>
      <c r="G225" s="4313"/>
      <c r="H225" s="4314"/>
      <c r="I225" s="4313"/>
      <c r="J225" s="4314"/>
      <c r="K225" s="3606"/>
      <c r="L225" s="2475"/>
      <c r="M225" s="3606"/>
      <c r="N225" s="2475"/>
      <c r="O225" s="4382"/>
      <c r="P225" s="4333"/>
      <c r="Q225" s="3385"/>
      <c r="R225" s="2476"/>
      <c r="S225" s="4339"/>
      <c r="T225" s="4311"/>
      <c r="U225" s="2476"/>
      <c r="V225" s="2285"/>
      <c r="W225" s="1447" t="s">
        <v>2419</v>
      </c>
      <c r="X225" s="1584">
        <v>50000000</v>
      </c>
      <c r="Y225" s="1058">
        <v>13200000</v>
      </c>
      <c r="Z225" s="1605">
        <v>11500000</v>
      </c>
      <c r="AA225" s="1583" t="s">
        <v>2418</v>
      </c>
      <c r="AB225" s="1480">
        <v>61</v>
      </c>
      <c r="AC225" s="1649" t="s">
        <v>1987</v>
      </c>
      <c r="AD225" s="4315"/>
      <c r="AE225" s="4315"/>
      <c r="AF225" s="4315"/>
      <c r="AG225" s="4315"/>
      <c r="AH225" s="4338"/>
      <c r="AI225" s="4315"/>
      <c r="AJ225" s="4315"/>
      <c r="AK225" s="4315"/>
      <c r="AL225" s="4315"/>
      <c r="AM225" s="4315"/>
      <c r="AN225" s="4315"/>
      <c r="AO225" s="4315"/>
      <c r="AP225" s="4315"/>
      <c r="AQ225" s="4315"/>
      <c r="AR225" s="4315"/>
      <c r="AS225" s="4315"/>
      <c r="AT225" s="4315"/>
      <c r="AU225" s="4315"/>
      <c r="AV225" s="4315"/>
      <c r="AW225" s="4315"/>
      <c r="AX225" s="4315"/>
      <c r="AY225" s="4315"/>
      <c r="AZ225" s="4315"/>
      <c r="BA225" s="4315"/>
      <c r="BB225" s="4315"/>
      <c r="BC225" s="4315"/>
      <c r="BD225" s="4315"/>
      <c r="BE225" s="4315"/>
      <c r="BF225" s="4315"/>
      <c r="BG225" s="4315"/>
      <c r="BH225" s="4315"/>
      <c r="BI225" s="4315"/>
      <c r="BJ225" s="4315"/>
      <c r="BK225" s="4315"/>
      <c r="BL225" s="4315"/>
      <c r="BM225" s="4406"/>
      <c r="BN225" s="4315"/>
      <c r="BO225" s="4315"/>
      <c r="BP225" s="4315"/>
      <c r="BQ225" s="4315"/>
      <c r="BR225" s="4315"/>
      <c r="BS225" s="4315"/>
      <c r="BT225" s="4315"/>
      <c r="BU225" s="2267"/>
    </row>
    <row r="226" spans="1:73" s="3" customFormat="1" ht="54.75" customHeight="1" x14ac:dyDescent="0.25">
      <c r="A226" s="1473"/>
      <c r="B226" s="1443"/>
      <c r="C226" s="1452"/>
      <c r="D226" s="1443"/>
      <c r="E226" s="1622"/>
      <c r="F226" s="1623"/>
      <c r="G226" s="4313"/>
      <c r="H226" s="4314"/>
      <c r="I226" s="4313"/>
      <c r="J226" s="4314"/>
      <c r="K226" s="3606"/>
      <c r="L226" s="2475"/>
      <c r="M226" s="3606"/>
      <c r="N226" s="2475"/>
      <c r="O226" s="4382"/>
      <c r="P226" s="4333"/>
      <c r="Q226" s="3385"/>
      <c r="R226" s="2476"/>
      <c r="S226" s="4339"/>
      <c r="T226" s="4311"/>
      <c r="U226" s="2476"/>
      <c r="V226" s="2285"/>
      <c r="W226" s="2476" t="s">
        <v>2420</v>
      </c>
      <c r="X226" s="4254">
        <v>30000000</v>
      </c>
      <c r="Y226" s="4402">
        <f>8900000+11540000</f>
        <v>20440000</v>
      </c>
      <c r="Z226" s="4403">
        <v>16480000</v>
      </c>
      <c r="AA226" s="1583" t="s">
        <v>2418</v>
      </c>
      <c r="AB226" s="1480">
        <v>61</v>
      </c>
      <c r="AC226" s="1649" t="s">
        <v>1987</v>
      </c>
      <c r="AD226" s="4315"/>
      <c r="AE226" s="4315"/>
      <c r="AF226" s="4315"/>
      <c r="AG226" s="4315"/>
      <c r="AH226" s="4338"/>
      <c r="AI226" s="4315"/>
      <c r="AJ226" s="4315"/>
      <c r="AK226" s="4315"/>
      <c r="AL226" s="4315"/>
      <c r="AM226" s="4315"/>
      <c r="AN226" s="4315"/>
      <c r="AO226" s="4315"/>
      <c r="AP226" s="4315"/>
      <c r="AQ226" s="4315"/>
      <c r="AR226" s="4315"/>
      <c r="AS226" s="4315"/>
      <c r="AT226" s="4315"/>
      <c r="AU226" s="4315"/>
      <c r="AV226" s="4315"/>
      <c r="AW226" s="4315"/>
      <c r="AX226" s="4315"/>
      <c r="AY226" s="4315"/>
      <c r="AZ226" s="4315"/>
      <c r="BA226" s="4315"/>
      <c r="BB226" s="4315"/>
      <c r="BC226" s="4315"/>
      <c r="BD226" s="4315"/>
      <c r="BE226" s="4315"/>
      <c r="BF226" s="4315"/>
      <c r="BG226" s="4315"/>
      <c r="BH226" s="4315"/>
      <c r="BI226" s="4315"/>
      <c r="BJ226" s="4315"/>
      <c r="BK226" s="4315"/>
      <c r="BL226" s="4315"/>
      <c r="BM226" s="4406"/>
      <c r="BN226" s="4315"/>
      <c r="BO226" s="4315"/>
      <c r="BP226" s="4315"/>
      <c r="BQ226" s="4315"/>
      <c r="BR226" s="4315"/>
      <c r="BS226" s="4315"/>
      <c r="BT226" s="4315"/>
      <c r="BU226" s="2267"/>
    </row>
    <row r="227" spans="1:73" s="3" customFormat="1" ht="30.75" customHeight="1" x14ac:dyDescent="0.25">
      <c r="A227" s="1473"/>
      <c r="B227" s="1443"/>
      <c r="C227" s="1452"/>
      <c r="D227" s="1443"/>
      <c r="E227" s="1622"/>
      <c r="F227" s="1623"/>
      <c r="G227" s="4313"/>
      <c r="H227" s="4314"/>
      <c r="I227" s="4313"/>
      <c r="J227" s="4314"/>
      <c r="K227" s="3606"/>
      <c r="L227" s="2475"/>
      <c r="M227" s="3606"/>
      <c r="N227" s="2475"/>
      <c r="O227" s="4382"/>
      <c r="P227" s="4333"/>
      <c r="Q227" s="3385"/>
      <c r="R227" s="2476"/>
      <c r="S227" s="4339"/>
      <c r="T227" s="4311"/>
      <c r="U227" s="2476"/>
      <c r="V227" s="2285"/>
      <c r="W227" s="2476"/>
      <c r="X227" s="4254"/>
      <c r="Y227" s="4026"/>
      <c r="Z227" s="4404"/>
      <c r="AA227" s="1583" t="s">
        <v>2418</v>
      </c>
      <c r="AB227" s="1480">
        <v>61</v>
      </c>
      <c r="AC227" s="1649" t="s">
        <v>1987</v>
      </c>
      <c r="AD227" s="4315"/>
      <c r="AE227" s="4315"/>
      <c r="AF227" s="4315"/>
      <c r="AG227" s="4315"/>
      <c r="AH227" s="4338"/>
      <c r="AI227" s="4315"/>
      <c r="AJ227" s="4315"/>
      <c r="AK227" s="4315"/>
      <c r="AL227" s="4315"/>
      <c r="AM227" s="4315"/>
      <c r="AN227" s="4315"/>
      <c r="AO227" s="4315"/>
      <c r="AP227" s="4315"/>
      <c r="AQ227" s="4315"/>
      <c r="AR227" s="4315"/>
      <c r="AS227" s="4315"/>
      <c r="AT227" s="4315"/>
      <c r="AU227" s="4315"/>
      <c r="AV227" s="4315"/>
      <c r="AW227" s="4315"/>
      <c r="AX227" s="4315"/>
      <c r="AY227" s="4315"/>
      <c r="AZ227" s="4315"/>
      <c r="BA227" s="4315"/>
      <c r="BB227" s="4315"/>
      <c r="BC227" s="4315"/>
      <c r="BD227" s="4315"/>
      <c r="BE227" s="4315"/>
      <c r="BF227" s="4315"/>
      <c r="BG227" s="4315"/>
      <c r="BH227" s="4315"/>
      <c r="BI227" s="4315"/>
      <c r="BJ227" s="4315"/>
      <c r="BK227" s="4315"/>
      <c r="BL227" s="4315"/>
      <c r="BM227" s="4406"/>
      <c r="BN227" s="4315"/>
      <c r="BO227" s="4315"/>
      <c r="BP227" s="4315"/>
      <c r="BQ227" s="4315"/>
      <c r="BR227" s="4315"/>
      <c r="BS227" s="4315"/>
      <c r="BT227" s="4315"/>
      <c r="BU227" s="2267"/>
    </row>
    <row r="228" spans="1:73" s="3" customFormat="1" ht="90.75" customHeight="1" x14ac:dyDescent="0.25">
      <c r="A228" s="1473"/>
      <c r="B228" s="1443"/>
      <c r="C228" s="1452"/>
      <c r="D228" s="1443"/>
      <c r="E228" s="1622"/>
      <c r="F228" s="1623"/>
      <c r="G228" s="4313"/>
      <c r="H228" s="4314"/>
      <c r="I228" s="4313"/>
      <c r="J228" s="4314"/>
      <c r="K228" s="3606"/>
      <c r="L228" s="2475"/>
      <c r="M228" s="3606"/>
      <c r="N228" s="2475"/>
      <c r="O228" s="4382"/>
      <c r="P228" s="4333"/>
      <c r="Q228" s="3385"/>
      <c r="R228" s="2476"/>
      <c r="S228" s="4339"/>
      <c r="T228" s="4311"/>
      <c r="U228" s="2476"/>
      <c r="V228" s="2285"/>
      <c r="W228" s="1447" t="s">
        <v>2421</v>
      </c>
      <c r="X228" s="1584">
        <v>55000000</v>
      </c>
      <c r="Y228" s="1058">
        <v>37940000</v>
      </c>
      <c r="Z228" s="1605">
        <v>32145000</v>
      </c>
      <c r="AA228" s="1583" t="s">
        <v>2418</v>
      </c>
      <c r="AB228" s="1480">
        <v>61</v>
      </c>
      <c r="AC228" s="1649" t="s">
        <v>1987</v>
      </c>
      <c r="AD228" s="4315"/>
      <c r="AE228" s="4315"/>
      <c r="AF228" s="4315"/>
      <c r="AG228" s="4315"/>
      <c r="AH228" s="4338"/>
      <c r="AI228" s="4315"/>
      <c r="AJ228" s="4315"/>
      <c r="AK228" s="4315"/>
      <c r="AL228" s="4315"/>
      <c r="AM228" s="4315"/>
      <c r="AN228" s="4315"/>
      <c r="AO228" s="4315"/>
      <c r="AP228" s="4315"/>
      <c r="AQ228" s="4315"/>
      <c r="AR228" s="4315"/>
      <c r="AS228" s="4315"/>
      <c r="AT228" s="4315"/>
      <c r="AU228" s="4315"/>
      <c r="AV228" s="4315"/>
      <c r="AW228" s="4315"/>
      <c r="AX228" s="4315"/>
      <c r="AY228" s="4315"/>
      <c r="AZ228" s="4315"/>
      <c r="BA228" s="4315"/>
      <c r="BB228" s="4315"/>
      <c r="BC228" s="4315"/>
      <c r="BD228" s="4315"/>
      <c r="BE228" s="4315"/>
      <c r="BF228" s="4315"/>
      <c r="BG228" s="4315"/>
      <c r="BH228" s="4315"/>
      <c r="BI228" s="4315"/>
      <c r="BJ228" s="4315"/>
      <c r="BK228" s="4315"/>
      <c r="BL228" s="4315"/>
      <c r="BM228" s="4406"/>
      <c r="BN228" s="4315"/>
      <c r="BO228" s="4315"/>
      <c r="BP228" s="4315"/>
      <c r="BQ228" s="4315"/>
      <c r="BR228" s="4315"/>
      <c r="BS228" s="4315"/>
      <c r="BT228" s="4315"/>
      <c r="BU228" s="2267"/>
    </row>
    <row r="229" spans="1:73" s="3" customFormat="1" ht="54" customHeight="1" x14ac:dyDescent="0.25">
      <c r="A229" s="1473"/>
      <c r="B229" s="1443"/>
      <c r="C229" s="1452"/>
      <c r="D229" s="1443"/>
      <c r="E229" s="1622"/>
      <c r="F229" s="1623"/>
      <c r="G229" s="4313"/>
      <c r="H229" s="4314"/>
      <c r="I229" s="4313"/>
      <c r="J229" s="4314"/>
      <c r="K229" s="3606"/>
      <c r="L229" s="2475"/>
      <c r="M229" s="3606"/>
      <c r="N229" s="2475"/>
      <c r="O229" s="4382"/>
      <c r="P229" s="4333"/>
      <c r="Q229" s="3385"/>
      <c r="R229" s="2476"/>
      <c r="S229" s="4339"/>
      <c r="T229" s="4311"/>
      <c r="U229" s="2476"/>
      <c r="V229" s="2285"/>
      <c r="W229" s="1447" t="s">
        <v>2422</v>
      </c>
      <c r="X229" s="1584">
        <v>4000000</v>
      </c>
      <c r="Y229" s="1058"/>
      <c r="Z229" s="1605"/>
      <c r="AA229" s="1583" t="s">
        <v>2418</v>
      </c>
      <c r="AB229" s="1480">
        <v>61</v>
      </c>
      <c r="AC229" s="1649" t="s">
        <v>1987</v>
      </c>
      <c r="AD229" s="4315"/>
      <c r="AE229" s="4315"/>
      <c r="AF229" s="4315"/>
      <c r="AG229" s="4315"/>
      <c r="AH229" s="4338"/>
      <c r="AI229" s="4315"/>
      <c r="AJ229" s="4315"/>
      <c r="AK229" s="4315"/>
      <c r="AL229" s="4315"/>
      <c r="AM229" s="4315"/>
      <c r="AN229" s="4315"/>
      <c r="AO229" s="4315"/>
      <c r="AP229" s="4315"/>
      <c r="AQ229" s="4315"/>
      <c r="AR229" s="4315"/>
      <c r="AS229" s="4315"/>
      <c r="AT229" s="4315"/>
      <c r="AU229" s="4315"/>
      <c r="AV229" s="4315"/>
      <c r="AW229" s="4315"/>
      <c r="AX229" s="4315"/>
      <c r="AY229" s="4315"/>
      <c r="AZ229" s="4315"/>
      <c r="BA229" s="4315"/>
      <c r="BB229" s="4315"/>
      <c r="BC229" s="4315"/>
      <c r="BD229" s="4315"/>
      <c r="BE229" s="4315"/>
      <c r="BF229" s="4315"/>
      <c r="BG229" s="4315"/>
      <c r="BH229" s="4315"/>
      <c r="BI229" s="4315"/>
      <c r="BJ229" s="4315"/>
      <c r="BK229" s="4315"/>
      <c r="BL229" s="4315"/>
      <c r="BM229" s="4406"/>
      <c r="BN229" s="4315"/>
      <c r="BO229" s="4315"/>
      <c r="BP229" s="4315"/>
      <c r="BQ229" s="4315"/>
      <c r="BR229" s="4315"/>
      <c r="BS229" s="4315"/>
      <c r="BT229" s="4315"/>
      <c r="BU229" s="2267"/>
    </row>
    <row r="230" spans="1:73" s="3" customFormat="1" ht="65.25" customHeight="1" x14ac:dyDescent="0.25">
      <c r="A230" s="1473"/>
      <c r="B230" s="1443"/>
      <c r="C230" s="1452"/>
      <c r="D230" s="1443"/>
      <c r="E230" s="1622"/>
      <c r="F230" s="1623"/>
      <c r="G230" s="4313"/>
      <c r="H230" s="4314"/>
      <c r="I230" s="4313"/>
      <c r="J230" s="4314"/>
      <c r="K230" s="3606"/>
      <c r="L230" s="2475"/>
      <c r="M230" s="3606"/>
      <c r="N230" s="2475"/>
      <c r="O230" s="4382"/>
      <c r="P230" s="4333"/>
      <c r="Q230" s="3385"/>
      <c r="R230" s="2476"/>
      <c r="S230" s="4339"/>
      <c r="T230" s="4311"/>
      <c r="U230" s="2476"/>
      <c r="V230" s="2285"/>
      <c r="W230" s="1447" t="s">
        <v>2423</v>
      </c>
      <c r="X230" s="1584">
        <v>20000000</v>
      </c>
      <c r="Y230" s="1058">
        <v>13200000</v>
      </c>
      <c r="Z230" s="1605">
        <v>10200000</v>
      </c>
      <c r="AA230" s="1583" t="s">
        <v>2418</v>
      </c>
      <c r="AB230" s="1480">
        <v>61</v>
      </c>
      <c r="AC230" s="1649" t="s">
        <v>1987</v>
      </c>
      <c r="AD230" s="4315"/>
      <c r="AE230" s="4315"/>
      <c r="AF230" s="4315"/>
      <c r="AG230" s="4315"/>
      <c r="AH230" s="4338"/>
      <c r="AI230" s="4315"/>
      <c r="AJ230" s="4315"/>
      <c r="AK230" s="4315"/>
      <c r="AL230" s="4315"/>
      <c r="AM230" s="4315"/>
      <c r="AN230" s="4315"/>
      <c r="AO230" s="4315"/>
      <c r="AP230" s="4315"/>
      <c r="AQ230" s="4315"/>
      <c r="AR230" s="4315"/>
      <c r="AS230" s="4315"/>
      <c r="AT230" s="4315"/>
      <c r="AU230" s="4315"/>
      <c r="AV230" s="4315"/>
      <c r="AW230" s="4315"/>
      <c r="AX230" s="4315"/>
      <c r="AY230" s="4315"/>
      <c r="AZ230" s="4315"/>
      <c r="BA230" s="4315"/>
      <c r="BB230" s="4315"/>
      <c r="BC230" s="4315"/>
      <c r="BD230" s="4315"/>
      <c r="BE230" s="4315"/>
      <c r="BF230" s="4315"/>
      <c r="BG230" s="4315"/>
      <c r="BH230" s="4315"/>
      <c r="BI230" s="4315"/>
      <c r="BJ230" s="4315"/>
      <c r="BK230" s="4315"/>
      <c r="BL230" s="4315"/>
      <c r="BM230" s="4406"/>
      <c r="BN230" s="4315"/>
      <c r="BO230" s="4315"/>
      <c r="BP230" s="4315"/>
      <c r="BQ230" s="4315"/>
      <c r="BR230" s="4315"/>
      <c r="BS230" s="4315"/>
      <c r="BT230" s="4315"/>
      <c r="BU230" s="2267"/>
    </row>
    <row r="231" spans="1:73" s="3" customFormat="1" ht="52.5" customHeight="1" x14ac:dyDescent="0.25">
      <c r="A231" s="1473"/>
      <c r="B231" s="1443"/>
      <c r="C231" s="1452"/>
      <c r="D231" s="1443"/>
      <c r="E231" s="1622"/>
      <c r="F231" s="1623"/>
      <c r="G231" s="4313"/>
      <c r="H231" s="4314"/>
      <c r="I231" s="4313"/>
      <c r="J231" s="4314"/>
      <c r="K231" s="3606"/>
      <c r="L231" s="2475"/>
      <c r="M231" s="3606"/>
      <c r="N231" s="2475"/>
      <c r="O231" s="4382"/>
      <c r="P231" s="4333"/>
      <c r="Q231" s="3385"/>
      <c r="R231" s="2476"/>
      <c r="S231" s="4339"/>
      <c r="T231" s="4311"/>
      <c r="U231" s="2476"/>
      <c r="V231" s="2285"/>
      <c r="W231" s="1447" t="s">
        <v>2424</v>
      </c>
      <c r="X231" s="1584">
        <v>12000000</v>
      </c>
      <c r="Y231" s="1058">
        <v>8900000</v>
      </c>
      <c r="Z231" s="1605">
        <v>7900000</v>
      </c>
      <c r="AA231" s="1583" t="s">
        <v>2418</v>
      </c>
      <c r="AB231" s="1480">
        <v>61</v>
      </c>
      <c r="AC231" s="1649" t="s">
        <v>1987</v>
      </c>
      <c r="AD231" s="4315"/>
      <c r="AE231" s="4315"/>
      <c r="AF231" s="4315"/>
      <c r="AG231" s="4315"/>
      <c r="AH231" s="4338"/>
      <c r="AI231" s="4315"/>
      <c r="AJ231" s="4315"/>
      <c r="AK231" s="4315"/>
      <c r="AL231" s="4315"/>
      <c r="AM231" s="4315"/>
      <c r="AN231" s="4315"/>
      <c r="AO231" s="4315"/>
      <c r="AP231" s="4315"/>
      <c r="AQ231" s="4315"/>
      <c r="AR231" s="4315"/>
      <c r="AS231" s="4315"/>
      <c r="AT231" s="4315"/>
      <c r="AU231" s="4315"/>
      <c r="AV231" s="4315"/>
      <c r="AW231" s="4315"/>
      <c r="AX231" s="4315"/>
      <c r="AY231" s="4315"/>
      <c r="AZ231" s="4315"/>
      <c r="BA231" s="4315"/>
      <c r="BB231" s="4315"/>
      <c r="BC231" s="4315"/>
      <c r="BD231" s="4315"/>
      <c r="BE231" s="4315"/>
      <c r="BF231" s="4315"/>
      <c r="BG231" s="4315"/>
      <c r="BH231" s="4315"/>
      <c r="BI231" s="4315"/>
      <c r="BJ231" s="4315"/>
      <c r="BK231" s="4315"/>
      <c r="BL231" s="4315"/>
      <c r="BM231" s="4406"/>
      <c r="BN231" s="4315"/>
      <c r="BO231" s="4315"/>
      <c r="BP231" s="4315"/>
      <c r="BQ231" s="4315"/>
      <c r="BR231" s="4315"/>
      <c r="BS231" s="4315"/>
      <c r="BT231" s="4315"/>
      <c r="BU231" s="2267"/>
    </row>
    <row r="232" spans="1:73" s="3" customFormat="1" ht="99.75" customHeight="1" x14ac:dyDescent="0.25">
      <c r="A232" s="1473"/>
      <c r="B232" s="1443"/>
      <c r="C232" s="1452"/>
      <c r="D232" s="1443"/>
      <c r="E232" s="1622"/>
      <c r="F232" s="1623"/>
      <c r="G232" s="4313"/>
      <c r="H232" s="4314"/>
      <c r="I232" s="4313"/>
      <c r="J232" s="4314"/>
      <c r="K232" s="3606"/>
      <c r="L232" s="2475"/>
      <c r="M232" s="3606"/>
      <c r="N232" s="2475"/>
      <c r="O232" s="4382"/>
      <c r="P232" s="4333"/>
      <c r="Q232" s="3385"/>
      <c r="R232" s="2476"/>
      <c r="S232" s="4339"/>
      <c r="T232" s="4311"/>
      <c r="U232" s="2476"/>
      <c r="V232" s="2285"/>
      <c r="W232" s="1447" t="s">
        <v>2425</v>
      </c>
      <c r="X232" s="1584">
        <v>40000000</v>
      </c>
      <c r="Y232" s="1058">
        <v>36280000</v>
      </c>
      <c r="Z232" s="1605">
        <v>33650000</v>
      </c>
      <c r="AA232" s="1583" t="s">
        <v>2418</v>
      </c>
      <c r="AB232" s="1480">
        <v>61</v>
      </c>
      <c r="AC232" s="1649" t="s">
        <v>1987</v>
      </c>
      <c r="AD232" s="4315"/>
      <c r="AE232" s="4315"/>
      <c r="AF232" s="4315"/>
      <c r="AG232" s="4315"/>
      <c r="AH232" s="4338"/>
      <c r="AI232" s="4315"/>
      <c r="AJ232" s="4315"/>
      <c r="AK232" s="4315"/>
      <c r="AL232" s="4315"/>
      <c r="AM232" s="4315"/>
      <c r="AN232" s="4315"/>
      <c r="AO232" s="4315"/>
      <c r="AP232" s="4315"/>
      <c r="AQ232" s="4315"/>
      <c r="AR232" s="4315"/>
      <c r="AS232" s="4315"/>
      <c r="AT232" s="4315"/>
      <c r="AU232" s="4315"/>
      <c r="AV232" s="4315"/>
      <c r="AW232" s="4315"/>
      <c r="AX232" s="4315"/>
      <c r="AY232" s="4315"/>
      <c r="AZ232" s="4315"/>
      <c r="BA232" s="4315"/>
      <c r="BB232" s="4315"/>
      <c r="BC232" s="4315"/>
      <c r="BD232" s="4315"/>
      <c r="BE232" s="4315"/>
      <c r="BF232" s="4315"/>
      <c r="BG232" s="4315"/>
      <c r="BH232" s="4315"/>
      <c r="BI232" s="4315"/>
      <c r="BJ232" s="4315"/>
      <c r="BK232" s="4315"/>
      <c r="BL232" s="4315"/>
      <c r="BM232" s="4406"/>
      <c r="BN232" s="4315"/>
      <c r="BO232" s="4315"/>
      <c r="BP232" s="4315"/>
      <c r="BQ232" s="4315"/>
      <c r="BR232" s="4315"/>
      <c r="BS232" s="4315"/>
      <c r="BT232" s="4315"/>
      <c r="BU232" s="2267"/>
    </row>
    <row r="233" spans="1:73" s="3" customFormat="1" ht="56.25" customHeight="1" x14ac:dyDescent="0.25">
      <c r="A233" s="1473"/>
      <c r="B233" s="1443"/>
      <c r="C233" s="1452"/>
      <c r="D233" s="1443"/>
      <c r="E233" s="1622"/>
      <c r="F233" s="1623"/>
      <c r="G233" s="4313"/>
      <c r="H233" s="4314"/>
      <c r="I233" s="4313"/>
      <c r="J233" s="4314"/>
      <c r="K233" s="3606"/>
      <c r="L233" s="2475"/>
      <c r="M233" s="3606"/>
      <c r="N233" s="2475"/>
      <c r="O233" s="4382"/>
      <c r="P233" s="4333"/>
      <c r="Q233" s="3385"/>
      <c r="R233" s="2476"/>
      <c r="S233" s="4339"/>
      <c r="T233" s="4311"/>
      <c r="U233" s="2476"/>
      <c r="V233" s="2285"/>
      <c r="W233" s="1447" t="s">
        <v>2426</v>
      </c>
      <c r="X233" s="1584">
        <v>54000000</v>
      </c>
      <c r="Y233" s="1058">
        <v>51140000</v>
      </c>
      <c r="Z233" s="1605">
        <v>45000000</v>
      </c>
      <c r="AA233" s="1583" t="s">
        <v>2418</v>
      </c>
      <c r="AB233" s="1480">
        <v>61</v>
      </c>
      <c r="AC233" s="1649" t="s">
        <v>1987</v>
      </c>
      <c r="AD233" s="4315"/>
      <c r="AE233" s="4315"/>
      <c r="AF233" s="4315"/>
      <c r="AG233" s="4315"/>
      <c r="AH233" s="4338"/>
      <c r="AI233" s="4315"/>
      <c r="AJ233" s="4315"/>
      <c r="AK233" s="4315"/>
      <c r="AL233" s="4315"/>
      <c r="AM233" s="4315"/>
      <c r="AN233" s="4315"/>
      <c r="AO233" s="4315"/>
      <c r="AP233" s="4315"/>
      <c r="AQ233" s="4315"/>
      <c r="AR233" s="4315"/>
      <c r="AS233" s="4315"/>
      <c r="AT233" s="4315"/>
      <c r="AU233" s="4315"/>
      <c r="AV233" s="4315"/>
      <c r="AW233" s="4315"/>
      <c r="AX233" s="4315"/>
      <c r="AY233" s="4315"/>
      <c r="AZ233" s="4315"/>
      <c r="BA233" s="4315"/>
      <c r="BB233" s="4315"/>
      <c r="BC233" s="4315"/>
      <c r="BD233" s="4315"/>
      <c r="BE233" s="4315"/>
      <c r="BF233" s="4315"/>
      <c r="BG233" s="4315"/>
      <c r="BH233" s="4315"/>
      <c r="BI233" s="4315"/>
      <c r="BJ233" s="4315"/>
      <c r="BK233" s="4315"/>
      <c r="BL233" s="4315"/>
      <c r="BM233" s="4406"/>
      <c r="BN233" s="4315"/>
      <c r="BO233" s="4315"/>
      <c r="BP233" s="4315"/>
      <c r="BQ233" s="4315"/>
      <c r="BR233" s="4315"/>
      <c r="BS233" s="4315"/>
      <c r="BT233" s="4315"/>
      <c r="BU233" s="2267"/>
    </row>
    <row r="234" spans="1:73" s="3" customFormat="1" ht="45" customHeight="1" x14ac:dyDescent="0.25">
      <c r="A234" s="1473"/>
      <c r="B234" s="1443"/>
      <c r="C234" s="1452"/>
      <c r="D234" s="1443"/>
      <c r="E234" s="1622"/>
      <c r="F234" s="1623"/>
      <c r="G234" s="4313"/>
      <c r="H234" s="4314"/>
      <c r="I234" s="4313"/>
      <c r="J234" s="4314"/>
      <c r="K234" s="3606"/>
      <c r="L234" s="2475"/>
      <c r="M234" s="3606"/>
      <c r="N234" s="2475"/>
      <c r="O234" s="4382"/>
      <c r="P234" s="4331"/>
      <c r="Q234" s="3385"/>
      <c r="R234" s="2476"/>
      <c r="S234" s="4339"/>
      <c r="T234" s="4311"/>
      <c r="U234" s="2476"/>
      <c r="V234" s="2285"/>
      <c r="W234" s="1447" t="s">
        <v>2427</v>
      </c>
      <c r="X234" s="1584">
        <v>35000000</v>
      </c>
      <c r="Y234" s="1584">
        <v>24740000</v>
      </c>
      <c r="Z234" s="1605">
        <v>12500000</v>
      </c>
      <c r="AA234" s="1583" t="s">
        <v>2418</v>
      </c>
      <c r="AB234" s="1480">
        <v>61</v>
      </c>
      <c r="AC234" s="1649" t="s">
        <v>1987</v>
      </c>
      <c r="AD234" s="4316"/>
      <c r="AE234" s="4316"/>
      <c r="AF234" s="4316"/>
      <c r="AG234" s="4316"/>
      <c r="AH234" s="4401"/>
      <c r="AI234" s="4316"/>
      <c r="AJ234" s="4316"/>
      <c r="AK234" s="4316"/>
      <c r="AL234" s="4316"/>
      <c r="AM234" s="4316"/>
      <c r="AN234" s="4316"/>
      <c r="AO234" s="4316"/>
      <c r="AP234" s="4316"/>
      <c r="AQ234" s="4316"/>
      <c r="AR234" s="4316"/>
      <c r="AS234" s="4316"/>
      <c r="AT234" s="4316"/>
      <c r="AU234" s="4316"/>
      <c r="AV234" s="4316"/>
      <c r="AW234" s="4316"/>
      <c r="AX234" s="4316"/>
      <c r="AY234" s="4316"/>
      <c r="AZ234" s="4316"/>
      <c r="BA234" s="4316"/>
      <c r="BB234" s="4316"/>
      <c r="BC234" s="4316"/>
      <c r="BD234" s="4316"/>
      <c r="BE234" s="4316"/>
      <c r="BF234" s="4316"/>
      <c r="BG234" s="4316"/>
      <c r="BH234" s="4316"/>
      <c r="BI234" s="4316"/>
      <c r="BJ234" s="4316"/>
      <c r="BK234" s="4316"/>
      <c r="BL234" s="4316"/>
      <c r="BM234" s="4407"/>
      <c r="BN234" s="4316"/>
      <c r="BO234" s="4316"/>
      <c r="BP234" s="4316"/>
      <c r="BQ234" s="4316"/>
      <c r="BR234" s="4316"/>
      <c r="BS234" s="4316"/>
      <c r="BT234" s="4316"/>
      <c r="BU234" s="2439"/>
    </row>
    <row r="235" spans="1:73" s="3" customFormat="1" ht="78.75" customHeight="1" x14ac:dyDescent="0.25">
      <c r="A235" s="1473"/>
      <c r="B235" s="1443"/>
      <c r="C235" s="1452"/>
      <c r="D235" s="1443"/>
      <c r="E235" s="1622"/>
      <c r="F235" s="1623"/>
      <c r="G235" s="4313" t="s">
        <v>1156</v>
      </c>
      <c r="H235" s="4314" t="s">
        <v>2428</v>
      </c>
      <c r="I235" s="4313" t="s">
        <v>2429</v>
      </c>
      <c r="J235" s="4314" t="s">
        <v>2430</v>
      </c>
      <c r="K235" s="3606" t="s">
        <v>1156</v>
      </c>
      <c r="L235" s="2475" t="s">
        <v>2431</v>
      </c>
      <c r="M235" s="3606" t="s">
        <v>2432</v>
      </c>
      <c r="N235" s="2475" t="s">
        <v>2433</v>
      </c>
      <c r="O235" s="2664">
        <v>1</v>
      </c>
      <c r="P235" s="3468">
        <v>1</v>
      </c>
      <c r="Q235" s="3385" t="s">
        <v>2434</v>
      </c>
      <c r="R235" s="2476" t="s">
        <v>2435</v>
      </c>
      <c r="S235" s="4339">
        <f>SUM(X235:X241)/T235</f>
        <v>1</v>
      </c>
      <c r="T235" s="4311">
        <f>SUM(X235:X241)</f>
        <v>321904376</v>
      </c>
      <c r="U235" s="2476" t="s">
        <v>2436</v>
      </c>
      <c r="V235" s="2285" t="s">
        <v>2437</v>
      </c>
      <c r="W235" s="2701" t="s">
        <v>2438</v>
      </c>
      <c r="X235" s="1584">
        <v>100000000</v>
      </c>
      <c r="Y235" s="1584">
        <v>50000000</v>
      </c>
      <c r="Z235" s="1605">
        <v>31770000</v>
      </c>
      <c r="AA235" s="1583" t="s">
        <v>2439</v>
      </c>
      <c r="AB235" s="1650">
        <v>20</v>
      </c>
      <c r="AC235" s="1442" t="s">
        <v>86</v>
      </c>
      <c r="AD235" s="2438">
        <v>292684</v>
      </c>
      <c r="AE235" s="2438"/>
      <c r="AF235" s="4297">
        <v>282326</v>
      </c>
      <c r="AG235" s="2438"/>
      <c r="AH235" s="4301">
        <v>135912</v>
      </c>
      <c r="AI235" s="2438"/>
      <c r="AJ235" s="4297">
        <v>45122</v>
      </c>
      <c r="AK235" s="2438"/>
      <c r="AL235" s="4297">
        <v>365607</v>
      </c>
      <c r="AM235" s="2438"/>
      <c r="AN235" s="4297">
        <v>86875</v>
      </c>
      <c r="AO235" s="2438"/>
      <c r="AP235" s="4297">
        <v>2145</v>
      </c>
      <c r="AQ235" s="2438"/>
      <c r="AR235" s="4297">
        <v>12718</v>
      </c>
      <c r="AS235" s="2438"/>
      <c r="AT235" s="4297">
        <v>26</v>
      </c>
      <c r="AU235" s="2438"/>
      <c r="AV235" s="4297">
        <v>37</v>
      </c>
      <c r="AW235" s="2438"/>
      <c r="AX235" s="4297">
        <v>0</v>
      </c>
      <c r="AY235" s="2438"/>
      <c r="AZ235" s="4297">
        <v>0</v>
      </c>
      <c r="BA235" s="2438"/>
      <c r="BB235" s="4297">
        <v>53164</v>
      </c>
      <c r="BC235" s="2438"/>
      <c r="BD235" s="4297">
        <v>16982</v>
      </c>
      <c r="BE235" s="2438"/>
      <c r="BF235" s="4297">
        <v>60013</v>
      </c>
      <c r="BG235" s="2438"/>
      <c r="BH235" s="4297">
        <v>575010</v>
      </c>
      <c r="BI235" s="2438"/>
      <c r="BJ235" s="2438">
        <v>10</v>
      </c>
      <c r="BK235" s="4287">
        <f>SUM(Y235:Y241)</f>
        <v>183324376</v>
      </c>
      <c r="BL235" s="4287">
        <f>SUM(Z235:Z241)</f>
        <v>118254376</v>
      </c>
      <c r="BM235" s="4277">
        <f>BL235/BK235</f>
        <v>0.64505538532420803</v>
      </c>
      <c r="BN235" s="2438" t="s">
        <v>2440</v>
      </c>
      <c r="BO235" s="2438" t="s">
        <v>2386</v>
      </c>
      <c r="BP235" s="2438" t="s">
        <v>2116</v>
      </c>
      <c r="BQ235" s="4299">
        <v>44197</v>
      </c>
      <c r="BR235" s="4299">
        <v>44239</v>
      </c>
      <c r="BS235" s="4299">
        <v>44561</v>
      </c>
      <c r="BT235" s="4299">
        <v>44561</v>
      </c>
      <c r="BU235" s="4297" t="s">
        <v>1991</v>
      </c>
    </row>
    <row r="236" spans="1:73" s="3" customFormat="1" ht="78.75" customHeight="1" x14ac:dyDescent="0.25">
      <c r="A236" s="1473"/>
      <c r="B236" s="1443"/>
      <c r="C236" s="1452"/>
      <c r="D236" s="1443"/>
      <c r="E236" s="1622"/>
      <c r="F236" s="1623"/>
      <c r="G236" s="4313"/>
      <c r="H236" s="4314"/>
      <c r="I236" s="4313"/>
      <c r="J236" s="4314"/>
      <c r="K236" s="3606"/>
      <c r="L236" s="2475"/>
      <c r="M236" s="3606"/>
      <c r="N236" s="2475"/>
      <c r="O236" s="2664"/>
      <c r="P236" s="3469"/>
      <c r="Q236" s="3385"/>
      <c r="R236" s="2476"/>
      <c r="S236" s="4339"/>
      <c r="T236" s="4311"/>
      <c r="U236" s="2476"/>
      <c r="V236" s="2285"/>
      <c r="W236" s="2703"/>
      <c r="X236" s="1584">
        <v>21904376</v>
      </c>
      <c r="Y236" s="1584">
        <v>21904376</v>
      </c>
      <c r="Z236" s="1605">
        <v>16604376</v>
      </c>
      <c r="AA236" s="1583" t="s">
        <v>2441</v>
      </c>
      <c r="AB236" s="1650">
        <v>88</v>
      </c>
      <c r="AC236" s="1442" t="s">
        <v>1919</v>
      </c>
      <c r="AD236" s="2267"/>
      <c r="AE236" s="2267"/>
      <c r="AF236" s="4298"/>
      <c r="AG236" s="2267"/>
      <c r="AH236" s="4302"/>
      <c r="AI236" s="2267"/>
      <c r="AJ236" s="4298"/>
      <c r="AK236" s="2267"/>
      <c r="AL236" s="4298"/>
      <c r="AM236" s="2267"/>
      <c r="AN236" s="4298"/>
      <c r="AO236" s="2267"/>
      <c r="AP236" s="4298"/>
      <c r="AQ236" s="2267"/>
      <c r="AR236" s="4298"/>
      <c r="AS236" s="2267"/>
      <c r="AT236" s="4298"/>
      <c r="AU236" s="2267"/>
      <c r="AV236" s="4298"/>
      <c r="AW236" s="2267"/>
      <c r="AX236" s="4298"/>
      <c r="AY236" s="2267"/>
      <c r="AZ236" s="4298"/>
      <c r="BA236" s="2267"/>
      <c r="BB236" s="4298"/>
      <c r="BC236" s="2267"/>
      <c r="BD236" s="4298"/>
      <c r="BE236" s="2267"/>
      <c r="BF236" s="4298"/>
      <c r="BG236" s="2267"/>
      <c r="BH236" s="4298"/>
      <c r="BI236" s="2267"/>
      <c r="BJ236" s="2267"/>
      <c r="BK236" s="2267"/>
      <c r="BL236" s="2267"/>
      <c r="BM236" s="4278"/>
      <c r="BN236" s="2267"/>
      <c r="BO236" s="2267"/>
      <c r="BP236" s="2267"/>
      <c r="BQ236" s="4300"/>
      <c r="BR236" s="4300"/>
      <c r="BS236" s="4300"/>
      <c r="BT236" s="4300"/>
      <c r="BU236" s="4298"/>
    </row>
    <row r="237" spans="1:73" s="3" customFormat="1" ht="77.25" customHeight="1" x14ac:dyDescent="0.25">
      <c r="A237" s="1473"/>
      <c r="B237" s="1443"/>
      <c r="C237" s="1452"/>
      <c r="D237" s="1443"/>
      <c r="E237" s="1622"/>
      <c r="F237" s="1623"/>
      <c r="G237" s="4313"/>
      <c r="H237" s="4314"/>
      <c r="I237" s="4313"/>
      <c r="J237" s="4314"/>
      <c r="K237" s="3606"/>
      <c r="L237" s="2475"/>
      <c r="M237" s="3606"/>
      <c r="N237" s="2475"/>
      <c r="O237" s="2664"/>
      <c r="P237" s="3469"/>
      <c r="Q237" s="3385"/>
      <c r="R237" s="2476"/>
      <c r="S237" s="4339"/>
      <c r="T237" s="4311"/>
      <c r="U237" s="2476"/>
      <c r="V237" s="2285"/>
      <c r="W237" s="1447" t="s">
        <v>2442</v>
      </c>
      <c r="X237" s="1584">
        <v>0</v>
      </c>
      <c r="Y237" s="1638"/>
      <c r="Z237" s="1605"/>
      <c r="AA237" s="1583" t="s">
        <v>2439</v>
      </c>
      <c r="AB237" s="1650">
        <v>20</v>
      </c>
      <c r="AC237" s="1442" t="s">
        <v>86</v>
      </c>
      <c r="AD237" s="2267"/>
      <c r="AE237" s="2267"/>
      <c r="AF237" s="4298"/>
      <c r="AG237" s="2267"/>
      <c r="AH237" s="4302"/>
      <c r="AI237" s="2267"/>
      <c r="AJ237" s="4298"/>
      <c r="AK237" s="2267"/>
      <c r="AL237" s="4298"/>
      <c r="AM237" s="2267"/>
      <c r="AN237" s="4298"/>
      <c r="AO237" s="2267"/>
      <c r="AP237" s="4298"/>
      <c r="AQ237" s="2267"/>
      <c r="AR237" s="4298"/>
      <c r="AS237" s="2267"/>
      <c r="AT237" s="4298"/>
      <c r="AU237" s="2267"/>
      <c r="AV237" s="4298"/>
      <c r="AW237" s="2267"/>
      <c r="AX237" s="4298"/>
      <c r="AY237" s="2267"/>
      <c r="AZ237" s="4298"/>
      <c r="BA237" s="2267"/>
      <c r="BB237" s="4298"/>
      <c r="BC237" s="2267"/>
      <c r="BD237" s="4298"/>
      <c r="BE237" s="2267"/>
      <c r="BF237" s="4298"/>
      <c r="BG237" s="2267"/>
      <c r="BH237" s="4298"/>
      <c r="BI237" s="2267"/>
      <c r="BJ237" s="2267"/>
      <c r="BK237" s="2267"/>
      <c r="BL237" s="2267"/>
      <c r="BM237" s="4278"/>
      <c r="BN237" s="2267"/>
      <c r="BO237" s="2267"/>
      <c r="BP237" s="2267"/>
      <c r="BQ237" s="4298"/>
      <c r="BR237" s="4298"/>
      <c r="BS237" s="4298"/>
      <c r="BT237" s="4298"/>
      <c r="BU237" s="4298"/>
    </row>
    <row r="238" spans="1:73" s="3" customFormat="1" ht="90" customHeight="1" x14ac:dyDescent="0.25">
      <c r="A238" s="1473"/>
      <c r="B238" s="1443"/>
      <c r="C238" s="1452"/>
      <c r="D238" s="1443"/>
      <c r="E238" s="1622"/>
      <c r="F238" s="1623"/>
      <c r="G238" s="4313"/>
      <c r="H238" s="4314"/>
      <c r="I238" s="4313"/>
      <c r="J238" s="4314"/>
      <c r="K238" s="3606"/>
      <c r="L238" s="2475"/>
      <c r="M238" s="3606"/>
      <c r="N238" s="2475"/>
      <c r="O238" s="2664"/>
      <c r="P238" s="3469"/>
      <c r="Q238" s="3385"/>
      <c r="R238" s="2476"/>
      <c r="S238" s="4339"/>
      <c r="T238" s="4311"/>
      <c r="U238" s="2476"/>
      <c r="V238" s="2285"/>
      <c r="W238" s="1447" t="s">
        <v>2443</v>
      </c>
      <c r="X238" s="1584">
        <v>50000000</v>
      </c>
      <c r="Y238" s="1638">
        <v>11540000</v>
      </c>
      <c r="Z238" s="1605">
        <v>6900000</v>
      </c>
      <c r="AA238" s="1583" t="s">
        <v>2439</v>
      </c>
      <c r="AB238" s="1650">
        <v>20</v>
      </c>
      <c r="AC238" s="1442" t="s">
        <v>86</v>
      </c>
      <c r="AD238" s="2267"/>
      <c r="AE238" s="2267"/>
      <c r="AF238" s="4298"/>
      <c r="AG238" s="2267"/>
      <c r="AH238" s="4302"/>
      <c r="AI238" s="2267"/>
      <c r="AJ238" s="4298"/>
      <c r="AK238" s="2267"/>
      <c r="AL238" s="4298"/>
      <c r="AM238" s="2267"/>
      <c r="AN238" s="4298"/>
      <c r="AO238" s="2267"/>
      <c r="AP238" s="4298"/>
      <c r="AQ238" s="2267"/>
      <c r="AR238" s="4298"/>
      <c r="AS238" s="2267"/>
      <c r="AT238" s="4298"/>
      <c r="AU238" s="2267"/>
      <c r="AV238" s="4298"/>
      <c r="AW238" s="2267"/>
      <c r="AX238" s="4298"/>
      <c r="AY238" s="2267"/>
      <c r="AZ238" s="4298"/>
      <c r="BA238" s="2267"/>
      <c r="BB238" s="4298"/>
      <c r="BC238" s="2267"/>
      <c r="BD238" s="4298"/>
      <c r="BE238" s="2267"/>
      <c r="BF238" s="4298"/>
      <c r="BG238" s="2267"/>
      <c r="BH238" s="4298"/>
      <c r="BI238" s="2267"/>
      <c r="BJ238" s="2267"/>
      <c r="BK238" s="2267"/>
      <c r="BL238" s="2267"/>
      <c r="BM238" s="4278"/>
      <c r="BN238" s="2267"/>
      <c r="BO238" s="2267"/>
      <c r="BP238" s="2267"/>
      <c r="BQ238" s="4298"/>
      <c r="BR238" s="4298"/>
      <c r="BS238" s="4298"/>
      <c r="BT238" s="4298"/>
      <c r="BU238" s="4298"/>
    </row>
    <row r="239" spans="1:73" s="3" customFormat="1" ht="65.25" customHeight="1" x14ac:dyDescent="0.25">
      <c r="A239" s="1473"/>
      <c r="B239" s="1443"/>
      <c r="C239" s="1452"/>
      <c r="D239" s="1443"/>
      <c r="E239" s="1622"/>
      <c r="F239" s="1623"/>
      <c r="G239" s="4313"/>
      <c r="H239" s="4314"/>
      <c r="I239" s="4313"/>
      <c r="J239" s="4314"/>
      <c r="K239" s="3606"/>
      <c r="L239" s="2475"/>
      <c r="M239" s="3606"/>
      <c r="N239" s="2475"/>
      <c r="O239" s="2664"/>
      <c r="P239" s="3469"/>
      <c r="Q239" s="3385"/>
      <c r="R239" s="2476"/>
      <c r="S239" s="4339"/>
      <c r="T239" s="4311"/>
      <c r="U239" s="2476"/>
      <c r="V239" s="2285"/>
      <c r="W239" s="1447" t="s">
        <v>2444</v>
      </c>
      <c r="X239" s="1584">
        <v>100000000</v>
      </c>
      <c r="Y239" s="1638">
        <f>20800000+11540000+8000000+8000000+1660000</f>
        <v>50000000</v>
      </c>
      <c r="Z239" s="1605">
        <v>31000000</v>
      </c>
      <c r="AA239" s="1583" t="s">
        <v>2439</v>
      </c>
      <c r="AB239" s="1650">
        <v>20</v>
      </c>
      <c r="AC239" s="1442" t="s">
        <v>86</v>
      </c>
      <c r="AD239" s="2267"/>
      <c r="AE239" s="2267"/>
      <c r="AF239" s="4298"/>
      <c r="AG239" s="2267"/>
      <c r="AH239" s="4302"/>
      <c r="AI239" s="2267"/>
      <c r="AJ239" s="4298"/>
      <c r="AK239" s="2267"/>
      <c r="AL239" s="4298"/>
      <c r="AM239" s="2267"/>
      <c r="AN239" s="4298"/>
      <c r="AO239" s="2267"/>
      <c r="AP239" s="4298"/>
      <c r="AQ239" s="2267"/>
      <c r="AR239" s="4298"/>
      <c r="AS239" s="2267"/>
      <c r="AT239" s="4298"/>
      <c r="AU239" s="2267"/>
      <c r="AV239" s="4298"/>
      <c r="AW239" s="2267"/>
      <c r="AX239" s="4298"/>
      <c r="AY239" s="2267"/>
      <c r="AZ239" s="4298"/>
      <c r="BA239" s="2267"/>
      <c r="BB239" s="4298"/>
      <c r="BC239" s="2267"/>
      <c r="BD239" s="4298"/>
      <c r="BE239" s="2267"/>
      <c r="BF239" s="4298"/>
      <c r="BG239" s="2267"/>
      <c r="BH239" s="4298"/>
      <c r="BI239" s="2267"/>
      <c r="BJ239" s="2267"/>
      <c r="BK239" s="2267"/>
      <c r="BL239" s="2267"/>
      <c r="BM239" s="4278"/>
      <c r="BN239" s="2267"/>
      <c r="BO239" s="2267"/>
      <c r="BP239" s="2267"/>
      <c r="BQ239" s="4298"/>
      <c r="BR239" s="4298"/>
      <c r="BS239" s="4298"/>
      <c r="BT239" s="4298"/>
      <c r="BU239" s="4298"/>
    </row>
    <row r="240" spans="1:73" s="3" customFormat="1" ht="107.25" customHeight="1" x14ac:dyDescent="0.25">
      <c r="A240" s="1473"/>
      <c r="B240" s="1443"/>
      <c r="C240" s="1452"/>
      <c r="D240" s="1443"/>
      <c r="E240" s="1622"/>
      <c r="F240" s="1623"/>
      <c r="G240" s="4313"/>
      <c r="H240" s="4314"/>
      <c r="I240" s="4313"/>
      <c r="J240" s="4314"/>
      <c r="K240" s="3606"/>
      <c r="L240" s="2475"/>
      <c r="M240" s="3606"/>
      <c r="N240" s="2475"/>
      <c r="O240" s="2664"/>
      <c r="P240" s="3469"/>
      <c r="Q240" s="3385"/>
      <c r="R240" s="2476"/>
      <c r="S240" s="4339"/>
      <c r="T240" s="4311"/>
      <c r="U240" s="2476"/>
      <c r="V240" s="2285"/>
      <c r="W240" s="1447" t="s">
        <v>2445</v>
      </c>
      <c r="X240" s="1584">
        <v>0</v>
      </c>
      <c r="Y240" s="1638"/>
      <c r="Z240" s="1605"/>
      <c r="AA240" s="1583" t="s">
        <v>2439</v>
      </c>
      <c r="AB240" s="1650">
        <v>20</v>
      </c>
      <c r="AC240" s="1442" t="s">
        <v>86</v>
      </c>
      <c r="AD240" s="2267"/>
      <c r="AE240" s="2267"/>
      <c r="AF240" s="4298"/>
      <c r="AG240" s="2267"/>
      <c r="AH240" s="4302"/>
      <c r="AI240" s="2267"/>
      <c r="AJ240" s="4298"/>
      <c r="AK240" s="2267"/>
      <c r="AL240" s="4298"/>
      <c r="AM240" s="2267"/>
      <c r="AN240" s="4298"/>
      <c r="AO240" s="2267"/>
      <c r="AP240" s="4298"/>
      <c r="AQ240" s="2267"/>
      <c r="AR240" s="4298"/>
      <c r="AS240" s="2267"/>
      <c r="AT240" s="4298"/>
      <c r="AU240" s="2267"/>
      <c r="AV240" s="4298"/>
      <c r="AW240" s="2267"/>
      <c r="AX240" s="4298"/>
      <c r="AY240" s="2267"/>
      <c r="AZ240" s="4298"/>
      <c r="BA240" s="2267"/>
      <c r="BB240" s="4298"/>
      <c r="BC240" s="2267"/>
      <c r="BD240" s="4298"/>
      <c r="BE240" s="2267"/>
      <c r="BF240" s="4298"/>
      <c r="BG240" s="2267"/>
      <c r="BH240" s="4298"/>
      <c r="BI240" s="2267"/>
      <c r="BJ240" s="2267"/>
      <c r="BK240" s="2267"/>
      <c r="BL240" s="2267"/>
      <c r="BM240" s="4278"/>
      <c r="BN240" s="2267"/>
      <c r="BO240" s="2267"/>
      <c r="BP240" s="2267"/>
      <c r="BQ240" s="4298"/>
      <c r="BR240" s="4298"/>
      <c r="BS240" s="4298"/>
      <c r="BT240" s="4298"/>
      <c r="BU240" s="4298"/>
    </row>
    <row r="241" spans="1:73" s="3" customFormat="1" ht="69" customHeight="1" x14ac:dyDescent="0.25">
      <c r="A241" s="1473"/>
      <c r="B241" s="1443"/>
      <c r="C241" s="1452"/>
      <c r="D241" s="1443"/>
      <c r="E241" s="1622"/>
      <c r="F241" s="1623"/>
      <c r="G241" s="4313"/>
      <c r="H241" s="4314"/>
      <c r="I241" s="4313"/>
      <c r="J241" s="4314"/>
      <c r="K241" s="3606"/>
      <c r="L241" s="2475"/>
      <c r="M241" s="3606"/>
      <c r="N241" s="2475"/>
      <c r="O241" s="2664"/>
      <c r="P241" s="3470"/>
      <c r="Q241" s="3385"/>
      <c r="R241" s="2476"/>
      <c r="S241" s="4339"/>
      <c r="T241" s="4311"/>
      <c r="U241" s="2476"/>
      <c r="V241" s="2285"/>
      <c r="W241" s="1651" t="s">
        <v>2446</v>
      </c>
      <c r="X241" s="1584">
        <v>50000000</v>
      </c>
      <c r="Y241" s="1652">
        <v>49880000</v>
      </c>
      <c r="Z241" s="1605">
        <v>31980000</v>
      </c>
      <c r="AA241" s="1583" t="s">
        <v>2439</v>
      </c>
      <c r="AB241" s="1650">
        <v>20</v>
      </c>
      <c r="AC241" s="1441" t="s">
        <v>86</v>
      </c>
      <c r="AD241" s="2439"/>
      <c r="AE241" s="2439"/>
      <c r="AF241" s="4298"/>
      <c r="AG241" s="2439"/>
      <c r="AH241" s="4302"/>
      <c r="AI241" s="2439"/>
      <c r="AJ241" s="4298"/>
      <c r="AK241" s="2439"/>
      <c r="AL241" s="4298"/>
      <c r="AM241" s="2439"/>
      <c r="AN241" s="4298"/>
      <c r="AO241" s="2439"/>
      <c r="AP241" s="4298"/>
      <c r="AQ241" s="2439"/>
      <c r="AR241" s="4298"/>
      <c r="AS241" s="2439"/>
      <c r="AT241" s="4298"/>
      <c r="AU241" s="2439"/>
      <c r="AV241" s="4298"/>
      <c r="AW241" s="2439"/>
      <c r="AX241" s="4298"/>
      <c r="AY241" s="2439"/>
      <c r="AZ241" s="4298"/>
      <c r="BA241" s="2439"/>
      <c r="BB241" s="4298"/>
      <c r="BC241" s="2439"/>
      <c r="BD241" s="4298"/>
      <c r="BE241" s="2439"/>
      <c r="BF241" s="4298"/>
      <c r="BG241" s="2439"/>
      <c r="BH241" s="4298"/>
      <c r="BI241" s="2439"/>
      <c r="BJ241" s="2439"/>
      <c r="BK241" s="2439"/>
      <c r="BL241" s="2439"/>
      <c r="BM241" s="4279"/>
      <c r="BN241" s="2439"/>
      <c r="BO241" s="2439"/>
      <c r="BP241" s="2439"/>
      <c r="BQ241" s="4298"/>
      <c r="BR241" s="4298"/>
      <c r="BS241" s="4298"/>
      <c r="BT241" s="4298"/>
      <c r="BU241" s="4298"/>
    </row>
    <row r="242" spans="1:73" s="3" customFormat="1" ht="42.75" customHeight="1" x14ac:dyDescent="0.25">
      <c r="A242" s="1473"/>
      <c r="B242" s="1443"/>
      <c r="C242" s="1452"/>
      <c r="D242" s="1443"/>
      <c r="E242" s="1622"/>
      <c r="F242" s="1623"/>
      <c r="G242" s="4313">
        <v>1905031</v>
      </c>
      <c r="H242" s="4314" t="s">
        <v>2174</v>
      </c>
      <c r="I242" s="4313">
        <v>1905031</v>
      </c>
      <c r="J242" s="4314" t="s">
        <v>2174</v>
      </c>
      <c r="K242" s="3606">
        <v>190503100</v>
      </c>
      <c r="L242" s="2475" t="s">
        <v>2175</v>
      </c>
      <c r="M242" s="3606">
        <v>190503100</v>
      </c>
      <c r="N242" s="2475" t="s">
        <v>2175</v>
      </c>
      <c r="O242" s="4382">
        <v>12</v>
      </c>
      <c r="P242" s="4330">
        <v>11</v>
      </c>
      <c r="Q242" s="3385" t="s">
        <v>2447</v>
      </c>
      <c r="R242" s="2476" t="s">
        <v>2448</v>
      </c>
      <c r="S242" s="4339">
        <f>SUM(X242:X252)/T242</f>
        <v>1</v>
      </c>
      <c r="T242" s="4311">
        <f>SUM(X242:X252)</f>
        <v>1760866325.49</v>
      </c>
      <c r="U242" s="2701" t="s">
        <v>2449</v>
      </c>
      <c r="V242" s="2285" t="s">
        <v>2450</v>
      </c>
      <c r="W242" s="2701" t="s">
        <v>2451</v>
      </c>
      <c r="X242" s="1653">
        <f>265850000+245000000</f>
        <v>510850000</v>
      </c>
      <c r="Y242" s="1652">
        <v>498948900</v>
      </c>
      <c r="Z242" s="1654">
        <v>66385000</v>
      </c>
      <c r="AA242" s="1583" t="s">
        <v>2452</v>
      </c>
      <c r="AB242" s="1480">
        <v>61</v>
      </c>
      <c r="AC242" s="1442" t="s">
        <v>1987</v>
      </c>
      <c r="AD242" s="2438">
        <v>289394</v>
      </c>
      <c r="AE242" s="2438"/>
      <c r="AF242" s="4297">
        <v>279112</v>
      </c>
      <c r="AG242" s="2438"/>
      <c r="AH242" s="4301">
        <v>63164</v>
      </c>
      <c r="AI242" s="2438"/>
      <c r="AJ242" s="4297">
        <v>45607</v>
      </c>
      <c r="AK242" s="2438"/>
      <c r="AL242" s="4297">
        <v>365607</v>
      </c>
      <c r="AM242" s="2438"/>
      <c r="AN242" s="4297">
        <v>75612</v>
      </c>
      <c r="AO242" s="2438"/>
      <c r="AP242" s="4297">
        <v>2145</v>
      </c>
      <c r="AQ242" s="2438"/>
      <c r="AR242" s="4297">
        <v>12718</v>
      </c>
      <c r="AS242" s="2438"/>
      <c r="AT242" s="4297">
        <v>26</v>
      </c>
      <c r="AU242" s="2438"/>
      <c r="AV242" s="4297">
        <v>37</v>
      </c>
      <c r="AW242" s="2438"/>
      <c r="AX242" s="4297">
        <v>0</v>
      </c>
      <c r="AY242" s="2438"/>
      <c r="AZ242" s="4297">
        <v>0</v>
      </c>
      <c r="BA242" s="2438"/>
      <c r="BB242" s="4297">
        <v>78</v>
      </c>
      <c r="BC242" s="2438"/>
      <c r="BD242" s="4297">
        <v>16897</v>
      </c>
      <c r="BE242" s="2438"/>
      <c r="BF242" s="4297">
        <v>852</v>
      </c>
      <c r="BG242" s="2438"/>
      <c r="BH242" s="4297">
        <v>568506</v>
      </c>
      <c r="BI242" s="2438"/>
      <c r="BJ242" s="2438">
        <v>20</v>
      </c>
      <c r="BK242" s="4287">
        <f>SUM(Y242:Y252)</f>
        <v>851755600</v>
      </c>
      <c r="BL242" s="4287">
        <f>SUM(Z242:Z252)</f>
        <v>102496204</v>
      </c>
      <c r="BM242" s="4277">
        <f>BL242/BK242</f>
        <v>0.12033522761693613</v>
      </c>
      <c r="BN242" s="2438" t="s">
        <v>2453</v>
      </c>
      <c r="BO242" s="2438" t="s">
        <v>2454</v>
      </c>
      <c r="BP242" s="2438" t="s">
        <v>2170</v>
      </c>
      <c r="BQ242" s="4299">
        <v>44197</v>
      </c>
      <c r="BR242" s="4299">
        <v>44200</v>
      </c>
      <c r="BS242" s="4299">
        <v>44561</v>
      </c>
      <c r="BT242" s="4299">
        <v>44561</v>
      </c>
      <c r="BU242" s="4297" t="s">
        <v>1991</v>
      </c>
    </row>
    <row r="243" spans="1:73" s="3" customFormat="1" ht="42.75" customHeight="1" x14ac:dyDescent="0.25">
      <c r="A243" s="1473"/>
      <c r="B243" s="1443"/>
      <c r="C243" s="1452"/>
      <c r="D243" s="1443"/>
      <c r="E243" s="1622"/>
      <c r="F243" s="1623"/>
      <c r="G243" s="4313"/>
      <c r="H243" s="4314"/>
      <c r="I243" s="4313"/>
      <c r="J243" s="4314"/>
      <c r="K243" s="3606"/>
      <c r="L243" s="2475"/>
      <c r="M243" s="3606"/>
      <c r="N243" s="2475"/>
      <c r="O243" s="4382"/>
      <c r="P243" s="4333"/>
      <c r="Q243" s="3385"/>
      <c r="R243" s="2476"/>
      <c r="S243" s="4339"/>
      <c r="T243" s="4311"/>
      <c r="U243" s="2702"/>
      <c r="V243" s="2285"/>
      <c r="W243" s="2702"/>
      <c r="X243" s="1653">
        <v>63682049</v>
      </c>
      <c r="Y243" s="1652"/>
      <c r="Z243" s="1654"/>
      <c r="AA243" s="1583" t="s">
        <v>2452</v>
      </c>
      <c r="AB243" s="1480">
        <v>61</v>
      </c>
      <c r="AC243" s="1442" t="s">
        <v>1987</v>
      </c>
      <c r="AD243" s="2267"/>
      <c r="AE243" s="2267"/>
      <c r="AF243" s="4298"/>
      <c r="AG243" s="2267"/>
      <c r="AH243" s="4302"/>
      <c r="AI243" s="2267"/>
      <c r="AJ243" s="4298"/>
      <c r="AK243" s="2267"/>
      <c r="AL243" s="4298"/>
      <c r="AM243" s="2267"/>
      <c r="AN243" s="4298"/>
      <c r="AO243" s="2267"/>
      <c r="AP243" s="4298"/>
      <c r="AQ243" s="2267"/>
      <c r="AR243" s="4298"/>
      <c r="AS243" s="2267"/>
      <c r="AT243" s="4298"/>
      <c r="AU243" s="2267"/>
      <c r="AV243" s="4298"/>
      <c r="AW243" s="2267"/>
      <c r="AX243" s="4298"/>
      <c r="AY243" s="2267"/>
      <c r="AZ243" s="4298"/>
      <c r="BA243" s="2267"/>
      <c r="BB243" s="4298"/>
      <c r="BC243" s="2267"/>
      <c r="BD243" s="4298"/>
      <c r="BE243" s="2267"/>
      <c r="BF243" s="4298"/>
      <c r="BG243" s="2267"/>
      <c r="BH243" s="4298"/>
      <c r="BI243" s="2267"/>
      <c r="BJ243" s="2267"/>
      <c r="BK243" s="4410"/>
      <c r="BL243" s="4410"/>
      <c r="BM243" s="4278"/>
      <c r="BN243" s="2267"/>
      <c r="BO243" s="2267"/>
      <c r="BP243" s="2267"/>
      <c r="BQ243" s="4300"/>
      <c r="BR243" s="4300"/>
      <c r="BS243" s="4300"/>
      <c r="BT243" s="4300"/>
      <c r="BU243" s="4298"/>
    </row>
    <row r="244" spans="1:73" s="3" customFormat="1" ht="39.75" customHeight="1" x14ac:dyDescent="0.25">
      <c r="A244" s="1473"/>
      <c r="B244" s="1443"/>
      <c r="C244" s="1452"/>
      <c r="D244" s="1443"/>
      <c r="E244" s="1622"/>
      <c r="F244" s="1623"/>
      <c r="G244" s="4313"/>
      <c r="H244" s="4314"/>
      <c r="I244" s="4313"/>
      <c r="J244" s="4314"/>
      <c r="K244" s="3606"/>
      <c r="L244" s="2475"/>
      <c r="M244" s="3606"/>
      <c r="N244" s="2475"/>
      <c r="O244" s="4382"/>
      <c r="P244" s="4333"/>
      <c r="Q244" s="3385"/>
      <c r="R244" s="2476"/>
      <c r="S244" s="4339"/>
      <c r="T244" s="4311"/>
      <c r="U244" s="2702"/>
      <c r="V244" s="2285"/>
      <c r="W244" s="2703"/>
      <c r="X244" s="1653">
        <v>274704276.49000001</v>
      </c>
      <c r="Y244" s="1653">
        <v>236726700</v>
      </c>
      <c r="Z244" s="1654">
        <v>11476204</v>
      </c>
      <c r="AA244" s="1583" t="s">
        <v>2455</v>
      </c>
      <c r="AB244" s="1480">
        <v>98</v>
      </c>
      <c r="AC244" s="1442" t="s">
        <v>2456</v>
      </c>
      <c r="AD244" s="2267"/>
      <c r="AE244" s="2267"/>
      <c r="AF244" s="4298"/>
      <c r="AG244" s="2267"/>
      <c r="AH244" s="4302"/>
      <c r="AI244" s="2267"/>
      <c r="AJ244" s="4298"/>
      <c r="AK244" s="2267"/>
      <c r="AL244" s="4298"/>
      <c r="AM244" s="2267"/>
      <c r="AN244" s="4298"/>
      <c r="AO244" s="2267"/>
      <c r="AP244" s="4298"/>
      <c r="AQ244" s="2267"/>
      <c r="AR244" s="4298"/>
      <c r="AS244" s="2267"/>
      <c r="AT244" s="4298"/>
      <c r="AU244" s="2267"/>
      <c r="AV244" s="4298"/>
      <c r="AW244" s="2267"/>
      <c r="AX244" s="4298"/>
      <c r="AY244" s="2267"/>
      <c r="AZ244" s="4298"/>
      <c r="BA244" s="2267"/>
      <c r="BB244" s="4298"/>
      <c r="BC244" s="2267"/>
      <c r="BD244" s="4298"/>
      <c r="BE244" s="2267"/>
      <c r="BF244" s="4298"/>
      <c r="BG244" s="2267"/>
      <c r="BH244" s="4298"/>
      <c r="BI244" s="2267"/>
      <c r="BJ244" s="2267"/>
      <c r="BK244" s="2267"/>
      <c r="BL244" s="2267"/>
      <c r="BM244" s="4278"/>
      <c r="BN244" s="2267"/>
      <c r="BO244" s="2267"/>
      <c r="BP244" s="2267"/>
      <c r="BQ244" s="4300"/>
      <c r="BR244" s="4300"/>
      <c r="BS244" s="4300"/>
      <c r="BT244" s="4300"/>
      <c r="BU244" s="4298"/>
    </row>
    <row r="245" spans="1:73" s="3" customFormat="1" ht="45.75" customHeight="1" x14ac:dyDescent="0.25">
      <c r="A245" s="1473"/>
      <c r="B245" s="1443"/>
      <c r="C245" s="1452"/>
      <c r="D245" s="1443"/>
      <c r="E245" s="1622"/>
      <c r="F245" s="1623"/>
      <c r="G245" s="4313"/>
      <c r="H245" s="4314"/>
      <c r="I245" s="4313"/>
      <c r="J245" s="4314"/>
      <c r="K245" s="3606"/>
      <c r="L245" s="2475"/>
      <c r="M245" s="3606"/>
      <c r="N245" s="2475"/>
      <c r="O245" s="4382"/>
      <c r="P245" s="4333"/>
      <c r="Q245" s="3385"/>
      <c r="R245" s="2476"/>
      <c r="S245" s="4339"/>
      <c r="T245" s="4311"/>
      <c r="U245" s="2702"/>
      <c r="V245" s="2285"/>
      <c r="W245" s="2701" t="s">
        <v>2457</v>
      </c>
      <c r="X245" s="1653">
        <v>23000000</v>
      </c>
      <c r="Y245" s="1653"/>
      <c r="Z245" s="1654"/>
      <c r="AA245" s="1583" t="s">
        <v>2452</v>
      </c>
      <c r="AB245" s="1480">
        <v>61</v>
      </c>
      <c r="AC245" s="1442" t="s">
        <v>1987</v>
      </c>
      <c r="AD245" s="2267"/>
      <c r="AE245" s="2267"/>
      <c r="AF245" s="4298"/>
      <c r="AG245" s="2267"/>
      <c r="AH245" s="4302"/>
      <c r="AI245" s="2267"/>
      <c r="AJ245" s="4298"/>
      <c r="AK245" s="2267"/>
      <c r="AL245" s="4298"/>
      <c r="AM245" s="2267"/>
      <c r="AN245" s="4298"/>
      <c r="AO245" s="2267"/>
      <c r="AP245" s="4298"/>
      <c r="AQ245" s="2267"/>
      <c r="AR245" s="4298"/>
      <c r="AS245" s="2267"/>
      <c r="AT245" s="4298"/>
      <c r="AU245" s="2267"/>
      <c r="AV245" s="4298"/>
      <c r="AW245" s="2267"/>
      <c r="AX245" s="4298"/>
      <c r="AY245" s="2267"/>
      <c r="AZ245" s="4298"/>
      <c r="BA245" s="2267"/>
      <c r="BB245" s="4298"/>
      <c r="BC245" s="2267"/>
      <c r="BD245" s="4298"/>
      <c r="BE245" s="2267"/>
      <c r="BF245" s="4298"/>
      <c r="BG245" s="2267"/>
      <c r="BH245" s="4298"/>
      <c r="BI245" s="2267"/>
      <c r="BJ245" s="2267"/>
      <c r="BK245" s="2267"/>
      <c r="BL245" s="2267"/>
      <c r="BM245" s="4278"/>
      <c r="BN245" s="2267"/>
      <c r="BO245" s="2267"/>
      <c r="BP245" s="2267"/>
      <c r="BQ245" s="4298"/>
      <c r="BR245" s="4298"/>
      <c r="BS245" s="4298"/>
      <c r="BT245" s="4298"/>
      <c r="BU245" s="4298"/>
    </row>
    <row r="246" spans="1:73" s="3" customFormat="1" ht="48" customHeight="1" x14ac:dyDescent="0.25">
      <c r="A246" s="1473"/>
      <c r="B246" s="1443"/>
      <c r="C246" s="1452"/>
      <c r="D246" s="1443"/>
      <c r="E246" s="1622"/>
      <c r="F246" s="1623"/>
      <c r="G246" s="4313"/>
      <c r="H246" s="4314"/>
      <c r="I246" s="4313"/>
      <c r="J246" s="4314"/>
      <c r="K246" s="3606"/>
      <c r="L246" s="2475"/>
      <c r="M246" s="3606"/>
      <c r="N246" s="2475"/>
      <c r="O246" s="4382"/>
      <c r="P246" s="4333"/>
      <c r="Q246" s="3385"/>
      <c r="R246" s="2476"/>
      <c r="S246" s="4339"/>
      <c r="T246" s="4311"/>
      <c r="U246" s="2702"/>
      <c r="V246" s="2285"/>
      <c r="W246" s="2703"/>
      <c r="X246" s="1653">
        <v>58630000</v>
      </c>
      <c r="Y246" s="1653"/>
      <c r="Z246" s="1654"/>
      <c r="AA246" s="1583" t="s">
        <v>2455</v>
      </c>
      <c r="AB246" s="1480">
        <v>98</v>
      </c>
      <c r="AC246" s="1442" t="s">
        <v>2456</v>
      </c>
      <c r="AD246" s="2267"/>
      <c r="AE246" s="2267"/>
      <c r="AF246" s="4298"/>
      <c r="AG246" s="2267"/>
      <c r="AH246" s="4302"/>
      <c r="AI246" s="2267"/>
      <c r="AJ246" s="4298"/>
      <c r="AK246" s="2267"/>
      <c r="AL246" s="4298"/>
      <c r="AM246" s="2267"/>
      <c r="AN246" s="4298"/>
      <c r="AO246" s="2267"/>
      <c r="AP246" s="4298"/>
      <c r="AQ246" s="2267"/>
      <c r="AR246" s="4298"/>
      <c r="AS246" s="2267"/>
      <c r="AT246" s="4298"/>
      <c r="AU246" s="2267"/>
      <c r="AV246" s="4298"/>
      <c r="AW246" s="2267"/>
      <c r="AX246" s="4298"/>
      <c r="AY246" s="2267"/>
      <c r="AZ246" s="4298"/>
      <c r="BA246" s="2267"/>
      <c r="BB246" s="4298"/>
      <c r="BC246" s="2267"/>
      <c r="BD246" s="4298"/>
      <c r="BE246" s="2267"/>
      <c r="BF246" s="4298"/>
      <c r="BG246" s="2267"/>
      <c r="BH246" s="4298"/>
      <c r="BI246" s="2267"/>
      <c r="BJ246" s="2267"/>
      <c r="BK246" s="2267"/>
      <c r="BL246" s="2267"/>
      <c r="BM246" s="4278"/>
      <c r="BN246" s="2267"/>
      <c r="BO246" s="2267"/>
      <c r="BP246" s="2267"/>
      <c r="BQ246" s="4298"/>
      <c r="BR246" s="4298"/>
      <c r="BS246" s="4298"/>
      <c r="BT246" s="4298"/>
      <c r="BU246" s="4298"/>
    </row>
    <row r="247" spans="1:73" s="3" customFormat="1" ht="62.25" customHeight="1" x14ac:dyDescent="0.25">
      <c r="A247" s="1473"/>
      <c r="B247" s="1443"/>
      <c r="C247" s="1452"/>
      <c r="D247" s="1443"/>
      <c r="E247" s="1622"/>
      <c r="F247" s="1623"/>
      <c r="G247" s="4313"/>
      <c r="H247" s="4314"/>
      <c r="I247" s="4313"/>
      <c r="J247" s="4314"/>
      <c r="K247" s="3606"/>
      <c r="L247" s="2475"/>
      <c r="M247" s="3606"/>
      <c r="N247" s="2475"/>
      <c r="O247" s="4382"/>
      <c r="P247" s="4333"/>
      <c r="Q247" s="3385"/>
      <c r="R247" s="2476"/>
      <c r="S247" s="4339"/>
      <c r="T247" s="4311"/>
      <c r="U247" s="2702"/>
      <c r="V247" s="2285"/>
      <c r="W247" s="1447" t="s">
        <v>2458</v>
      </c>
      <c r="X247" s="1653">
        <v>350000000</v>
      </c>
      <c r="Y247" s="1653">
        <v>11540000</v>
      </c>
      <c r="Z247" s="1654">
        <v>5885000</v>
      </c>
      <c r="AA247" s="1583" t="s">
        <v>2452</v>
      </c>
      <c r="AB247" s="1480">
        <v>61</v>
      </c>
      <c r="AC247" s="1442" t="s">
        <v>1987</v>
      </c>
      <c r="AD247" s="2267"/>
      <c r="AE247" s="2267"/>
      <c r="AF247" s="4298"/>
      <c r="AG247" s="2267"/>
      <c r="AH247" s="4302"/>
      <c r="AI247" s="2267"/>
      <c r="AJ247" s="4298"/>
      <c r="AK247" s="2267"/>
      <c r="AL247" s="4298"/>
      <c r="AM247" s="2267"/>
      <c r="AN247" s="4298"/>
      <c r="AO247" s="2267"/>
      <c r="AP247" s="4298"/>
      <c r="AQ247" s="2267"/>
      <c r="AR247" s="4298"/>
      <c r="AS247" s="2267"/>
      <c r="AT247" s="4298"/>
      <c r="AU247" s="2267"/>
      <c r="AV247" s="4298"/>
      <c r="AW247" s="2267"/>
      <c r="AX247" s="4298"/>
      <c r="AY247" s="2267"/>
      <c r="AZ247" s="4298"/>
      <c r="BA247" s="2267"/>
      <c r="BB247" s="4298"/>
      <c r="BC247" s="2267"/>
      <c r="BD247" s="4298"/>
      <c r="BE247" s="2267"/>
      <c r="BF247" s="4298"/>
      <c r="BG247" s="2267"/>
      <c r="BH247" s="4298"/>
      <c r="BI247" s="2267"/>
      <c r="BJ247" s="2267"/>
      <c r="BK247" s="2267"/>
      <c r="BL247" s="2267"/>
      <c r="BM247" s="4278"/>
      <c r="BN247" s="2267"/>
      <c r="BO247" s="2267"/>
      <c r="BP247" s="2267"/>
      <c r="BQ247" s="4298"/>
      <c r="BR247" s="4298"/>
      <c r="BS247" s="4298"/>
      <c r="BT247" s="4298"/>
      <c r="BU247" s="4298"/>
    </row>
    <row r="248" spans="1:73" s="3" customFormat="1" ht="55.5" customHeight="1" x14ac:dyDescent="0.25">
      <c r="A248" s="1473"/>
      <c r="B248" s="1443"/>
      <c r="C248" s="1452"/>
      <c r="D248" s="1443"/>
      <c r="E248" s="1622"/>
      <c r="F248" s="1623"/>
      <c r="G248" s="4313"/>
      <c r="H248" s="4314"/>
      <c r="I248" s="4313"/>
      <c r="J248" s="4314"/>
      <c r="K248" s="3606"/>
      <c r="L248" s="2475"/>
      <c r="M248" s="3606"/>
      <c r="N248" s="2475"/>
      <c r="O248" s="4382"/>
      <c r="P248" s="4333"/>
      <c r="Q248" s="3385"/>
      <c r="R248" s="2476"/>
      <c r="S248" s="4339"/>
      <c r="T248" s="4311"/>
      <c r="U248" s="2702"/>
      <c r="V248" s="2285"/>
      <c r="W248" s="1447" t="s">
        <v>2459</v>
      </c>
      <c r="X248" s="1653">
        <v>130000000</v>
      </c>
      <c r="Y248" s="1655"/>
      <c r="Z248" s="1656"/>
      <c r="AA248" s="1583" t="s">
        <v>2452</v>
      </c>
      <c r="AB248" s="1454">
        <v>61</v>
      </c>
      <c r="AC248" s="1442" t="s">
        <v>1987</v>
      </c>
      <c r="AD248" s="2267"/>
      <c r="AE248" s="2267"/>
      <c r="AF248" s="4298"/>
      <c r="AG248" s="2267"/>
      <c r="AH248" s="4302"/>
      <c r="AI248" s="2267"/>
      <c r="AJ248" s="4298"/>
      <c r="AK248" s="2267"/>
      <c r="AL248" s="4298"/>
      <c r="AM248" s="2267"/>
      <c r="AN248" s="4298"/>
      <c r="AO248" s="2267"/>
      <c r="AP248" s="4298"/>
      <c r="AQ248" s="2267"/>
      <c r="AR248" s="4298"/>
      <c r="AS248" s="2267"/>
      <c r="AT248" s="4298"/>
      <c r="AU248" s="2267"/>
      <c r="AV248" s="4298"/>
      <c r="AW248" s="2267"/>
      <c r="AX248" s="4298"/>
      <c r="AY248" s="2267"/>
      <c r="AZ248" s="4298"/>
      <c r="BA248" s="2267"/>
      <c r="BB248" s="4298"/>
      <c r="BC248" s="2267"/>
      <c r="BD248" s="4298"/>
      <c r="BE248" s="2267"/>
      <c r="BF248" s="4298"/>
      <c r="BG248" s="2267"/>
      <c r="BH248" s="4298"/>
      <c r="BI248" s="2267"/>
      <c r="BJ248" s="2267"/>
      <c r="BK248" s="2267"/>
      <c r="BL248" s="2267"/>
      <c r="BM248" s="4278"/>
      <c r="BN248" s="2267"/>
      <c r="BO248" s="2267"/>
      <c r="BP248" s="2267"/>
      <c r="BQ248" s="4298"/>
      <c r="BR248" s="4298"/>
      <c r="BS248" s="4298"/>
      <c r="BT248" s="4298"/>
      <c r="BU248" s="4298"/>
    </row>
    <row r="249" spans="1:73" s="3" customFormat="1" ht="45.75" customHeight="1" x14ac:dyDescent="0.25">
      <c r="A249" s="1473"/>
      <c r="B249" s="1443"/>
      <c r="C249" s="1452"/>
      <c r="D249" s="1443"/>
      <c r="E249" s="1622"/>
      <c r="F249" s="1623"/>
      <c r="G249" s="4313"/>
      <c r="H249" s="4314"/>
      <c r="I249" s="4313"/>
      <c r="J249" s="4314"/>
      <c r="K249" s="3606"/>
      <c r="L249" s="2475"/>
      <c r="M249" s="3606"/>
      <c r="N249" s="2475"/>
      <c r="O249" s="4382"/>
      <c r="P249" s="4333"/>
      <c r="Q249" s="3385"/>
      <c r="R249" s="2476"/>
      <c r="S249" s="4339"/>
      <c r="T249" s="4311"/>
      <c r="U249" s="2702"/>
      <c r="V249" s="2285"/>
      <c r="W249" s="1456" t="s">
        <v>2460</v>
      </c>
      <c r="X249" s="1653">
        <f>200000000-200000000</f>
        <v>0</v>
      </c>
      <c r="Y249" s="1655"/>
      <c r="Z249" s="1656"/>
      <c r="AA249" s="1583" t="s">
        <v>2452</v>
      </c>
      <c r="AB249" s="1454">
        <v>61</v>
      </c>
      <c r="AC249" s="1442" t="s">
        <v>1987</v>
      </c>
      <c r="AD249" s="2267"/>
      <c r="AE249" s="2267"/>
      <c r="AF249" s="4298"/>
      <c r="AG249" s="2267"/>
      <c r="AH249" s="4302"/>
      <c r="AI249" s="2267"/>
      <c r="AJ249" s="4298"/>
      <c r="AK249" s="2267"/>
      <c r="AL249" s="4298"/>
      <c r="AM249" s="2267"/>
      <c r="AN249" s="4298"/>
      <c r="AO249" s="2267"/>
      <c r="AP249" s="4298"/>
      <c r="AQ249" s="2267"/>
      <c r="AR249" s="4298"/>
      <c r="AS249" s="2267"/>
      <c r="AT249" s="4298"/>
      <c r="AU249" s="2267"/>
      <c r="AV249" s="4298"/>
      <c r="AW249" s="2267"/>
      <c r="AX249" s="4298"/>
      <c r="AY249" s="2267"/>
      <c r="AZ249" s="4298"/>
      <c r="BA249" s="2267"/>
      <c r="BB249" s="4298"/>
      <c r="BC249" s="2267"/>
      <c r="BD249" s="4298"/>
      <c r="BE249" s="2267"/>
      <c r="BF249" s="4298"/>
      <c r="BG249" s="2267"/>
      <c r="BH249" s="4298"/>
      <c r="BI249" s="2267"/>
      <c r="BJ249" s="2267"/>
      <c r="BK249" s="2267"/>
      <c r="BL249" s="2267"/>
      <c r="BM249" s="4278"/>
      <c r="BN249" s="2267"/>
      <c r="BO249" s="2267"/>
      <c r="BP249" s="2267"/>
      <c r="BQ249" s="4298"/>
      <c r="BR249" s="4298"/>
      <c r="BS249" s="4298"/>
      <c r="BT249" s="4298"/>
      <c r="BU249" s="4298"/>
    </row>
    <row r="250" spans="1:73" s="3" customFormat="1" ht="55.5" customHeight="1" x14ac:dyDescent="0.25">
      <c r="A250" s="1473"/>
      <c r="B250" s="1443"/>
      <c r="C250" s="1452"/>
      <c r="D250" s="1443"/>
      <c r="E250" s="1622"/>
      <c r="F250" s="1623"/>
      <c r="G250" s="4313"/>
      <c r="H250" s="4314"/>
      <c r="I250" s="4313"/>
      <c r="J250" s="4314"/>
      <c r="K250" s="3606"/>
      <c r="L250" s="2475"/>
      <c r="M250" s="3606"/>
      <c r="N250" s="2475"/>
      <c r="O250" s="4382"/>
      <c r="P250" s="4333"/>
      <c r="Q250" s="3385"/>
      <c r="R250" s="2476"/>
      <c r="S250" s="4339"/>
      <c r="T250" s="4311"/>
      <c r="U250" s="2702"/>
      <c r="V250" s="2285"/>
      <c r="W250" s="1447" t="s">
        <v>2461</v>
      </c>
      <c r="X250" s="1653">
        <v>250000000</v>
      </c>
      <c r="Y250" s="1655">
        <v>104540000</v>
      </c>
      <c r="Z250" s="1656">
        <v>18750000</v>
      </c>
      <c r="AA250" s="1583" t="s">
        <v>2452</v>
      </c>
      <c r="AB250" s="1454">
        <v>61</v>
      </c>
      <c r="AC250" s="1442" t="s">
        <v>1987</v>
      </c>
      <c r="AD250" s="2267"/>
      <c r="AE250" s="2267"/>
      <c r="AF250" s="4298"/>
      <c r="AG250" s="2267"/>
      <c r="AH250" s="4302"/>
      <c r="AI250" s="2267"/>
      <c r="AJ250" s="4298"/>
      <c r="AK250" s="2267"/>
      <c r="AL250" s="4298"/>
      <c r="AM250" s="2267"/>
      <c r="AN250" s="4298"/>
      <c r="AO250" s="2267"/>
      <c r="AP250" s="4298"/>
      <c r="AQ250" s="2267"/>
      <c r="AR250" s="4298"/>
      <c r="AS250" s="2267"/>
      <c r="AT250" s="4298"/>
      <c r="AU250" s="2267"/>
      <c r="AV250" s="4298"/>
      <c r="AW250" s="2267"/>
      <c r="AX250" s="4298"/>
      <c r="AY250" s="2267"/>
      <c r="AZ250" s="4298"/>
      <c r="BA250" s="2267"/>
      <c r="BB250" s="4298"/>
      <c r="BC250" s="2267"/>
      <c r="BD250" s="4298"/>
      <c r="BE250" s="2267"/>
      <c r="BF250" s="4298"/>
      <c r="BG250" s="2267"/>
      <c r="BH250" s="4298"/>
      <c r="BI250" s="2267"/>
      <c r="BJ250" s="2267"/>
      <c r="BK250" s="2267"/>
      <c r="BL250" s="2267"/>
      <c r="BM250" s="4278"/>
      <c r="BN250" s="2267"/>
      <c r="BO250" s="2267"/>
      <c r="BP250" s="2267"/>
      <c r="BQ250" s="4298"/>
      <c r="BR250" s="4298"/>
      <c r="BS250" s="4298"/>
      <c r="BT250" s="4298"/>
      <c r="BU250" s="4298"/>
    </row>
    <row r="251" spans="1:73" s="3" customFormat="1" ht="55.5" customHeight="1" x14ac:dyDescent="0.25">
      <c r="A251" s="1473"/>
      <c r="B251" s="1443"/>
      <c r="C251" s="1452"/>
      <c r="D251" s="1443"/>
      <c r="E251" s="1622"/>
      <c r="F251" s="1623"/>
      <c r="G251" s="4313"/>
      <c r="H251" s="3086"/>
      <c r="I251" s="4313"/>
      <c r="J251" s="3086"/>
      <c r="K251" s="4270"/>
      <c r="L251" s="2478"/>
      <c r="M251" s="4270"/>
      <c r="N251" s="2478"/>
      <c r="O251" s="4325"/>
      <c r="P251" s="4333"/>
      <c r="Q251" s="3408"/>
      <c r="R251" s="2701"/>
      <c r="S251" s="2410"/>
      <c r="T251" s="4372"/>
      <c r="U251" s="2702"/>
      <c r="V251" s="2295"/>
      <c r="W251" s="1456" t="s">
        <v>2462</v>
      </c>
      <c r="X251" s="1657">
        <f>45000000-45000000</f>
        <v>0</v>
      </c>
      <c r="Y251" s="1657"/>
      <c r="Z251" s="1658"/>
      <c r="AA251" s="1589" t="s">
        <v>2452</v>
      </c>
      <c r="AB251" s="1454">
        <v>61</v>
      </c>
      <c r="AC251" s="1442" t="s">
        <v>1987</v>
      </c>
      <c r="AD251" s="2267"/>
      <c r="AE251" s="2267"/>
      <c r="AF251" s="4298"/>
      <c r="AG251" s="2267"/>
      <c r="AH251" s="4302"/>
      <c r="AI251" s="2267"/>
      <c r="AJ251" s="4298"/>
      <c r="AK251" s="2267"/>
      <c r="AL251" s="4298"/>
      <c r="AM251" s="2267"/>
      <c r="AN251" s="4298"/>
      <c r="AO251" s="2267"/>
      <c r="AP251" s="4298"/>
      <c r="AQ251" s="2267"/>
      <c r="AR251" s="4298"/>
      <c r="AS251" s="2267"/>
      <c r="AT251" s="4298"/>
      <c r="AU251" s="2267"/>
      <c r="AV251" s="4298"/>
      <c r="AW251" s="2267"/>
      <c r="AX251" s="4298"/>
      <c r="AY251" s="2267"/>
      <c r="AZ251" s="4298"/>
      <c r="BA251" s="2267"/>
      <c r="BB251" s="4298"/>
      <c r="BC251" s="2267"/>
      <c r="BD251" s="4298"/>
      <c r="BE251" s="2267"/>
      <c r="BF251" s="4298"/>
      <c r="BG251" s="2267"/>
      <c r="BH251" s="4298"/>
      <c r="BI251" s="2267"/>
      <c r="BJ251" s="2267"/>
      <c r="BK251" s="2267"/>
      <c r="BL251" s="2267"/>
      <c r="BM251" s="4278"/>
      <c r="BN251" s="2267"/>
      <c r="BO251" s="2267"/>
      <c r="BP251" s="2267"/>
      <c r="BQ251" s="4298"/>
      <c r="BR251" s="4298"/>
      <c r="BS251" s="4298"/>
      <c r="BT251" s="4298"/>
      <c r="BU251" s="4298"/>
    </row>
    <row r="252" spans="1:73" s="3" customFormat="1" ht="62.25" customHeight="1" x14ac:dyDescent="0.25">
      <c r="A252" s="1473"/>
      <c r="B252" s="1443"/>
      <c r="C252" s="1452"/>
      <c r="D252" s="1443"/>
      <c r="E252" s="1659"/>
      <c r="F252" s="1623"/>
      <c r="G252" s="4408"/>
      <c r="H252" s="3086"/>
      <c r="I252" s="4408"/>
      <c r="J252" s="3086"/>
      <c r="K252" s="4270"/>
      <c r="L252" s="2478"/>
      <c r="M252" s="4270"/>
      <c r="N252" s="2478"/>
      <c r="O252" s="4325"/>
      <c r="P252" s="4335"/>
      <c r="Q252" s="3408"/>
      <c r="R252" s="2701"/>
      <c r="S252" s="2410"/>
      <c r="T252" s="4372"/>
      <c r="U252" s="2702"/>
      <c r="V252" s="2496"/>
      <c r="W252" s="1460" t="s">
        <v>2463</v>
      </c>
      <c r="X252" s="1587">
        <v>100000000</v>
      </c>
      <c r="Y252" s="1587"/>
      <c r="Z252" s="1587"/>
      <c r="AA252" s="1583" t="s">
        <v>2455</v>
      </c>
      <c r="AB252" s="1480">
        <v>98</v>
      </c>
      <c r="AC252" s="1442" t="s">
        <v>2456</v>
      </c>
      <c r="AD252" s="4411"/>
      <c r="AE252" s="4411"/>
      <c r="AF252" s="4298"/>
      <c r="AG252" s="4411"/>
      <c r="AH252" s="4302"/>
      <c r="AI252" s="4411"/>
      <c r="AJ252" s="4298"/>
      <c r="AK252" s="4411"/>
      <c r="AL252" s="4298"/>
      <c r="AM252" s="4411"/>
      <c r="AN252" s="4298"/>
      <c r="AO252" s="4411"/>
      <c r="AP252" s="4298"/>
      <c r="AQ252" s="4411"/>
      <c r="AR252" s="4298"/>
      <c r="AS252" s="4411"/>
      <c r="AT252" s="4298"/>
      <c r="AU252" s="4411"/>
      <c r="AV252" s="4298"/>
      <c r="AW252" s="4411"/>
      <c r="AX252" s="4298"/>
      <c r="AY252" s="4411"/>
      <c r="AZ252" s="4298"/>
      <c r="BA252" s="4411"/>
      <c r="BB252" s="4298"/>
      <c r="BC252" s="4411"/>
      <c r="BD252" s="4298"/>
      <c r="BE252" s="4411"/>
      <c r="BF252" s="4298"/>
      <c r="BG252" s="4411"/>
      <c r="BH252" s="4298"/>
      <c r="BI252" s="4411"/>
      <c r="BJ252" s="4411"/>
      <c r="BK252" s="4411"/>
      <c r="BL252" s="4411"/>
      <c r="BM252" s="4412"/>
      <c r="BN252" s="4411"/>
      <c r="BO252" s="4411"/>
      <c r="BP252" s="4411"/>
      <c r="BQ252" s="4298"/>
      <c r="BR252" s="4298"/>
      <c r="BS252" s="4298"/>
      <c r="BT252" s="4298"/>
      <c r="BU252" s="4298"/>
    </row>
    <row r="253" spans="1:73" s="3" customFormat="1" ht="27" customHeight="1" x14ac:dyDescent="0.25">
      <c r="A253" s="1473"/>
      <c r="B253" s="1443"/>
      <c r="C253" s="1452"/>
      <c r="D253" s="1443"/>
      <c r="E253" s="894">
        <v>1906</v>
      </c>
      <c r="F253" s="1052" t="s">
        <v>428</v>
      </c>
      <c r="G253" s="1470"/>
      <c r="H253" s="750"/>
      <c r="I253" s="1470"/>
      <c r="J253" s="750"/>
      <c r="K253" s="1470"/>
      <c r="L253" s="750"/>
      <c r="M253" s="1660"/>
      <c r="N253" s="750"/>
      <c r="O253" s="848"/>
      <c r="P253" s="1615"/>
      <c r="Q253" s="848"/>
      <c r="R253" s="882"/>
      <c r="S253" s="849"/>
      <c r="T253" s="1616"/>
      <c r="U253" s="882"/>
      <c r="V253" s="882"/>
      <c r="W253" s="889"/>
      <c r="X253" s="1661"/>
      <c r="Y253" s="1661"/>
      <c r="Z253" s="1661"/>
      <c r="AA253" s="1617"/>
      <c r="AB253" s="1662"/>
      <c r="AC253" s="892"/>
      <c r="AD253" s="90"/>
      <c r="AE253" s="90"/>
      <c r="AF253" s="90"/>
      <c r="AG253" s="90"/>
      <c r="AH253" s="1663"/>
      <c r="AI253" s="1663"/>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1284"/>
    </row>
    <row r="254" spans="1:73" s="3" customFormat="1" ht="133.5" customHeight="1" x14ac:dyDescent="0.25">
      <c r="A254" s="1473"/>
      <c r="B254" s="1443"/>
      <c r="C254" s="1452"/>
      <c r="D254" s="1443"/>
      <c r="E254" s="2663"/>
      <c r="F254" s="4326"/>
      <c r="G254" s="1664">
        <v>1906032</v>
      </c>
      <c r="H254" s="1449" t="s">
        <v>2464</v>
      </c>
      <c r="I254" s="1664">
        <v>1906032</v>
      </c>
      <c r="J254" s="1449" t="s">
        <v>2464</v>
      </c>
      <c r="K254" s="1665">
        <v>190603200</v>
      </c>
      <c r="L254" s="1449" t="s">
        <v>2465</v>
      </c>
      <c r="M254" s="1665">
        <v>190603200</v>
      </c>
      <c r="N254" s="1449" t="s">
        <v>2465</v>
      </c>
      <c r="O254" s="1481">
        <v>1500</v>
      </c>
      <c r="P254" s="1666">
        <v>1500</v>
      </c>
      <c r="Q254" s="3601" t="s">
        <v>2466</v>
      </c>
      <c r="R254" s="2703" t="s">
        <v>2467</v>
      </c>
      <c r="S254" s="2412">
        <f>SUM(X254:X267)/T254</f>
        <v>1</v>
      </c>
      <c r="T254" s="4310">
        <f>SUM(X254:X267)</f>
        <v>31351259122</v>
      </c>
      <c r="U254" s="2703" t="s">
        <v>2468</v>
      </c>
      <c r="V254" s="2700" t="s">
        <v>2469</v>
      </c>
      <c r="W254" s="1457" t="s">
        <v>2470</v>
      </c>
      <c r="X254" s="1667">
        <v>0</v>
      </c>
      <c r="Y254" s="1667"/>
      <c r="Z254" s="1582"/>
      <c r="AA254" s="1668"/>
      <c r="AB254" s="1455"/>
      <c r="AC254" s="1450"/>
      <c r="AD254" s="2267">
        <v>292684</v>
      </c>
      <c r="AE254" s="2267"/>
      <c r="AF254" s="2267">
        <v>282326</v>
      </c>
      <c r="AG254" s="2267"/>
      <c r="AH254" s="4272">
        <v>135912</v>
      </c>
      <c r="AI254" s="2267"/>
      <c r="AJ254" s="2267">
        <v>45122</v>
      </c>
      <c r="AK254" s="2267"/>
      <c r="AL254" s="2267">
        <v>365607</v>
      </c>
      <c r="AM254" s="2267"/>
      <c r="AN254" s="2267">
        <v>75612</v>
      </c>
      <c r="AO254" s="2267"/>
      <c r="AP254" s="2267">
        <v>2145</v>
      </c>
      <c r="AQ254" s="2267"/>
      <c r="AR254" s="2267">
        <v>12718</v>
      </c>
      <c r="AS254" s="2267"/>
      <c r="AT254" s="2267">
        <v>26</v>
      </c>
      <c r="AU254" s="2267"/>
      <c r="AV254" s="2267">
        <v>37</v>
      </c>
      <c r="AW254" s="2267"/>
      <c r="AX254" s="2267">
        <v>0</v>
      </c>
      <c r="AY254" s="2267"/>
      <c r="AZ254" s="2267">
        <v>0</v>
      </c>
      <c r="BA254" s="2267"/>
      <c r="BB254" s="2267">
        <v>53164</v>
      </c>
      <c r="BC254" s="2267"/>
      <c r="BD254" s="2267">
        <v>16982</v>
      </c>
      <c r="BE254" s="2267"/>
      <c r="BF254" s="2267">
        <v>60013</v>
      </c>
      <c r="BG254" s="2267"/>
      <c r="BH254" s="2267">
        <v>575010</v>
      </c>
      <c r="BI254" s="2267"/>
      <c r="BJ254" s="2267">
        <v>12</v>
      </c>
      <c r="BK254" s="4410">
        <f>SUM(Y254:Y267)</f>
        <v>14942132660.849998</v>
      </c>
      <c r="BL254" s="4410">
        <f>SUM(Z254:Z267)</f>
        <v>14942132660.819998</v>
      </c>
      <c r="BM254" s="4278">
        <f>BL254/BK254</f>
        <v>0.99999999999799216</v>
      </c>
      <c r="BN254" s="2267">
        <v>154</v>
      </c>
      <c r="BO254" s="2267" t="s">
        <v>2471</v>
      </c>
      <c r="BP254" s="2267" t="s">
        <v>2116</v>
      </c>
      <c r="BQ254" s="4286">
        <v>44197</v>
      </c>
      <c r="BR254" s="4286">
        <v>44200</v>
      </c>
      <c r="BS254" s="4286">
        <v>44561</v>
      </c>
      <c r="BT254" s="4286">
        <v>44561</v>
      </c>
      <c r="BU254" s="2267" t="s">
        <v>1991</v>
      </c>
    </row>
    <row r="255" spans="1:73" s="3" customFormat="1" ht="38.25" customHeight="1" x14ac:dyDescent="0.25">
      <c r="A255" s="1473"/>
      <c r="B255" s="1443"/>
      <c r="C255" s="1452"/>
      <c r="D255" s="1443"/>
      <c r="E255" s="4409"/>
      <c r="F255" s="4382"/>
      <c r="G255" s="4413" t="s">
        <v>74</v>
      </c>
      <c r="H255" s="2475" t="s">
        <v>2472</v>
      </c>
      <c r="I255" s="4413">
        <v>1906023</v>
      </c>
      <c r="J255" s="2475" t="s">
        <v>2473</v>
      </c>
      <c r="K255" s="3606" t="s">
        <v>74</v>
      </c>
      <c r="L255" s="2475" t="s">
        <v>2474</v>
      </c>
      <c r="M255" s="3606">
        <v>190602300</v>
      </c>
      <c r="N255" s="2475" t="s">
        <v>2475</v>
      </c>
      <c r="O255" s="4382">
        <v>19899</v>
      </c>
      <c r="P255" s="4330">
        <v>9859</v>
      </c>
      <c r="Q255" s="3385"/>
      <c r="R255" s="2476"/>
      <c r="S255" s="4339"/>
      <c r="T255" s="4311"/>
      <c r="U255" s="2476"/>
      <c r="V255" s="2285"/>
      <c r="W255" s="4282" t="s">
        <v>2476</v>
      </c>
      <c r="X255" s="1669">
        <v>3444818759</v>
      </c>
      <c r="Y255" s="399">
        <v>1573779226.97</v>
      </c>
      <c r="Z255" s="399">
        <v>1573779226.97</v>
      </c>
      <c r="AA255" s="1583" t="s">
        <v>2477</v>
      </c>
      <c r="AB255" s="1480">
        <v>154</v>
      </c>
      <c r="AC255" s="1441" t="s">
        <v>2478</v>
      </c>
      <c r="AD255" s="2267"/>
      <c r="AE255" s="2267"/>
      <c r="AF255" s="2267"/>
      <c r="AG255" s="2267"/>
      <c r="AH255" s="4272"/>
      <c r="AI255" s="2267"/>
      <c r="AJ255" s="2267"/>
      <c r="AK255" s="2267"/>
      <c r="AL255" s="2267"/>
      <c r="AM255" s="2267"/>
      <c r="AN255" s="2267"/>
      <c r="AO255" s="2267"/>
      <c r="AP255" s="2267"/>
      <c r="AQ255" s="2267"/>
      <c r="AR255" s="2267"/>
      <c r="AS255" s="2267"/>
      <c r="AT255" s="2267"/>
      <c r="AU255" s="2267"/>
      <c r="AV255" s="2267"/>
      <c r="AW255" s="2267"/>
      <c r="AX255" s="2267"/>
      <c r="AY255" s="2267"/>
      <c r="AZ255" s="2267"/>
      <c r="BA255" s="2267"/>
      <c r="BB255" s="2267"/>
      <c r="BC255" s="2267"/>
      <c r="BD255" s="2267"/>
      <c r="BE255" s="2267"/>
      <c r="BF255" s="2267"/>
      <c r="BG255" s="2267"/>
      <c r="BH255" s="2267"/>
      <c r="BI255" s="2267"/>
      <c r="BJ255" s="2267"/>
      <c r="BK255" s="2267"/>
      <c r="BL255" s="2267"/>
      <c r="BM255" s="4278"/>
      <c r="BN255" s="2267"/>
      <c r="BO255" s="2267"/>
      <c r="BP255" s="2267"/>
      <c r="BQ255" s="2267"/>
      <c r="BR255" s="2267"/>
      <c r="BS255" s="2267"/>
      <c r="BT255" s="2267"/>
      <c r="BU255" s="2267"/>
    </row>
    <row r="256" spans="1:73" s="3" customFormat="1" ht="38.25" customHeight="1" x14ac:dyDescent="0.25">
      <c r="A256" s="1473"/>
      <c r="B256" s="1443"/>
      <c r="C256" s="1452"/>
      <c r="D256" s="1443"/>
      <c r="E256" s="4409"/>
      <c r="F256" s="4382"/>
      <c r="G256" s="4413"/>
      <c r="H256" s="2475"/>
      <c r="I256" s="4413"/>
      <c r="J256" s="2475"/>
      <c r="K256" s="3606"/>
      <c r="L256" s="2475"/>
      <c r="M256" s="3606"/>
      <c r="N256" s="2475"/>
      <c r="O256" s="4382"/>
      <c r="P256" s="4333"/>
      <c r="Q256" s="3385"/>
      <c r="R256" s="2476"/>
      <c r="S256" s="4339"/>
      <c r="T256" s="4311"/>
      <c r="U256" s="2476"/>
      <c r="V256" s="2285"/>
      <c r="W256" s="4283"/>
      <c r="X256" s="1669">
        <v>12803999183</v>
      </c>
      <c r="Y256" s="399">
        <v>6544336074.5</v>
      </c>
      <c r="Z256" s="399">
        <v>6544336074.5</v>
      </c>
      <c r="AA256" s="1583" t="s">
        <v>2479</v>
      </c>
      <c r="AB256" s="1480">
        <v>154</v>
      </c>
      <c r="AC256" s="1441" t="s">
        <v>2478</v>
      </c>
      <c r="AD256" s="2267"/>
      <c r="AE256" s="2267"/>
      <c r="AF256" s="2267"/>
      <c r="AG256" s="2267"/>
      <c r="AH256" s="4272"/>
      <c r="AI256" s="2267"/>
      <c r="AJ256" s="2267"/>
      <c r="AK256" s="2267"/>
      <c r="AL256" s="2267"/>
      <c r="AM256" s="2267"/>
      <c r="AN256" s="2267"/>
      <c r="AO256" s="2267"/>
      <c r="AP256" s="2267"/>
      <c r="AQ256" s="2267"/>
      <c r="AR256" s="2267"/>
      <c r="AS256" s="2267"/>
      <c r="AT256" s="2267"/>
      <c r="AU256" s="2267"/>
      <c r="AV256" s="2267"/>
      <c r="AW256" s="2267"/>
      <c r="AX256" s="2267"/>
      <c r="AY256" s="2267"/>
      <c r="AZ256" s="2267"/>
      <c r="BA256" s="2267"/>
      <c r="BB256" s="2267"/>
      <c r="BC256" s="2267"/>
      <c r="BD256" s="2267"/>
      <c r="BE256" s="2267"/>
      <c r="BF256" s="2267"/>
      <c r="BG256" s="2267"/>
      <c r="BH256" s="2267"/>
      <c r="BI256" s="2267"/>
      <c r="BJ256" s="2267"/>
      <c r="BK256" s="2267"/>
      <c r="BL256" s="2267"/>
      <c r="BM256" s="4278"/>
      <c r="BN256" s="2267"/>
      <c r="BO256" s="2267"/>
      <c r="BP256" s="2267"/>
      <c r="BQ256" s="2267"/>
      <c r="BR256" s="2267"/>
      <c r="BS256" s="2267"/>
      <c r="BT256" s="2267"/>
      <c r="BU256" s="2267"/>
    </row>
    <row r="257" spans="1:73" s="3" customFormat="1" ht="38.25" customHeight="1" x14ac:dyDescent="0.25">
      <c r="A257" s="1473"/>
      <c r="B257" s="1443"/>
      <c r="C257" s="1452"/>
      <c r="D257" s="1443"/>
      <c r="E257" s="4409"/>
      <c r="F257" s="4382"/>
      <c r="G257" s="4413"/>
      <c r="H257" s="2475"/>
      <c r="I257" s="4413"/>
      <c r="J257" s="2475"/>
      <c r="K257" s="3606"/>
      <c r="L257" s="2475"/>
      <c r="M257" s="3606"/>
      <c r="N257" s="2475"/>
      <c r="O257" s="4382"/>
      <c r="P257" s="4333"/>
      <c r="Q257" s="3385"/>
      <c r="R257" s="2476"/>
      <c r="S257" s="4339"/>
      <c r="T257" s="4311"/>
      <c r="U257" s="2476"/>
      <c r="V257" s="2285"/>
      <c r="W257" s="4283"/>
      <c r="X257" s="1669">
        <v>562403426</v>
      </c>
      <c r="Y257" s="399">
        <v>244840328.25999999</v>
      </c>
      <c r="Z257" s="399">
        <v>244840328.25999999</v>
      </c>
      <c r="AA257" s="1583" t="s">
        <v>2480</v>
      </c>
      <c r="AB257" s="1480">
        <v>154</v>
      </c>
      <c r="AC257" s="1441" t="s">
        <v>2478</v>
      </c>
      <c r="AD257" s="2267"/>
      <c r="AE257" s="2267"/>
      <c r="AF257" s="2267"/>
      <c r="AG257" s="2267"/>
      <c r="AH257" s="4272"/>
      <c r="AI257" s="2267"/>
      <c r="AJ257" s="2267"/>
      <c r="AK257" s="2267"/>
      <c r="AL257" s="2267"/>
      <c r="AM257" s="2267"/>
      <c r="AN257" s="2267"/>
      <c r="AO257" s="2267"/>
      <c r="AP257" s="2267"/>
      <c r="AQ257" s="2267"/>
      <c r="AR257" s="2267"/>
      <c r="AS257" s="2267"/>
      <c r="AT257" s="2267"/>
      <c r="AU257" s="2267"/>
      <c r="AV257" s="2267"/>
      <c r="AW257" s="2267"/>
      <c r="AX257" s="2267"/>
      <c r="AY257" s="2267"/>
      <c r="AZ257" s="2267"/>
      <c r="BA257" s="2267"/>
      <c r="BB257" s="2267"/>
      <c r="BC257" s="2267"/>
      <c r="BD257" s="2267"/>
      <c r="BE257" s="2267"/>
      <c r="BF257" s="2267"/>
      <c r="BG257" s="2267"/>
      <c r="BH257" s="2267"/>
      <c r="BI257" s="2267"/>
      <c r="BJ257" s="2267"/>
      <c r="BK257" s="2267"/>
      <c r="BL257" s="2267"/>
      <c r="BM257" s="4278"/>
      <c r="BN257" s="2267"/>
      <c r="BO257" s="2267"/>
      <c r="BP257" s="2267"/>
      <c r="BQ257" s="2267"/>
      <c r="BR257" s="2267"/>
      <c r="BS257" s="2267"/>
      <c r="BT257" s="2267"/>
      <c r="BU257" s="2267"/>
    </row>
    <row r="258" spans="1:73" s="3" customFormat="1" ht="38.25" customHeight="1" x14ac:dyDescent="0.25">
      <c r="A258" s="1473"/>
      <c r="B258" s="1443"/>
      <c r="C258" s="1452"/>
      <c r="D258" s="1443"/>
      <c r="E258" s="4409"/>
      <c r="F258" s="4382"/>
      <c r="G258" s="4413"/>
      <c r="H258" s="2475"/>
      <c r="I258" s="4413"/>
      <c r="J258" s="2475"/>
      <c r="K258" s="3606"/>
      <c r="L258" s="2475"/>
      <c r="M258" s="3606"/>
      <c r="N258" s="2475"/>
      <c r="O258" s="4382"/>
      <c r="P258" s="4333"/>
      <c r="Q258" s="3385"/>
      <c r="R258" s="2476"/>
      <c r="S258" s="4339"/>
      <c r="T258" s="4311"/>
      <c r="U258" s="2476"/>
      <c r="V258" s="2285"/>
      <c r="W258" s="4283"/>
      <c r="X258" s="1669">
        <v>949202444</v>
      </c>
      <c r="Y258" s="399">
        <v>425636776.05000001</v>
      </c>
      <c r="Z258" s="399">
        <v>425636776.05000001</v>
      </c>
      <c r="AA258" s="1583" t="s">
        <v>2481</v>
      </c>
      <c r="AB258" s="1480">
        <v>154</v>
      </c>
      <c r="AC258" s="1441" t="s">
        <v>2478</v>
      </c>
      <c r="AD258" s="2267"/>
      <c r="AE258" s="2267"/>
      <c r="AF258" s="2267"/>
      <c r="AG258" s="2267"/>
      <c r="AH258" s="4272"/>
      <c r="AI258" s="2267"/>
      <c r="AJ258" s="2267"/>
      <c r="AK258" s="2267"/>
      <c r="AL258" s="2267"/>
      <c r="AM258" s="2267"/>
      <c r="AN258" s="2267"/>
      <c r="AO258" s="2267"/>
      <c r="AP258" s="2267"/>
      <c r="AQ258" s="2267"/>
      <c r="AR258" s="2267"/>
      <c r="AS258" s="2267"/>
      <c r="AT258" s="2267"/>
      <c r="AU258" s="2267"/>
      <c r="AV258" s="2267"/>
      <c r="AW258" s="2267"/>
      <c r="AX258" s="2267"/>
      <c r="AY258" s="2267"/>
      <c r="AZ258" s="2267"/>
      <c r="BA258" s="2267"/>
      <c r="BB258" s="2267"/>
      <c r="BC258" s="2267"/>
      <c r="BD258" s="2267"/>
      <c r="BE258" s="2267"/>
      <c r="BF258" s="2267"/>
      <c r="BG258" s="2267"/>
      <c r="BH258" s="2267"/>
      <c r="BI258" s="2267"/>
      <c r="BJ258" s="2267"/>
      <c r="BK258" s="2267"/>
      <c r="BL258" s="2267"/>
      <c r="BM258" s="4278"/>
      <c r="BN258" s="2267"/>
      <c r="BO258" s="2267"/>
      <c r="BP258" s="2267"/>
      <c r="BQ258" s="2267"/>
      <c r="BR258" s="2267"/>
      <c r="BS258" s="2267"/>
      <c r="BT258" s="2267"/>
      <c r="BU258" s="2267"/>
    </row>
    <row r="259" spans="1:73" s="3" customFormat="1" ht="38.25" customHeight="1" x14ac:dyDescent="0.25">
      <c r="A259" s="1473"/>
      <c r="B259" s="1443"/>
      <c r="C259" s="1452"/>
      <c r="D259" s="1443"/>
      <c r="E259" s="4409"/>
      <c r="F259" s="4382"/>
      <c r="G259" s="4413"/>
      <c r="H259" s="2475"/>
      <c r="I259" s="4413"/>
      <c r="J259" s="2475"/>
      <c r="K259" s="3606"/>
      <c r="L259" s="2475"/>
      <c r="M259" s="3606"/>
      <c r="N259" s="2475"/>
      <c r="O259" s="4382"/>
      <c r="P259" s="4333"/>
      <c r="Q259" s="3385"/>
      <c r="R259" s="2476"/>
      <c r="S259" s="4339"/>
      <c r="T259" s="4311"/>
      <c r="U259" s="2476"/>
      <c r="V259" s="2285"/>
      <c r="W259" s="4283"/>
      <c r="X259" s="1669">
        <v>235833982</v>
      </c>
      <c r="Y259" s="399">
        <v>101336691.84</v>
      </c>
      <c r="Z259" s="399">
        <v>101336691.84</v>
      </c>
      <c r="AA259" s="1583" t="s">
        <v>2482</v>
      </c>
      <c r="AB259" s="1480">
        <v>154</v>
      </c>
      <c r="AC259" s="1441" t="s">
        <v>2478</v>
      </c>
      <c r="AD259" s="2267"/>
      <c r="AE259" s="2267"/>
      <c r="AF259" s="2267"/>
      <c r="AG259" s="2267"/>
      <c r="AH259" s="4272"/>
      <c r="AI259" s="2267"/>
      <c r="AJ259" s="2267"/>
      <c r="AK259" s="2267"/>
      <c r="AL259" s="2267"/>
      <c r="AM259" s="2267"/>
      <c r="AN259" s="2267"/>
      <c r="AO259" s="2267"/>
      <c r="AP259" s="2267"/>
      <c r="AQ259" s="2267"/>
      <c r="AR259" s="2267"/>
      <c r="AS259" s="2267"/>
      <c r="AT259" s="2267"/>
      <c r="AU259" s="2267"/>
      <c r="AV259" s="2267"/>
      <c r="AW259" s="2267"/>
      <c r="AX259" s="2267"/>
      <c r="AY259" s="2267"/>
      <c r="AZ259" s="2267"/>
      <c r="BA259" s="2267"/>
      <c r="BB259" s="2267"/>
      <c r="BC259" s="2267"/>
      <c r="BD259" s="2267"/>
      <c r="BE259" s="2267"/>
      <c r="BF259" s="2267"/>
      <c r="BG259" s="2267"/>
      <c r="BH259" s="2267"/>
      <c r="BI259" s="2267"/>
      <c r="BJ259" s="2267"/>
      <c r="BK259" s="2267"/>
      <c r="BL259" s="2267"/>
      <c r="BM259" s="4278"/>
      <c r="BN259" s="2267"/>
      <c r="BO259" s="2267"/>
      <c r="BP259" s="2267"/>
      <c r="BQ259" s="2267"/>
      <c r="BR259" s="2267"/>
      <c r="BS259" s="2267"/>
      <c r="BT259" s="2267"/>
      <c r="BU259" s="2267"/>
    </row>
    <row r="260" spans="1:73" s="3" customFormat="1" ht="38.25" customHeight="1" x14ac:dyDescent="0.25">
      <c r="A260" s="1473"/>
      <c r="B260" s="1443"/>
      <c r="C260" s="1452"/>
      <c r="D260" s="1443"/>
      <c r="E260" s="4409"/>
      <c r="F260" s="4382"/>
      <c r="G260" s="4413"/>
      <c r="H260" s="2475"/>
      <c r="I260" s="4413"/>
      <c r="J260" s="2475"/>
      <c r="K260" s="3606"/>
      <c r="L260" s="2475"/>
      <c r="M260" s="3606"/>
      <c r="N260" s="2475"/>
      <c r="O260" s="4382"/>
      <c r="P260" s="4333"/>
      <c r="Q260" s="3385"/>
      <c r="R260" s="2476"/>
      <c r="S260" s="4339"/>
      <c r="T260" s="4311"/>
      <c r="U260" s="2476"/>
      <c r="V260" s="2285"/>
      <c r="W260" s="4283"/>
      <c r="X260" s="1669">
        <v>2767170866</v>
      </c>
      <c r="Y260" s="399">
        <v>1264498284.8800001</v>
      </c>
      <c r="Z260" s="399">
        <v>1264498284.8800001</v>
      </c>
      <c r="AA260" s="1583" t="s">
        <v>2483</v>
      </c>
      <c r="AB260" s="1480">
        <v>154</v>
      </c>
      <c r="AC260" s="1441" t="s">
        <v>2478</v>
      </c>
      <c r="AD260" s="2267"/>
      <c r="AE260" s="2267"/>
      <c r="AF260" s="2267"/>
      <c r="AG260" s="2267"/>
      <c r="AH260" s="4272"/>
      <c r="AI260" s="2267"/>
      <c r="AJ260" s="2267"/>
      <c r="AK260" s="2267"/>
      <c r="AL260" s="2267"/>
      <c r="AM260" s="2267"/>
      <c r="AN260" s="2267"/>
      <c r="AO260" s="2267"/>
      <c r="AP260" s="2267"/>
      <c r="AQ260" s="2267"/>
      <c r="AR260" s="2267"/>
      <c r="AS260" s="2267"/>
      <c r="AT260" s="2267"/>
      <c r="AU260" s="2267"/>
      <c r="AV260" s="2267"/>
      <c r="AW260" s="2267"/>
      <c r="AX260" s="2267"/>
      <c r="AY260" s="2267"/>
      <c r="AZ260" s="2267"/>
      <c r="BA260" s="2267"/>
      <c r="BB260" s="2267"/>
      <c r="BC260" s="2267"/>
      <c r="BD260" s="2267"/>
      <c r="BE260" s="2267"/>
      <c r="BF260" s="2267"/>
      <c r="BG260" s="2267"/>
      <c r="BH260" s="2267"/>
      <c r="BI260" s="2267"/>
      <c r="BJ260" s="2267"/>
      <c r="BK260" s="2267"/>
      <c r="BL260" s="2267"/>
      <c r="BM260" s="4278"/>
      <c r="BN260" s="2267"/>
      <c r="BO260" s="2267"/>
      <c r="BP260" s="2267"/>
      <c r="BQ260" s="2267"/>
      <c r="BR260" s="2267"/>
      <c r="BS260" s="2267"/>
      <c r="BT260" s="2267"/>
      <c r="BU260" s="2267"/>
    </row>
    <row r="261" spans="1:73" s="3" customFormat="1" ht="38.25" customHeight="1" x14ac:dyDescent="0.25">
      <c r="A261" s="1473"/>
      <c r="B261" s="1443"/>
      <c r="C261" s="1452"/>
      <c r="D261" s="1443"/>
      <c r="E261" s="4409"/>
      <c r="F261" s="4382"/>
      <c r="G261" s="4413"/>
      <c r="H261" s="2475"/>
      <c r="I261" s="4413"/>
      <c r="J261" s="2475"/>
      <c r="K261" s="3606"/>
      <c r="L261" s="2475"/>
      <c r="M261" s="3606"/>
      <c r="N261" s="2475"/>
      <c r="O261" s="4382"/>
      <c r="P261" s="4333"/>
      <c r="Q261" s="3385"/>
      <c r="R261" s="2476"/>
      <c r="S261" s="4339"/>
      <c r="T261" s="4311"/>
      <c r="U261" s="2476"/>
      <c r="V261" s="2285"/>
      <c r="W261" s="4283"/>
      <c r="X261" s="1669">
        <v>4232306721</v>
      </c>
      <c r="Y261" s="399">
        <v>1926927395.3199999</v>
      </c>
      <c r="Z261" s="399">
        <v>1926927395.3199999</v>
      </c>
      <c r="AA261" s="1583" t="s">
        <v>2484</v>
      </c>
      <c r="AB261" s="1480">
        <v>154</v>
      </c>
      <c r="AC261" s="1441" t="s">
        <v>2478</v>
      </c>
      <c r="AD261" s="2267"/>
      <c r="AE261" s="2267"/>
      <c r="AF261" s="2267"/>
      <c r="AG261" s="2267"/>
      <c r="AH261" s="4272"/>
      <c r="AI261" s="2267"/>
      <c r="AJ261" s="2267"/>
      <c r="AK261" s="2267"/>
      <c r="AL261" s="2267"/>
      <c r="AM261" s="2267"/>
      <c r="AN261" s="2267"/>
      <c r="AO261" s="2267"/>
      <c r="AP261" s="2267"/>
      <c r="AQ261" s="2267"/>
      <c r="AR261" s="2267"/>
      <c r="AS261" s="2267"/>
      <c r="AT261" s="2267"/>
      <c r="AU261" s="2267"/>
      <c r="AV261" s="2267"/>
      <c r="AW261" s="2267"/>
      <c r="AX261" s="2267"/>
      <c r="AY261" s="2267"/>
      <c r="AZ261" s="2267"/>
      <c r="BA261" s="2267"/>
      <c r="BB261" s="2267"/>
      <c r="BC261" s="2267"/>
      <c r="BD261" s="2267"/>
      <c r="BE261" s="2267"/>
      <c r="BF261" s="2267"/>
      <c r="BG261" s="2267"/>
      <c r="BH261" s="2267"/>
      <c r="BI261" s="2267"/>
      <c r="BJ261" s="2267"/>
      <c r="BK261" s="2267"/>
      <c r="BL261" s="2267"/>
      <c r="BM261" s="4278"/>
      <c r="BN261" s="2267"/>
      <c r="BO261" s="2267"/>
      <c r="BP261" s="2267"/>
      <c r="BQ261" s="2267"/>
      <c r="BR261" s="2267"/>
      <c r="BS261" s="2267"/>
      <c r="BT261" s="2267"/>
      <c r="BU261" s="2267"/>
    </row>
    <row r="262" spans="1:73" s="3" customFormat="1" ht="38.25" customHeight="1" x14ac:dyDescent="0.25">
      <c r="A262" s="1473"/>
      <c r="B262" s="1443"/>
      <c r="C262" s="1452"/>
      <c r="D262" s="1443"/>
      <c r="E262" s="4409"/>
      <c r="F262" s="4382"/>
      <c r="G262" s="4413"/>
      <c r="H262" s="2475"/>
      <c r="I262" s="4413"/>
      <c r="J262" s="2475"/>
      <c r="K262" s="3606"/>
      <c r="L262" s="2475"/>
      <c r="M262" s="3606"/>
      <c r="N262" s="2475"/>
      <c r="O262" s="4382"/>
      <c r="P262" s="4333"/>
      <c r="Q262" s="3385"/>
      <c r="R262" s="2476"/>
      <c r="S262" s="4339"/>
      <c r="T262" s="4311"/>
      <c r="U262" s="2476"/>
      <c r="V262" s="2285"/>
      <c r="W262" s="4283"/>
      <c r="X262" s="1669">
        <v>432297116</v>
      </c>
      <c r="Y262" s="399">
        <v>196892431.63</v>
      </c>
      <c r="Z262" s="399">
        <v>196892431.63</v>
      </c>
      <c r="AA262" s="1583" t="s">
        <v>2485</v>
      </c>
      <c r="AB262" s="1480">
        <v>154</v>
      </c>
      <c r="AC262" s="1441" t="s">
        <v>2478</v>
      </c>
      <c r="AD262" s="2267"/>
      <c r="AE262" s="2267"/>
      <c r="AF262" s="2267"/>
      <c r="AG262" s="2267"/>
      <c r="AH262" s="4272"/>
      <c r="AI262" s="2267"/>
      <c r="AJ262" s="2267"/>
      <c r="AK262" s="2267"/>
      <c r="AL262" s="2267"/>
      <c r="AM262" s="2267"/>
      <c r="AN262" s="2267"/>
      <c r="AO262" s="2267"/>
      <c r="AP262" s="2267"/>
      <c r="AQ262" s="2267"/>
      <c r="AR262" s="2267"/>
      <c r="AS262" s="2267"/>
      <c r="AT262" s="2267"/>
      <c r="AU262" s="2267"/>
      <c r="AV262" s="2267"/>
      <c r="AW262" s="2267"/>
      <c r="AX262" s="2267"/>
      <c r="AY262" s="2267"/>
      <c r="AZ262" s="2267"/>
      <c r="BA262" s="2267"/>
      <c r="BB262" s="2267"/>
      <c r="BC262" s="2267"/>
      <c r="BD262" s="2267"/>
      <c r="BE262" s="2267"/>
      <c r="BF262" s="2267"/>
      <c r="BG262" s="2267"/>
      <c r="BH262" s="2267"/>
      <c r="BI262" s="2267"/>
      <c r="BJ262" s="2267"/>
      <c r="BK262" s="2267"/>
      <c r="BL262" s="2267"/>
      <c r="BM262" s="4278"/>
      <c r="BN262" s="2267"/>
      <c r="BO262" s="2267"/>
      <c r="BP262" s="2267"/>
      <c r="BQ262" s="2267"/>
      <c r="BR262" s="2267"/>
      <c r="BS262" s="2267"/>
      <c r="BT262" s="2267"/>
      <c r="BU262" s="2267"/>
    </row>
    <row r="263" spans="1:73" s="3" customFormat="1" ht="38.25" customHeight="1" x14ac:dyDescent="0.25">
      <c r="A263" s="1473"/>
      <c r="B263" s="1443"/>
      <c r="C263" s="1452"/>
      <c r="D263" s="1443"/>
      <c r="E263" s="4409"/>
      <c r="F263" s="4382"/>
      <c r="G263" s="4413"/>
      <c r="H263" s="2475"/>
      <c r="I263" s="4413"/>
      <c r="J263" s="2475"/>
      <c r="K263" s="3606"/>
      <c r="L263" s="2475"/>
      <c r="M263" s="3606"/>
      <c r="N263" s="2475"/>
      <c r="O263" s="4382"/>
      <c r="P263" s="4333"/>
      <c r="Q263" s="3385"/>
      <c r="R263" s="2476"/>
      <c r="S263" s="4339"/>
      <c r="T263" s="4311"/>
      <c r="U263" s="2476"/>
      <c r="V263" s="2285"/>
      <c r="W263" s="4283"/>
      <c r="X263" s="1669">
        <v>787938412</v>
      </c>
      <c r="Y263" s="399">
        <v>341246208.55000001</v>
      </c>
      <c r="Z263" s="399">
        <v>341246208.55000001</v>
      </c>
      <c r="AA263" s="1583" t="s">
        <v>2486</v>
      </c>
      <c r="AB263" s="1480">
        <v>154</v>
      </c>
      <c r="AC263" s="1441" t="s">
        <v>2478</v>
      </c>
      <c r="AD263" s="2267"/>
      <c r="AE263" s="2267"/>
      <c r="AF263" s="2267"/>
      <c r="AG263" s="2267"/>
      <c r="AH263" s="4272"/>
      <c r="AI263" s="2267"/>
      <c r="AJ263" s="2267"/>
      <c r="AK263" s="2267"/>
      <c r="AL263" s="2267"/>
      <c r="AM263" s="2267"/>
      <c r="AN263" s="2267"/>
      <c r="AO263" s="2267"/>
      <c r="AP263" s="2267"/>
      <c r="AQ263" s="2267"/>
      <c r="AR263" s="2267"/>
      <c r="AS263" s="2267"/>
      <c r="AT263" s="2267"/>
      <c r="AU263" s="2267"/>
      <c r="AV263" s="2267"/>
      <c r="AW263" s="2267"/>
      <c r="AX263" s="2267"/>
      <c r="AY263" s="2267"/>
      <c r="AZ263" s="2267"/>
      <c r="BA263" s="2267"/>
      <c r="BB263" s="2267"/>
      <c r="BC263" s="2267"/>
      <c r="BD263" s="2267"/>
      <c r="BE263" s="2267"/>
      <c r="BF263" s="2267"/>
      <c r="BG263" s="2267"/>
      <c r="BH263" s="2267"/>
      <c r="BI263" s="2267"/>
      <c r="BJ263" s="2267"/>
      <c r="BK263" s="2267"/>
      <c r="BL263" s="2267"/>
      <c r="BM263" s="4278"/>
      <c r="BN263" s="2267"/>
      <c r="BO263" s="2267"/>
      <c r="BP263" s="2267"/>
      <c r="BQ263" s="2267"/>
      <c r="BR263" s="2267"/>
      <c r="BS263" s="2267"/>
      <c r="BT263" s="2267"/>
      <c r="BU263" s="2267"/>
    </row>
    <row r="264" spans="1:73" s="3" customFormat="1" ht="38.25" customHeight="1" x14ac:dyDescent="0.25">
      <c r="A264" s="1473"/>
      <c r="B264" s="1443"/>
      <c r="C264" s="1452"/>
      <c r="D264" s="1443"/>
      <c r="E264" s="4409"/>
      <c r="F264" s="4382"/>
      <c r="G264" s="4413"/>
      <c r="H264" s="2475"/>
      <c r="I264" s="4413"/>
      <c r="J264" s="2475"/>
      <c r="K264" s="3606"/>
      <c r="L264" s="2475"/>
      <c r="M264" s="3606"/>
      <c r="N264" s="2475"/>
      <c r="O264" s="4382"/>
      <c r="P264" s="4333"/>
      <c r="Q264" s="3385"/>
      <c r="R264" s="2476"/>
      <c r="S264" s="4339"/>
      <c r="T264" s="4311"/>
      <c r="U264" s="2476"/>
      <c r="V264" s="2285"/>
      <c r="W264" s="4283"/>
      <c r="X264" s="1669">
        <v>1806365756</v>
      </c>
      <c r="Y264" s="399">
        <v>824522479.13999999</v>
      </c>
      <c r="Z264" s="399">
        <v>824522479.13999999</v>
      </c>
      <c r="AA264" s="1583" t="s">
        <v>2487</v>
      </c>
      <c r="AB264" s="1480">
        <v>154</v>
      </c>
      <c r="AC264" s="1441" t="s">
        <v>2478</v>
      </c>
      <c r="AD264" s="2267"/>
      <c r="AE264" s="2267"/>
      <c r="AF264" s="2267"/>
      <c r="AG264" s="2267"/>
      <c r="AH264" s="4272"/>
      <c r="AI264" s="2267"/>
      <c r="AJ264" s="2267"/>
      <c r="AK264" s="2267"/>
      <c r="AL264" s="2267"/>
      <c r="AM264" s="2267"/>
      <c r="AN264" s="2267"/>
      <c r="AO264" s="2267"/>
      <c r="AP264" s="2267"/>
      <c r="AQ264" s="2267"/>
      <c r="AR264" s="2267"/>
      <c r="AS264" s="2267"/>
      <c r="AT264" s="2267"/>
      <c r="AU264" s="2267"/>
      <c r="AV264" s="2267"/>
      <c r="AW264" s="2267"/>
      <c r="AX264" s="2267"/>
      <c r="AY264" s="2267"/>
      <c r="AZ264" s="2267"/>
      <c r="BA264" s="2267"/>
      <c r="BB264" s="2267"/>
      <c r="BC264" s="2267"/>
      <c r="BD264" s="2267"/>
      <c r="BE264" s="2267"/>
      <c r="BF264" s="2267"/>
      <c r="BG264" s="2267"/>
      <c r="BH264" s="2267"/>
      <c r="BI264" s="2267"/>
      <c r="BJ264" s="2267"/>
      <c r="BK264" s="2267"/>
      <c r="BL264" s="2267"/>
      <c r="BM264" s="4278"/>
      <c r="BN264" s="2267"/>
      <c r="BO264" s="2267"/>
      <c r="BP264" s="2267"/>
      <c r="BQ264" s="2267"/>
      <c r="BR264" s="2267"/>
      <c r="BS264" s="2267"/>
      <c r="BT264" s="2267"/>
      <c r="BU264" s="2267"/>
    </row>
    <row r="265" spans="1:73" s="3" customFormat="1" ht="38.25" customHeight="1" x14ac:dyDescent="0.25">
      <c r="A265" s="1473"/>
      <c r="B265" s="1443"/>
      <c r="C265" s="1452"/>
      <c r="D265" s="1443"/>
      <c r="E265" s="4409"/>
      <c r="F265" s="4382"/>
      <c r="G265" s="4413"/>
      <c r="H265" s="2475"/>
      <c r="I265" s="4413"/>
      <c r="J265" s="2475"/>
      <c r="K265" s="3606"/>
      <c r="L265" s="2475"/>
      <c r="M265" s="3606"/>
      <c r="N265" s="2475"/>
      <c r="O265" s="4382"/>
      <c r="P265" s="4333"/>
      <c r="Q265" s="3385"/>
      <c r="R265" s="2476"/>
      <c r="S265" s="4339"/>
      <c r="T265" s="4311"/>
      <c r="U265" s="2476"/>
      <c r="V265" s="2285"/>
      <c r="W265" s="4283"/>
      <c r="X265" s="1669">
        <v>509995874</v>
      </c>
      <c r="Y265" s="399">
        <v>220696352.41999999</v>
      </c>
      <c r="Z265" s="399">
        <v>220696352.41999999</v>
      </c>
      <c r="AA265" s="1583" t="s">
        <v>2488</v>
      </c>
      <c r="AB265" s="1480">
        <v>154</v>
      </c>
      <c r="AC265" s="1441" t="s">
        <v>2478</v>
      </c>
      <c r="AD265" s="2267"/>
      <c r="AE265" s="2267"/>
      <c r="AF265" s="2267"/>
      <c r="AG265" s="2267"/>
      <c r="AH265" s="4272"/>
      <c r="AI265" s="2267"/>
      <c r="AJ265" s="2267"/>
      <c r="AK265" s="2267"/>
      <c r="AL265" s="2267"/>
      <c r="AM265" s="2267"/>
      <c r="AN265" s="2267"/>
      <c r="AO265" s="2267"/>
      <c r="AP265" s="2267"/>
      <c r="AQ265" s="2267"/>
      <c r="AR265" s="2267"/>
      <c r="AS265" s="2267"/>
      <c r="AT265" s="2267"/>
      <c r="AU265" s="2267"/>
      <c r="AV265" s="2267"/>
      <c r="AW265" s="2267"/>
      <c r="AX265" s="2267"/>
      <c r="AY265" s="2267"/>
      <c r="AZ265" s="2267"/>
      <c r="BA265" s="2267"/>
      <c r="BB265" s="2267"/>
      <c r="BC265" s="2267"/>
      <c r="BD265" s="2267"/>
      <c r="BE265" s="2267"/>
      <c r="BF265" s="2267"/>
      <c r="BG265" s="2267"/>
      <c r="BH265" s="2267"/>
      <c r="BI265" s="2267"/>
      <c r="BJ265" s="2267"/>
      <c r="BK265" s="2267"/>
      <c r="BL265" s="2267"/>
      <c r="BM265" s="4278"/>
      <c r="BN265" s="2267"/>
      <c r="BO265" s="2267"/>
      <c r="BP265" s="2267"/>
      <c r="BQ265" s="2267"/>
      <c r="BR265" s="2267"/>
      <c r="BS265" s="2267"/>
      <c r="BT265" s="2267"/>
      <c r="BU265" s="2267"/>
    </row>
    <row r="266" spans="1:73" s="3" customFormat="1" ht="38.25" customHeight="1" x14ac:dyDescent="0.25">
      <c r="A266" s="1473"/>
      <c r="B266" s="1443"/>
      <c r="C266" s="1452"/>
      <c r="D266" s="1443"/>
      <c r="E266" s="4409"/>
      <c r="F266" s="4382"/>
      <c r="G266" s="4413"/>
      <c r="H266" s="2475"/>
      <c r="I266" s="4413"/>
      <c r="J266" s="2475"/>
      <c r="K266" s="3606"/>
      <c r="L266" s="2475"/>
      <c r="M266" s="3606"/>
      <c r="N266" s="2475"/>
      <c r="O266" s="4382"/>
      <c r="P266" s="4333"/>
      <c r="Q266" s="3385"/>
      <c r="R266" s="2476"/>
      <c r="S266" s="4339"/>
      <c r="T266" s="4311"/>
      <c r="U266" s="2476"/>
      <c r="V266" s="2285"/>
      <c r="W266" s="4284"/>
      <c r="X266" s="1669">
        <v>2818926583</v>
      </c>
      <c r="Y266" s="399">
        <v>1277420411.29</v>
      </c>
      <c r="Z266" s="399">
        <v>1277420411.26</v>
      </c>
      <c r="AA266" s="1583" t="s">
        <v>2489</v>
      </c>
      <c r="AB266" s="1480">
        <v>154</v>
      </c>
      <c r="AC266" s="1441" t="s">
        <v>2478</v>
      </c>
      <c r="AD266" s="2267"/>
      <c r="AE266" s="2267"/>
      <c r="AF266" s="2267"/>
      <c r="AG266" s="2267"/>
      <c r="AH266" s="4272"/>
      <c r="AI266" s="2267"/>
      <c r="AJ266" s="2267"/>
      <c r="AK266" s="2267"/>
      <c r="AL266" s="2267"/>
      <c r="AM266" s="2267"/>
      <c r="AN266" s="2267"/>
      <c r="AO266" s="2267"/>
      <c r="AP266" s="2267"/>
      <c r="AQ266" s="2267"/>
      <c r="AR266" s="2267"/>
      <c r="AS266" s="2267"/>
      <c r="AT266" s="2267"/>
      <c r="AU266" s="2267"/>
      <c r="AV266" s="2267"/>
      <c r="AW266" s="2267"/>
      <c r="AX266" s="2267"/>
      <c r="AY266" s="2267"/>
      <c r="AZ266" s="2267"/>
      <c r="BA266" s="2267"/>
      <c r="BB266" s="2267"/>
      <c r="BC266" s="2267"/>
      <c r="BD266" s="2267"/>
      <c r="BE266" s="2267"/>
      <c r="BF266" s="2267"/>
      <c r="BG266" s="2267"/>
      <c r="BH266" s="2267"/>
      <c r="BI266" s="2267"/>
      <c r="BJ266" s="2267"/>
      <c r="BK266" s="2267"/>
      <c r="BL266" s="2267"/>
      <c r="BM266" s="4278"/>
      <c r="BN266" s="2267"/>
      <c r="BO266" s="2267"/>
      <c r="BP266" s="2267"/>
      <c r="BQ266" s="2267"/>
      <c r="BR266" s="2267"/>
      <c r="BS266" s="2267"/>
      <c r="BT266" s="2267"/>
      <c r="BU266" s="2267"/>
    </row>
    <row r="267" spans="1:73" s="3" customFormat="1" ht="105" customHeight="1" x14ac:dyDescent="0.25">
      <c r="A267" s="1473"/>
      <c r="B267" s="1443"/>
      <c r="C267" s="1452"/>
      <c r="D267" s="1443"/>
      <c r="E267" s="4409"/>
      <c r="F267" s="4382"/>
      <c r="G267" s="4413"/>
      <c r="H267" s="2475"/>
      <c r="I267" s="4413"/>
      <c r="J267" s="2475"/>
      <c r="K267" s="3606"/>
      <c r="L267" s="2475"/>
      <c r="M267" s="3606"/>
      <c r="N267" s="2475"/>
      <c r="O267" s="4382"/>
      <c r="P267" s="4331"/>
      <c r="Q267" s="3385"/>
      <c r="R267" s="2476"/>
      <c r="S267" s="4339"/>
      <c r="T267" s="4311"/>
      <c r="U267" s="2476"/>
      <c r="V267" s="2285"/>
      <c r="W267" s="1447" t="s">
        <v>2490</v>
      </c>
      <c r="X267" s="1582">
        <v>0</v>
      </c>
      <c r="Y267" s="1582"/>
      <c r="Z267" s="1584"/>
      <c r="AA267" s="1668"/>
      <c r="AB267" s="1480"/>
      <c r="AC267" s="1441"/>
      <c r="AD267" s="2439"/>
      <c r="AE267" s="2439"/>
      <c r="AF267" s="2267"/>
      <c r="AG267" s="2439"/>
      <c r="AH267" s="4272"/>
      <c r="AI267" s="2439"/>
      <c r="AJ267" s="2267"/>
      <c r="AK267" s="2439"/>
      <c r="AL267" s="2267"/>
      <c r="AM267" s="2439"/>
      <c r="AN267" s="2267"/>
      <c r="AO267" s="2439"/>
      <c r="AP267" s="2267"/>
      <c r="AQ267" s="2439"/>
      <c r="AR267" s="2267"/>
      <c r="AS267" s="2439"/>
      <c r="AT267" s="2267"/>
      <c r="AU267" s="2439"/>
      <c r="AV267" s="2267"/>
      <c r="AW267" s="2439"/>
      <c r="AX267" s="2267"/>
      <c r="AY267" s="2439"/>
      <c r="AZ267" s="2267"/>
      <c r="BA267" s="2439"/>
      <c r="BB267" s="2267"/>
      <c r="BC267" s="2439"/>
      <c r="BD267" s="2267"/>
      <c r="BE267" s="2439"/>
      <c r="BF267" s="2267"/>
      <c r="BG267" s="2439"/>
      <c r="BH267" s="2267"/>
      <c r="BI267" s="2439"/>
      <c r="BJ267" s="2439"/>
      <c r="BK267" s="2439"/>
      <c r="BL267" s="2439"/>
      <c r="BM267" s="4279"/>
      <c r="BN267" s="2439"/>
      <c r="BO267" s="2439"/>
      <c r="BP267" s="2439"/>
      <c r="BQ267" s="2267"/>
      <c r="BR267" s="2267"/>
      <c r="BS267" s="2267"/>
      <c r="BT267" s="2267"/>
      <c r="BU267" s="2267"/>
    </row>
    <row r="268" spans="1:73" s="3" customFormat="1" ht="76.5" customHeight="1" x14ac:dyDescent="0.25">
      <c r="A268" s="1473"/>
      <c r="B268" s="1443"/>
      <c r="C268" s="1452"/>
      <c r="D268" s="1443"/>
      <c r="E268" s="4409"/>
      <c r="F268" s="4382"/>
      <c r="G268" s="2664" t="s">
        <v>74</v>
      </c>
      <c r="H268" s="2475" t="s">
        <v>2491</v>
      </c>
      <c r="I268" s="2664">
        <v>1906023</v>
      </c>
      <c r="J268" s="2475" t="s">
        <v>2473</v>
      </c>
      <c r="K268" s="3606" t="s">
        <v>74</v>
      </c>
      <c r="L268" s="2475" t="s">
        <v>2492</v>
      </c>
      <c r="M268" s="3606">
        <v>190602301</v>
      </c>
      <c r="N268" s="2475" t="s">
        <v>2475</v>
      </c>
      <c r="O268" s="2664">
        <v>60</v>
      </c>
      <c r="P268" s="3914">
        <v>32</v>
      </c>
      <c r="Q268" s="3408" t="s">
        <v>2493</v>
      </c>
      <c r="R268" s="3408" t="s">
        <v>2494</v>
      </c>
      <c r="S268" s="3474">
        <f>SUM(X268:X269/T268)</f>
        <v>9.9872685925062918E-2</v>
      </c>
      <c r="T268" s="4372">
        <f>SUM(X268:X281)</f>
        <v>13633483743.710001</v>
      </c>
      <c r="U268" s="4414" t="s">
        <v>2495</v>
      </c>
      <c r="V268" s="4414" t="s">
        <v>2496</v>
      </c>
      <c r="W268" s="2476" t="s">
        <v>2497</v>
      </c>
      <c r="X268" s="1584">
        <v>1361612640</v>
      </c>
      <c r="Y268" s="1584">
        <v>650094552</v>
      </c>
      <c r="Z268" s="1584"/>
      <c r="AA268" s="1583" t="s">
        <v>2498</v>
      </c>
      <c r="AB268" s="1480">
        <v>110</v>
      </c>
      <c r="AC268" s="1671" t="s">
        <v>2499</v>
      </c>
      <c r="AD268" s="2438">
        <v>292684</v>
      </c>
      <c r="AE268" s="2438"/>
      <c r="AF268" s="2438">
        <v>282326</v>
      </c>
      <c r="AG268" s="2438"/>
      <c r="AH268" s="3809">
        <v>135912</v>
      </c>
      <c r="AI268" s="2438"/>
      <c r="AJ268" s="2438">
        <v>45122</v>
      </c>
      <c r="AK268" s="2438"/>
      <c r="AL268" s="2438">
        <v>365607</v>
      </c>
      <c r="AM268" s="2438"/>
      <c r="AN268" s="2438">
        <v>75612</v>
      </c>
      <c r="AO268" s="2438"/>
      <c r="AP268" s="2438">
        <v>2145</v>
      </c>
      <c r="AQ268" s="2438"/>
      <c r="AR268" s="2438">
        <v>12718</v>
      </c>
      <c r="AS268" s="2438"/>
      <c r="AT268" s="2438">
        <v>26</v>
      </c>
      <c r="AU268" s="2438"/>
      <c r="AV268" s="2438">
        <v>37</v>
      </c>
      <c r="AW268" s="2438"/>
      <c r="AX268" s="2438">
        <v>0</v>
      </c>
      <c r="AY268" s="2438"/>
      <c r="AZ268" s="2438">
        <v>0</v>
      </c>
      <c r="BA268" s="2438"/>
      <c r="BB268" s="2438">
        <v>53164</v>
      </c>
      <c r="BC268" s="2438"/>
      <c r="BD268" s="2438">
        <v>16982</v>
      </c>
      <c r="BE268" s="2438"/>
      <c r="BF268" s="2438">
        <v>60013</v>
      </c>
      <c r="BG268" s="2438"/>
      <c r="BH268" s="2438">
        <v>575010</v>
      </c>
      <c r="BI268" s="2438"/>
      <c r="BJ268" s="2438">
        <v>0</v>
      </c>
      <c r="BK268" s="4287">
        <f>SUM(Y268:Y273)</f>
        <v>2850009988</v>
      </c>
      <c r="BL268" s="4287">
        <f>SUM(Z268:Z273)</f>
        <v>0</v>
      </c>
      <c r="BM268" s="4277"/>
      <c r="BN268" s="2438" t="s">
        <v>2500</v>
      </c>
      <c r="BO268" s="2438" t="s">
        <v>2501</v>
      </c>
      <c r="BP268" s="2438" t="s">
        <v>2116</v>
      </c>
      <c r="BQ268" s="4285">
        <v>44197</v>
      </c>
      <c r="BR268" s="4285">
        <v>44271</v>
      </c>
      <c r="BS268" s="4285">
        <v>44561</v>
      </c>
      <c r="BT268" s="4285">
        <v>44561</v>
      </c>
      <c r="BU268" s="2438" t="s">
        <v>1991</v>
      </c>
    </row>
    <row r="269" spans="1:73" s="3" customFormat="1" ht="77.25" customHeight="1" x14ac:dyDescent="0.25">
      <c r="A269" s="1473"/>
      <c r="B269" s="1443"/>
      <c r="C269" s="1452"/>
      <c r="D269" s="1443"/>
      <c r="E269" s="4409"/>
      <c r="F269" s="4382"/>
      <c r="G269" s="2664"/>
      <c r="H269" s="2475"/>
      <c r="I269" s="2664"/>
      <c r="J269" s="2475"/>
      <c r="K269" s="3606"/>
      <c r="L269" s="2475"/>
      <c r="M269" s="3606"/>
      <c r="N269" s="2475"/>
      <c r="O269" s="2664"/>
      <c r="P269" s="3914"/>
      <c r="Q269" s="3409"/>
      <c r="R269" s="3409"/>
      <c r="S269" s="2464"/>
      <c r="T269" s="4385"/>
      <c r="U269" s="4415"/>
      <c r="V269" s="4415"/>
      <c r="W269" s="2476"/>
      <c r="X269" s="1584">
        <v>60788321</v>
      </c>
      <c r="Y269" s="1584"/>
      <c r="Z269" s="1584"/>
      <c r="AA269" s="1583" t="s">
        <v>2502</v>
      </c>
      <c r="AB269" s="1480">
        <v>155</v>
      </c>
      <c r="AC269" s="1671" t="s">
        <v>2503</v>
      </c>
      <c r="AD269" s="2267"/>
      <c r="AE269" s="2267"/>
      <c r="AF269" s="2267"/>
      <c r="AG269" s="2267"/>
      <c r="AH269" s="4272"/>
      <c r="AI269" s="2267"/>
      <c r="AJ269" s="2267"/>
      <c r="AK269" s="2267"/>
      <c r="AL269" s="2267"/>
      <c r="AM269" s="2267"/>
      <c r="AN269" s="2267"/>
      <c r="AO269" s="2267"/>
      <c r="AP269" s="2267"/>
      <c r="AQ269" s="2267"/>
      <c r="AR269" s="2267"/>
      <c r="AS269" s="2267"/>
      <c r="AT269" s="2267"/>
      <c r="AU269" s="2267"/>
      <c r="AV269" s="2267"/>
      <c r="AW269" s="2267"/>
      <c r="AX269" s="2267"/>
      <c r="AY269" s="2267"/>
      <c r="AZ269" s="2267"/>
      <c r="BA269" s="2267"/>
      <c r="BB269" s="2267"/>
      <c r="BC269" s="2267"/>
      <c r="BD269" s="2267"/>
      <c r="BE269" s="2267"/>
      <c r="BF269" s="2267"/>
      <c r="BG269" s="2267"/>
      <c r="BH269" s="2267"/>
      <c r="BI269" s="2267"/>
      <c r="BJ269" s="2267"/>
      <c r="BK269" s="2267"/>
      <c r="BL269" s="2267"/>
      <c r="BM269" s="4278"/>
      <c r="BN269" s="2267"/>
      <c r="BO269" s="2267"/>
      <c r="BP269" s="2267"/>
      <c r="BQ269" s="2267"/>
      <c r="BR269" s="2267"/>
      <c r="BS269" s="2267"/>
      <c r="BT269" s="2267"/>
      <c r="BU269" s="2267"/>
    </row>
    <row r="270" spans="1:73" s="3" customFormat="1" ht="126.75" customHeight="1" x14ac:dyDescent="0.25">
      <c r="A270" s="1473"/>
      <c r="B270" s="1443"/>
      <c r="C270" s="1452"/>
      <c r="D270" s="1443"/>
      <c r="E270" s="4409"/>
      <c r="F270" s="4382"/>
      <c r="G270" s="2664" t="s">
        <v>74</v>
      </c>
      <c r="H270" s="2475" t="s">
        <v>2504</v>
      </c>
      <c r="I270" s="2664">
        <v>1906025</v>
      </c>
      <c r="J270" s="2475" t="s">
        <v>2505</v>
      </c>
      <c r="K270" s="3606" t="s">
        <v>74</v>
      </c>
      <c r="L270" s="2475" t="s">
        <v>2506</v>
      </c>
      <c r="M270" s="3606">
        <v>190602500</v>
      </c>
      <c r="N270" s="2475" t="s">
        <v>2507</v>
      </c>
      <c r="O270" s="2664">
        <v>100</v>
      </c>
      <c r="P270" s="3914">
        <v>50</v>
      </c>
      <c r="Q270" s="3409"/>
      <c r="R270" s="3409"/>
      <c r="S270" s="3474">
        <f>SUM(X270:X271)/T268</f>
        <v>0.15655523812721253</v>
      </c>
      <c r="T270" s="4385"/>
      <c r="U270" s="4415"/>
      <c r="V270" s="4415"/>
      <c r="W270" s="2476" t="s">
        <v>2508</v>
      </c>
      <c r="X270" s="1584">
        <v>400000000</v>
      </c>
      <c r="Y270" s="1584"/>
      <c r="Z270" s="1584"/>
      <c r="AA270" s="1583" t="s">
        <v>2509</v>
      </c>
      <c r="AB270" s="1480">
        <v>35</v>
      </c>
      <c r="AC270" s="1671" t="s">
        <v>2510</v>
      </c>
      <c r="AD270" s="2267"/>
      <c r="AE270" s="2267"/>
      <c r="AF270" s="2267"/>
      <c r="AG270" s="2267"/>
      <c r="AH270" s="4272"/>
      <c r="AI270" s="2267"/>
      <c r="AJ270" s="2267"/>
      <c r="AK270" s="2267"/>
      <c r="AL270" s="2267"/>
      <c r="AM270" s="2267"/>
      <c r="AN270" s="2267"/>
      <c r="AO270" s="2267"/>
      <c r="AP270" s="2267"/>
      <c r="AQ270" s="2267"/>
      <c r="AR270" s="2267"/>
      <c r="AS270" s="2267"/>
      <c r="AT270" s="2267"/>
      <c r="AU270" s="2267"/>
      <c r="AV270" s="2267"/>
      <c r="AW270" s="2267"/>
      <c r="AX270" s="2267"/>
      <c r="AY270" s="2267"/>
      <c r="AZ270" s="2267"/>
      <c r="BA270" s="2267"/>
      <c r="BB270" s="2267"/>
      <c r="BC270" s="2267"/>
      <c r="BD270" s="2267"/>
      <c r="BE270" s="2267"/>
      <c r="BF270" s="2267"/>
      <c r="BG270" s="2267"/>
      <c r="BH270" s="2267"/>
      <c r="BI270" s="2267"/>
      <c r="BJ270" s="2267"/>
      <c r="BK270" s="2267"/>
      <c r="BL270" s="2267"/>
      <c r="BM270" s="4278"/>
      <c r="BN270" s="2267"/>
      <c r="BO270" s="2267"/>
      <c r="BP270" s="2267"/>
      <c r="BQ270" s="2267"/>
      <c r="BR270" s="2267"/>
      <c r="BS270" s="2267"/>
      <c r="BT270" s="2267"/>
      <c r="BU270" s="2267"/>
    </row>
    <row r="271" spans="1:73" s="3" customFormat="1" ht="126.75" customHeight="1" x14ac:dyDescent="0.25">
      <c r="A271" s="1473"/>
      <c r="B271" s="1443"/>
      <c r="C271" s="1452"/>
      <c r="D271" s="1443"/>
      <c r="E271" s="4409"/>
      <c r="F271" s="4382"/>
      <c r="G271" s="2664"/>
      <c r="H271" s="2475"/>
      <c r="I271" s="2664"/>
      <c r="J271" s="2475"/>
      <c r="K271" s="3606"/>
      <c r="L271" s="2475"/>
      <c r="M271" s="3606"/>
      <c r="N271" s="2475"/>
      <c r="O271" s="2664"/>
      <c r="P271" s="3914"/>
      <c r="Q271" s="3409"/>
      <c r="R271" s="3409"/>
      <c r="S271" s="2464"/>
      <c r="T271" s="4385"/>
      <c r="U271" s="4415"/>
      <c r="V271" s="4415"/>
      <c r="W271" s="2476"/>
      <c r="X271" s="1584">
        <v>1734393294</v>
      </c>
      <c r="Y271" s="1584">
        <v>1583722600</v>
      </c>
      <c r="Z271" s="1584"/>
      <c r="AA271" s="1583" t="s">
        <v>2511</v>
      </c>
      <c r="AB271" s="1480">
        <v>171</v>
      </c>
      <c r="AC271" s="1441" t="s">
        <v>2512</v>
      </c>
      <c r="AD271" s="2267"/>
      <c r="AE271" s="2267"/>
      <c r="AF271" s="2267"/>
      <c r="AG271" s="2267"/>
      <c r="AH271" s="4272"/>
      <c r="AI271" s="2267"/>
      <c r="AJ271" s="2267"/>
      <c r="AK271" s="2267"/>
      <c r="AL271" s="2267"/>
      <c r="AM271" s="2267"/>
      <c r="AN271" s="2267"/>
      <c r="AO271" s="2267"/>
      <c r="AP271" s="2267"/>
      <c r="AQ271" s="2267"/>
      <c r="AR271" s="2267"/>
      <c r="AS271" s="2267"/>
      <c r="AT271" s="2267"/>
      <c r="AU271" s="2267"/>
      <c r="AV271" s="2267"/>
      <c r="AW271" s="2267"/>
      <c r="AX271" s="2267"/>
      <c r="AY271" s="2267"/>
      <c r="AZ271" s="2267"/>
      <c r="BA271" s="2267"/>
      <c r="BB271" s="2267"/>
      <c r="BC271" s="2267"/>
      <c r="BD271" s="2267"/>
      <c r="BE271" s="2267"/>
      <c r="BF271" s="2267"/>
      <c r="BG271" s="2267"/>
      <c r="BH271" s="2267"/>
      <c r="BI271" s="2267"/>
      <c r="BJ271" s="2267"/>
      <c r="BK271" s="2267"/>
      <c r="BL271" s="2267"/>
      <c r="BM271" s="4278"/>
      <c r="BN271" s="2267"/>
      <c r="BO271" s="2267"/>
      <c r="BP271" s="2267"/>
      <c r="BQ271" s="2267"/>
      <c r="BR271" s="2267"/>
      <c r="BS271" s="2267"/>
      <c r="BT271" s="2267"/>
      <c r="BU271" s="2267"/>
    </row>
    <row r="272" spans="1:73" s="3" customFormat="1" ht="126.75" customHeight="1" x14ac:dyDescent="0.25">
      <c r="A272" s="1473"/>
      <c r="B272" s="1443"/>
      <c r="C272" s="1452"/>
      <c r="D272" s="1443"/>
      <c r="E272" s="4409"/>
      <c r="F272" s="4382"/>
      <c r="G272" s="2664" t="s">
        <v>74</v>
      </c>
      <c r="H272" s="2475" t="s">
        <v>2513</v>
      </c>
      <c r="I272" s="2664">
        <v>1906025</v>
      </c>
      <c r="J272" s="2475" t="s">
        <v>2505</v>
      </c>
      <c r="K272" s="4270" t="s">
        <v>74</v>
      </c>
      <c r="L272" s="3611" t="s">
        <v>2514</v>
      </c>
      <c r="M272" s="4270">
        <v>190602500</v>
      </c>
      <c r="N272" s="3611" t="s">
        <v>2507</v>
      </c>
      <c r="O272" s="2970">
        <v>100</v>
      </c>
      <c r="P272" s="3468">
        <v>17</v>
      </c>
      <c r="Q272" s="3409"/>
      <c r="R272" s="3409"/>
      <c r="S272" s="3474">
        <f>SUM(X272:X281)/T268</f>
        <v>0.73911332408776453</v>
      </c>
      <c r="T272" s="4385"/>
      <c r="U272" s="4415"/>
      <c r="V272" s="4415"/>
      <c r="W272" s="2476" t="s">
        <v>2515</v>
      </c>
      <c r="X272" s="1584">
        <v>616192836</v>
      </c>
      <c r="Y272" s="1584">
        <v>616192836</v>
      </c>
      <c r="Z272" s="1584"/>
      <c r="AA272" s="1583" t="s">
        <v>2516</v>
      </c>
      <c r="AB272" s="1480">
        <v>58</v>
      </c>
      <c r="AC272" s="1671" t="s">
        <v>2517</v>
      </c>
      <c r="AD272" s="2267"/>
      <c r="AE272" s="2267"/>
      <c r="AF272" s="2267"/>
      <c r="AG272" s="2267"/>
      <c r="AH272" s="4272"/>
      <c r="AI272" s="2267"/>
      <c r="AJ272" s="2267"/>
      <c r="AK272" s="2267"/>
      <c r="AL272" s="2267"/>
      <c r="AM272" s="2267"/>
      <c r="AN272" s="2267"/>
      <c r="AO272" s="2267"/>
      <c r="AP272" s="2267"/>
      <c r="AQ272" s="2267"/>
      <c r="AR272" s="2267"/>
      <c r="AS272" s="2267"/>
      <c r="AT272" s="2267"/>
      <c r="AU272" s="2267"/>
      <c r="AV272" s="2267"/>
      <c r="AW272" s="2267"/>
      <c r="AX272" s="2267"/>
      <c r="AY272" s="2267"/>
      <c r="AZ272" s="2267"/>
      <c r="BA272" s="2267"/>
      <c r="BB272" s="2267"/>
      <c r="BC272" s="2267"/>
      <c r="BD272" s="2267"/>
      <c r="BE272" s="2267"/>
      <c r="BF272" s="2267"/>
      <c r="BG272" s="2267"/>
      <c r="BH272" s="2267"/>
      <c r="BI272" s="2267"/>
      <c r="BJ272" s="2267"/>
      <c r="BK272" s="2267"/>
      <c r="BL272" s="2267"/>
      <c r="BM272" s="4278"/>
      <c r="BN272" s="2267"/>
      <c r="BO272" s="2267"/>
      <c r="BP272" s="2267"/>
      <c r="BQ272" s="2267"/>
      <c r="BR272" s="2267"/>
      <c r="BS272" s="2267"/>
      <c r="BT272" s="2267"/>
      <c r="BU272" s="2267"/>
    </row>
    <row r="273" spans="1:73" s="3" customFormat="1" ht="69" customHeight="1" x14ac:dyDescent="0.25">
      <c r="A273" s="1473"/>
      <c r="B273" s="1443"/>
      <c r="C273" s="1452"/>
      <c r="D273" s="1443"/>
      <c r="E273" s="4409"/>
      <c r="F273" s="4382"/>
      <c r="G273" s="2664"/>
      <c r="H273" s="2475"/>
      <c r="I273" s="2664"/>
      <c r="J273" s="2475"/>
      <c r="K273" s="4358"/>
      <c r="L273" s="3626"/>
      <c r="M273" s="4358"/>
      <c r="N273" s="3626"/>
      <c r="O273" s="2971"/>
      <c r="P273" s="3469"/>
      <c r="Q273" s="3409"/>
      <c r="R273" s="3409"/>
      <c r="S273" s="2463"/>
      <c r="T273" s="4385"/>
      <c r="U273" s="4415"/>
      <c r="V273" s="4415"/>
      <c r="W273" s="2476"/>
      <c r="X273" s="1584">
        <v>3068616589</v>
      </c>
      <c r="Y273" s="1584"/>
      <c r="Z273" s="1584"/>
      <c r="AA273" s="1672" t="s">
        <v>2518</v>
      </c>
      <c r="AB273" s="1480">
        <v>58</v>
      </c>
      <c r="AC273" s="1671" t="s">
        <v>2517</v>
      </c>
      <c r="AD273" s="2439"/>
      <c r="AE273" s="2439"/>
      <c r="AF273" s="2267"/>
      <c r="AG273" s="2439"/>
      <c r="AH273" s="4272"/>
      <c r="AI273" s="2439"/>
      <c r="AJ273" s="2267"/>
      <c r="AK273" s="2439"/>
      <c r="AL273" s="2267"/>
      <c r="AM273" s="2439"/>
      <c r="AN273" s="2267"/>
      <c r="AO273" s="2439"/>
      <c r="AP273" s="2267"/>
      <c r="AQ273" s="2439"/>
      <c r="AR273" s="2267"/>
      <c r="AS273" s="2439"/>
      <c r="AT273" s="2267"/>
      <c r="AU273" s="2439"/>
      <c r="AV273" s="2267"/>
      <c r="AW273" s="2439"/>
      <c r="AX273" s="2267"/>
      <c r="AY273" s="2439"/>
      <c r="AZ273" s="2267"/>
      <c r="BA273" s="2439"/>
      <c r="BB273" s="2267"/>
      <c r="BC273" s="2439"/>
      <c r="BD273" s="2267"/>
      <c r="BE273" s="2439"/>
      <c r="BF273" s="2267"/>
      <c r="BG273" s="2439"/>
      <c r="BH273" s="2267"/>
      <c r="BI273" s="2439"/>
      <c r="BJ273" s="2439"/>
      <c r="BK273" s="2439"/>
      <c r="BL273" s="2439"/>
      <c r="BM273" s="4279"/>
      <c r="BN273" s="2439"/>
      <c r="BO273" s="2439"/>
      <c r="BP273" s="2439"/>
      <c r="BQ273" s="2267"/>
      <c r="BR273" s="2267"/>
      <c r="BS273" s="2267"/>
      <c r="BT273" s="2267"/>
      <c r="BU273" s="2267"/>
    </row>
    <row r="274" spans="1:73" s="3" customFormat="1" ht="35.25" customHeight="1" x14ac:dyDescent="0.25">
      <c r="A274" s="1473"/>
      <c r="B274" s="1443"/>
      <c r="C274" s="1452"/>
      <c r="D274" s="1443"/>
      <c r="E274" s="4409"/>
      <c r="F274" s="4382"/>
      <c r="G274" s="2664"/>
      <c r="H274" s="2475"/>
      <c r="I274" s="2664"/>
      <c r="J274" s="2475"/>
      <c r="K274" s="4358"/>
      <c r="L274" s="3626"/>
      <c r="M274" s="4358"/>
      <c r="N274" s="3626"/>
      <c r="O274" s="2971"/>
      <c r="P274" s="3469"/>
      <c r="Q274" s="3409"/>
      <c r="R274" s="3409"/>
      <c r="S274" s="2463"/>
      <c r="T274" s="4385"/>
      <c r="U274" s="4415"/>
      <c r="V274" s="4415"/>
      <c r="W274" s="2476"/>
      <c r="X274" s="1584">
        <v>400000000</v>
      </c>
      <c r="Y274" s="1584"/>
      <c r="Z274" s="1584"/>
      <c r="AA274" s="1583" t="s">
        <v>2519</v>
      </c>
      <c r="AB274" s="1480">
        <v>91</v>
      </c>
      <c r="AC274" s="1671" t="s">
        <v>2520</v>
      </c>
      <c r="AD274" s="1444"/>
      <c r="AE274" s="1444"/>
      <c r="AF274" s="1444"/>
      <c r="AG274" s="1444"/>
      <c r="AH274" s="1673"/>
      <c r="AI274" s="1444"/>
      <c r="AJ274" s="1444"/>
      <c r="AK274" s="1444"/>
      <c r="AL274" s="1444"/>
      <c r="AM274" s="1444"/>
      <c r="AN274" s="1444"/>
      <c r="AO274" s="1444"/>
      <c r="AP274" s="1444"/>
      <c r="AQ274" s="1444"/>
      <c r="AR274" s="1444"/>
      <c r="AS274" s="1444"/>
      <c r="AT274" s="1444"/>
      <c r="AU274" s="1444"/>
      <c r="AV274" s="1444"/>
      <c r="AW274" s="1444"/>
      <c r="AX274" s="1444"/>
      <c r="AY274" s="1444"/>
      <c r="AZ274" s="1444"/>
      <c r="BA274" s="1444"/>
      <c r="BB274" s="1444"/>
      <c r="BC274" s="1444"/>
      <c r="BD274" s="1444"/>
      <c r="BE274" s="1444"/>
      <c r="BF274" s="1444"/>
      <c r="BG274" s="1444"/>
      <c r="BH274" s="1444"/>
      <c r="BI274" s="1444"/>
      <c r="BJ274" s="1444"/>
      <c r="BK274" s="1444"/>
      <c r="BL274" s="1444"/>
      <c r="BM274" s="1674"/>
      <c r="BN274" s="1444"/>
      <c r="BO274" s="1444"/>
      <c r="BP274" s="1444"/>
      <c r="BQ274" s="1444"/>
      <c r="BR274" s="1444"/>
      <c r="BS274" s="1444"/>
      <c r="BT274" s="1444"/>
      <c r="BU274" s="1444"/>
    </row>
    <row r="275" spans="1:73" s="3" customFormat="1" ht="35.25" customHeight="1" x14ac:dyDescent="0.25">
      <c r="A275" s="1473"/>
      <c r="B275" s="1443"/>
      <c r="C275" s="1452"/>
      <c r="D275" s="1443"/>
      <c r="E275" s="4409"/>
      <c r="F275" s="4382"/>
      <c r="G275" s="2664"/>
      <c r="H275" s="2475"/>
      <c r="I275" s="2664"/>
      <c r="J275" s="2475"/>
      <c r="K275" s="4358"/>
      <c r="L275" s="3626"/>
      <c r="M275" s="4358"/>
      <c r="N275" s="3626"/>
      <c r="O275" s="2971"/>
      <c r="P275" s="3469"/>
      <c r="Q275" s="3409"/>
      <c r="R275" s="3409"/>
      <c r="S275" s="2463"/>
      <c r="T275" s="4385"/>
      <c r="U275" s="4415"/>
      <c r="V275" s="4415"/>
      <c r="W275" s="2476"/>
      <c r="X275" s="1584">
        <v>33937548.719999999</v>
      </c>
      <c r="Y275" s="1584"/>
      <c r="Z275" s="1584"/>
      <c r="AA275" s="1583" t="s">
        <v>2521</v>
      </c>
      <c r="AB275" s="1480">
        <v>191</v>
      </c>
      <c r="AC275" s="1671" t="s">
        <v>2522</v>
      </c>
      <c r="AD275" s="1444"/>
      <c r="AE275" s="1444"/>
      <c r="AF275" s="1444"/>
      <c r="AG275" s="1444"/>
      <c r="AH275" s="1673"/>
      <c r="AI275" s="1444"/>
      <c r="AJ275" s="1444"/>
      <c r="AK275" s="1444"/>
      <c r="AL275" s="1444"/>
      <c r="AM275" s="1444"/>
      <c r="AN275" s="1444"/>
      <c r="AO275" s="1444"/>
      <c r="AP275" s="1444"/>
      <c r="AQ275" s="1444"/>
      <c r="AR275" s="1444"/>
      <c r="AS275" s="1444"/>
      <c r="AT275" s="1444"/>
      <c r="AU275" s="1444"/>
      <c r="AV275" s="1444"/>
      <c r="AW275" s="1444"/>
      <c r="AX275" s="1444"/>
      <c r="AY275" s="1444"/>
      <c r="AZ275" s="1444"/>
      <c r="BA275" s="1444"/>
      <c r="BB275" s="1444"/>
      <c r="BC275" s="1444"/>
      <c r="BD275" s="1444"/>
      <c r="BE275" s="1444"/>
      <c r="BF275" s="1444"/>
      <c r="BG275" s="1444"/>
      <c r="BH275" s="1444"/>
      <c r="BI275" s="1444"/>
      <c r="BJ275" s="1444"/>
      <c r="BK275" s="1444"/>
      <c r="BL275" s="1444"/>
      <c r="BM275" s="1674"/>
      <c r="BN275" s="1444"/>
      <c r="BO275" s="1444"/>
      <c r="BP275" s="1444"/>
      <c r="BQ275" s="1444"/>
      <c r="BR275" s="1444"/>
      <c r="BS275" s="1444"/>
      <c r="BT275" s="1444"/>
      <c r="BU275" s="1444"/>
    </row>
    <row r="276" spans="1:73" s="3" customFormat="1" ht="35.25" customHeight="1" x14ac:dyDescent="0.25">
      <c r="A276" s="1473"/>
      <c r="B276" s="1443"/>
      <c r="C276" s="1452"/>
      <c r="D276" s="1443"/>
      <c r="E276" s="4409"/>
      <c r="F276" s="4382"/>
      <c r="G276" s="2664"/>
      <c r="H276" s="2475"/>
      <c r="I276" s="2664"/>
      <c r="J276" s="2475"/>
      <c r="K276" s="4358"/>
      <c r="L276" s="3626"/>
      <c r="M276" s="4358"/>
      <c r="N276" s="3626"/>
      <c r="O276" s="2971"/>
      <c r="P276" s="3469"/>
      <c r="Q276" s="3409"/>
      <c r="R276" s="3409"/>
      <c r="S276" s="2463"/>
      <c r="T276" s="4385"/>
      <c r="U276" s="4415"/>
      <c r="V276" s="4415"/>
      <c r="W276" s="2476"/>
      <c r="X276" s="1584">
        <v>3434211.2</v>
      </c>
      <c r="Y276" s="1584"/>
      <c r="Z276" s="1584"/>
      <c r="AA276" s="1583" t="s">
        <v>2523</v>
      </c>
      <c r="AB276" s="1480">
        <v>97</v>
      </c>
      <c r="AC276" s="1671" t="s">
        <v>2524</v>
      </c>
      <c r="AD276" s="1444"/>
      <c r="AE276" s="1444"/>
      <c r="AF276" s="1444"/>
      <c r="AG276" s="1444"/>
      <c r="AH276" s="1673"/>
      <c r="AI276" s="1444"/>
      <c r="AJ276" s="1444"/>
      <c r="AK276" s="1444"/>
      <c r="AL276" s="1444"/>
      <c r="AM276" s="1444"/>
      <c r="AN276" s="1444"/>
      <c r="AO276" s="1444"/>
      <c r="AP276" s="1444"/>
      <c r="AQ276" s="1444"/>
      <c r="AR276" s="1444"/>
      <c r="AS276" s="1444"/>
      <c r="AT276" s="1444"/>
      <c r="AU276" s="1444"/>
      <c r="AV276" s="1444"/>
      <c r="AW276" s="1444"/>
      <c r="AX276" s="1444"/>
      <c r="AY276" s="1444"/>
      <c r="AZ276" s="1444"/>
      <c r="BA276" s="1444"/>
      <c r="BB276" s="1444"/>
      <c r="BC276" s="1444"/>
      <c r="BD276" s="1444"/>
      <c r="BE276" s="1444"/>
      <c r="BF276" s="1444"/>
      <c r="BG276" s="1444"/>
      <c r="BH276" s="1444"/>
      <c r="BI276" s="1444"/>
      <c r="BJ276" s="1444"/>
      <c r="BK276" s="1444"/>
      <c r="BL276" s="1444"/>
      <c r="BM276" s="1674"/>
      <c r="BN276" s="1444"/>
      <c r="BO276" s="1444"/>
      <c r="BP276" s="1444"/>
      <c r="BQ276" s="1444"/>
      <c r="BR276" s="1444"/>
      <c r="BS276" s="1444"/>
      <c r="BT276" s="1444"/>
      <c r="BU276" s="1444"/>
    </row>
    <row r="277" spans="1:73" s="3" customFormat="1" ht="35.25" customHeight="1" x14ac:dyDescent="0.25">
      <c r="A277" s="1473"/>
      <c r="B277" s="1443"/>
      <c r="C277" s="1452"/>
      <c r="D277" s="1443"/>
      <c r="E277" s="4409"/>
      <c r="F277" s="4382"/>
      <c r="G277" s="2664"/>
      <c r="H277" s="2475"/>
      <c r="I277" s="2664"/>
      <c r="J277" s="2475"/>
      <c r="K277" s="4358"/>
      <c r="L277" s="3626"/>
      <c r="M277" s="4358"/>
      <c r="N277" s="3626"/>
      <c r="O277" s="2971"/>
      <c r="P277" s="3469"/>
      <c r="Q277" s="3409"/>
      <c r="R277" s="3409"/>
      <c r="S277" s="2463"/>
      <c r="T277" s="4385"/>
      <c r="U277" s="4415"/>
      <c r="V277" s="4415"/>
      <c r="W277" s="2476"/>
      <c r="X277" s="1584">
        <v>3039348.21</v>
      </c>
      <c r="Y277" s="1584"/>
      <c r="Z277" s="1584"/>
      <c r="AA277" s="1583" t="s">
        <v>2525</v>
      </c>
      <c r="AB277" s="1480">
        <v>192</v>
      </c>
      <c r="AC277" s="1671" t="s">
        <v>2526</v>
      </c>
      <c r="AD277" s="1444"/>
      <c r="AE277" s="1444"/>
      <c r="AF277" s="1444"/>
      <c r="AG277" s="1444"/>
      <c r="AH277" s="1673"/>
      <c r="AI277" s="1444"/>
      <c r="AJ277" s="1444"/>
      <c r="AK277" s="1444"/>
      <c r="AL277" s="1444"/>
      <c r="AM277" s="1444"/>
      <c r="AN277" s="1444"/>
      <c r="AO277" s="1444"/>
      <c r="AP277" s="1444"/>
      <c r="AQ277" s="1444"/>
      <c r="AR277" s="1444"/>
      <c r="AS277" s="1444"/>
      <c r="AT277" s="1444"/>
      <c r="AU277" s="1444"/>
      <c r="AV277" s="1444"/>
      <c r="AW277" s="1444"/>
      <c r="AX277" s="1444"/>
      <c r="AY277" s="1444"/>
      <c r="AZ277" s="1444"/>
      <c r="BA277" s="1444"/>
      <c r="BB277" s="1444"/>
      <c r="BC277" s="1444"/>
      <c r="BD277" s="1444"/>
      <c r="BE277" s="1444"/>
      <c r="BF277" s="1444"/>
      <c r="BG277" s="1444"/>
      <c r="BH277" s="1444"/>
      <c r="BI277" s="1444"/>
      <c r="BJ277" s="1444"/>
      <c r="BK277" s="1444"/>
      <c r="BL277" s="1444"/>
      <c r="BM277" s="1674"/>
      <c r="BN277" s="1444"/>
      <c r="BO277" s="1444"/>
      <c r="BP277" s="1444"/>
      <c r="BQ277" s="1444"/>
      <c r="BR277" s="1444"/>
      <c r="BS277" s="1444"/>
      <c r="BT277" s="1444"/>
      <c r="BU277" s="1444"/>
    </row>
    <row r="278" spans="1:73" s="3" customFormat="1" ht="35.25" customHeight="1" x14ac:dyDescent="0.25">
      <c r="A278" s="1473"/>
      <c r="B278" s="1443"/>
      <c r="C278" s="1452"/>
      <c r="D278" s="1443"/>
      <c r="E278" s="4409"/>
      <c r="F278" s="4382"/>
      <c r="G278" s="2664"/>
      <c r="H278" s="2475"/>
      <c r="I278" s="2664"/>
      <c r="J278" s="2475"/>
      <c r="K278" s="4358"/>
      <c r="L278" s="3626"/>
      <c r="M278" s="4358"/>
      <c r="N278" s="3626"/>
      <c r="O278" s="2971"/>
      <c r="P278" s="3469"/>
      <c r="Q278" s="3409"/>
      <c r="R278" s="3409"/>
      <c r="S278" s="2463"/>
      <c r="T278" s="4385"/>
      <c r="U278" s="4415"/>
      <c r="V278" s="4415"/>
      <c r="W278" s="2476"/>
      <c r="X278" s="1584">
        <v>1216600524.0999999</v>
      </c>
      <c r="Y278" s="1584"/>
      <c r="Z278" s="1584"/>
      <c r="AA278" s="1583" t="s">
        <v>2527</v>
      </c>
      <c r="AB278" s="1480">
        <v>193</v>
      </c>
      <c r="AC278" s="1671" t="s">
        <v>2528</v>
      </c>
      <c r="AD278" s="1444"/>
      <c r="AE278" s="1444"/>
      <c r="AF278" s="1444"/>
      <c r="AG278" s="1444"/>
      <c r="AH278" s="1673"/>
      <c r="AI278" s="1444"/>
      <c r="AJ278" s="1444"/>
      <c r="AK278" s="1444"/>
      <c r="AL278" s="1444"/>
      <c r="AM278" s="1444"/>
      <c r="AN278" s="1444"/>
      <c r="AO278" s="1444"/>
      <c r="AP278" s="1444"/>
      <c r="AQ278" s="1444"/>
      <c r="AR278" s="1444"/>
      <c r="AS278" s="1444"/>
      <c r="AT278" s="1444"/>
      <c r="AU278" s="1444"/>
      <c r="AV278" s="1444"/>
      <c r="AW278" s="1444"/>
      <c r="AX278" s="1444"/>
      <c r="AY278" s="1444"/>
      <c r="AZ278" s="1444"/>
      <c r="BA278" s="1444"/>
      <c r="BB278" s="1444"/>
      <c r="BC278" s="1444"/>
      <c r="BD278" s="1444"/>
      <c r="BE278" s="1444"/>
      <c r="BF278" s="1444"/>
      <c r="BG278" s="1444"/>
      <c r="BH278" s="1444"/>
      <c r="BI278" s="1444"/>
      <c r="BJ278" s="1444"/>
      <c r="BK278" s="1444"/>
      <c r="BL278" s="1444"/>
      <c r="BM278" s="1674"/>
      <c r="BN278" s="1444"/>
      <c r="BO278" s="1444"/>
      <c r="BP278" s="1444"/>
      <c r="BQ278" s="1444"/>
      <c r="BR278" s="1444"/>
      <c r="BS278" s="1444"/>
      <c r="BT278" s="1444"/>
      <c r="BU278" s="1444"/>
    </row>
    <row r="279" spans="1:73" s="3" customFormat="1" ht="35.25" customHeight="1" x14ac:dyDescent="0.25">
      <c r="A279" s="1473"/>
      <c r="B279" s="1443"/>
      <c r="C279" s="1452"/>
      <c r="D279" s="1443"/>
      <c r="E279" s="4409"/>
      <c r="F279" s="4382"/>
      <c r="G279" s="2664"/>
      <c r="H279" s="2475"/>
      <c r="I279" s="2664"/>
      <c r="J279" s="2475"/>
      <c r="K279" s="4358"/>
      <c r="L279" s="3626"/>
      <c r="M279" s="4358"/>
      <c r="N279" s="3626"/>
      <c r="O279" s="2971"/>
      <c r="P279" s="3469"/>
      <c r="Q279" s="3409"/>
      <c r="R279" s="3409"/>
      <c r="S279" s="2463"/>
      <c r="T279" s="4385"/>
      <c r="U279" s="4415"/>
      <c r="V279" s="4415"/>
      <c r="W279" s="2476"/>
      <c r="X279" s="1584">
        <v>22221326.620000001</v>
      </c>
      <c r="Y279" s="1584"/>
      <c r="Z279" s="1584"/>
      <c r="AA279" s="1583" t="s">
        <v>2529</v>
      </c>
      <c r="AB279" s="1480">
        <v>194</v>
      </c>
      <c r="AC279" s="1671" t="s">
        <v>2530</v>
      </c>
      <c r="AD279" s="1444"/>
      <c r="AE279" s="1444"/>
      <c r="AF279" s="1444"/>
      <c r="AG279" s="1444"/>
      <c r="AH279" s="1673"/>
      <c r="AI279" s="1444"/>
      <c r="AJ279" s="1444"/>
      <c r="AK279" s="1444"/>
      <c r="AL279" s="1444"/>
      <c r="AM279" s="1444"/>
      <c r="AN279" s="1444"/>
      <c r="AO279" s="1444"/>
      <c r="AP279" s="1444"/>
      <c r="AQ279" s="1444"/>
      <c r="AR279" s="1444"/>
      <c r="AS279" s="1444"/>
      <c r="AT279" s="1444"/>
      <c r="AU279" s="1444"/>
      <c r="AV279" s="1444"/>
      <c r="AW279" s="1444"/>
      <c r="AX279" s="1444"/>
      <c r="AY279" s="1444"/>
      <c r="AZ279" s="1444"/>
      <c r="BA279" s="1444"/>
      <c r="BB279" s="1444"/>
      <c r="BC279" s="1444"/>
      <c r="BD279" s="1444"/>
      <c r="BE279" s="1444"/>
      <c r="BF279" s="1444"/>
      <c r="BG279" s="1444"/>
      <c r="BH279" s="1444"/>
      <c r="BI279" s="1444"/>
      <c r="BJ279" s="1444"/>
      <c r="BK279" s="1444"/>
      <c r="BL279" s="1444"/>
      <c r="BM279" s="1674"/>
      <c r="BN279" s="1444"/>
      <c r="BO279" s="1444"/>
      <c r="BP279" s="1444"/>
      <c r="BQ279" s="1444"/>
      <c r="BR279" s="1444"/>
      <c r="BS279" s="1444"/>
      <c r="BT279" s="1444"/>
      <c r="BU279" s="1444"/>
    </row>
    <row r="280" spans="1:73" s="3" customFormat="1" ht="35.25" customHeight="1" x14ac:dyDescent="0.25">
      <c r="A280" s="1473"/>
      <c r="B280" s="1443"/>
      <c r="C280" s="1452"/>
      <c r="D280" s="1443"/>
      <c r="E280" s="4409"/>
      <c r="F280" s="4382"/>
      <c r="G280" s="2664"/>
      <c r="H280" s="2475"/>
      <c r="I280" s="2664"/>
      <c r="J280" s="2475"/>
      <c r="K280" s="4358"/>
      <c r="L280" s="3626"/>
      <c r="M280" s="4358"/>
      <c r="N280" s="3626"/>
      <c r="O280" s="2971"/>
      <c r="P280" s="3469"/>
      <c r="Q280" s="3409"/>
      <c r="R280" s="3409"/>
      <c r="S280" s="2463"/>
      <c r="T280" s="4385"/>
      <c r="U280" s="4415"/>
      <c r="V280" s="4415"/>
      <c r="W280" s="2476"/>
      <c r="X280" s="1584">
        <v>712647104.86000001</v>
      </c>
      <c r="Y280" s="1584"/>
      <c r="Z280" s="1584"/>
      <c r="AA280" s="1583" t="s">
        <v>2531</v>
      </c>
      <c r="AB280" s="1480">
        <v>96</v>
      </c>
      <c r="AC280" s="1671" t="s">
        <v>2532</v>
      </c>
      <c r="AD280" s="1444"/>
      <c r="AE280" s="1444"/>
      <c r="AF280" s="1444"/>
      <c r="AG280" s="1444"/>
      <c r="AH280" s="1673"/>
      <c r="AI280" s="1444"/>
      <c r="AJ280" s="1444"/>
      <c r="AK280" s="1444"/>
      <c r="AL280" s="1444"/>
      <c r="AM280" s="1444"/>
      <c r="AN280" s="1444"/>
      <c r="AO280" s="1444"/>
      <c r="AP280" s="1444"/>
      <c r="AQ280" s="1444"/>
      <c r="AR280" s="1444"/>
      <c r="AS280" s="1444"/>
      <c r="AT280" s="1444"/>
      <c r="AU280" s="1444"/>
      <c r="AV280" s="1444"/>
      <c r="AW280" s="1444"/>
      <c r="AX280" s="1444"/>
      <c r="AY280" s="1444"/>
      <c r="AZ280" s="1444"/>
      <c r="BA280" s="1444"/>
      <c r="BB280" s="1444"/>
      <c r="BC280" s="1444"/>
      <c r="BD280" s="1444"/>
      <c r="BE280" s="1444"/>
      <c r="BF280" s="1444"/>
      <c r="BG280" s="1444"/>
      <c r="BH280" s="1444"/>
      <c r="BI280" s="1444"/>
      <c r="BJ280" s="1444"/>
      <c r="BK280" s="1444"/>
      <c r="BL280" s="1444"/>
      <c r="BM280" s="1674"/>
      <c r="BN280" s="1444"/>
      <c r="BO280" s="1444"/>
      <c r="BP280" s="1444"/>
      <c r="BQ280" s="1444"/>
      <c r="BR280" s="1444"/>
      <c r="BS280" s="1444"/>
      <c r="BT280" s="1444"/>
      <c r="BU280" s="1444"/>
    </row>
    <row r="281" spans="1:73" s="3" customFormat="1" ht="35.25" customHeight="1" x14ac:dyDescent="0.25">
      <c r="A281" s="1473"/>
      <c r="B281" s="1443"/>
      <c r="C281" s="1452"/>
      <c r="D281" s="1443"/>
      <c r="E281" s="4409"/>
      <c r="F281" s="4382"/>
      <c r="G281" s="2664"/>
      <c r="H281" s="2475"/>
      <c r="I281" s="2664"/>
      <c r="J281" s="2475"/>
      <c r="K281" s="4359"/>
      <c r="L281" s="3612"/>
      <c r="M281" s="4359"/>
      <c r="N281" s="3612"/>
      <c r="O281" s="2945"/>
      <c r="P281" s="3470"/>
      <c r="Q281" s="3601"/>
      <c r="R281" s="3601"/>
      <c r="S281" s="2464"/>
      <c r="T281" s="4310"/>
      <c r="U281" s="4416"/>
      <c r="V281" s="4416"/>
      <c r="W281" s="2476"/>
      <c r="X281" s="1584">
        <v>4000000000</v>
      </c>
      <c r="Y281" s="1584"/>
      <c r="Z281" s="1584"/>
      <c r="AA281" s="1583" t="s">
        <v>2533</v>
      </c>
      <c r="AB281" s="1480">
        <v>88</v>
      </c>
      <c r="AC281" s="1671" t="s">
        <v>2534</v>
      </c>
      <c r="AD281" s="1444"/>
      <c r="AE281" s="1444"/>
      <c r="AF281" s="1444"/>
      <c r="AG281" s="1444"/>
      <c r="AH281" s="1673"/>
      <c r="AI281" s="1444"/>
      <c r="AJ281" s="1444"/>
      <c r="AK281" s="1444"/>
      <c r="AL281" s="1444"/>
      <c r="AM281" s="1444"/>
      <c r="AN281" s="1444"/>
      <c r="AO281" s="1444"/>
      <c r="AP281" s="1444"/>
      <c r="AQ281" s="1444"/>
      <c r="AR281" s="1444"/>
      <c r="AS281" s="1444"/>
      <c r="AT281" s="1444"/>
      <c r="AU281" s="1444"/>
      <c r="AV281" s="1444"/>
      <c r="AW281" s="1444"/>
      <c r="AX281" s="1444"/>
      <c r="AY281" s="1444"/>
      <c r="AZ281" s="1444"/>
      <c r="BA281" s="1444"/>
      <c r="BB281" s="1444"/>
      <c r="BC281" s="1444"/>
      <c r="BD281" s="1444"/>
      <c r="BE281" s="1444"/>
      <c r="BF281" s="1444"/>
      <c r="BG281" s="1444"/>
      <c r="BH281" s="1444"/>
      <c r="BI281" s="1444"/>
      <c r="BJ281" s="1444"/>
      <c r="BK281" s="1444"/>
      <c r="BL281" s="1444"/>
      <c r="BM281" s="1674"/>
      <c r="BN281" s="1444"/>
      <c r="BO281" s="1444"/>
      <c r="BP281" s="1444"/>
      <c r="BQ281" s="1444"/>
      <c r="BR281" s="1444"/>
      <c r="BS281" s="1444"/>
      <c r="BT281" s="1444"/>
      <c r="BU281" s="1444"/>
    </row>
    <row r="282" spans="1:73" s="3" customFormat="1" ht="43.5" customHeight="1" x14ac:dyDescent="0.25">
      <c r="A282" s="1473"/>
      <c r="B282" s="1443"/>
      <c r="C282" s="1452"/>
      <c r="D282" s="1443"/>
      <c r="E282" s="4409"/>
      <c r="F282" s="4382"/>
      <c r="G282" s="4417">
        <v>1906029</v>
      </c>
      <c r="H282" s="3117" t="s">
        <v>2535</v>
      </c>
      <c r="I282" s="4420">
        <v>1906029</v>
      </c>
      <c r="J282" s="2475" t="s">
        <v>2535</v>
      </c>
      <c r="K282" s="4270">
        <v>190602900</v>
      </c>
      <c r="L282" s="2475" t="s">
        <v>2536</v>
      </c>
      <c r="M282" s="3606">
        <v>190602900</v>
      </c>
      <c r="N282" s="2475" t="s">
        <v>2536</v>
      </c>
      <c r="O282" s="4325">
        <v>40</v>
      </c>
      <c r="P282" s="4330">
        <v>35</v>
      </c>
      <c r="Q282" s="3408" t="s">
        <v>2537</v>
      </c>
      <c r="R282" s="2476" t="s">
        <v>2538</v>
      </c>
      <c r="S282" s="2410">
        <f>SUM(X282:X289)/T282</f>
        <v>0.92063144724658397</v>
      </c>
      <c r="T282" s="4311">
        <f>SUM(X282:X293)</f>
        <v>1007955887.12</v>
      </c>
      <c r="U282" s="2476" t="s">
        <v>2539</v>
      </c>
      <c r="V282" s="2295" t="s">
        <v>2540</v>
      </c>
      <c r="W282" s="1447" t="s">
        <v>2541</v>
      </c>
      <c r="X282" s="1584">
        <v>25390000</v>
      </c>
      <c r="Y282" s="1638">
        <v>25390000</v>
      </c>
      <c r="Z282" s="1584">
        <v>12700000</v>
      </c>
      <c r="AA282" s="1583" t="s">
        <v>2542</v>
      </c>
      <c r="AB282" s="1650">
        <v>20</v>
      </c>
      <c r="AC282" s="1671" t="s">
        <v>86</v>
      </c>
      <c r="AD282" s="2438">
        <v>292684</v>
      </c>
      <c r="AE282" s="2438"/>
      <c r="AF282" s="2438">
        <v>282326</v>
      </c>
      <c r="AG282" s="2438"/>
      <c r="AH282" s="3809">
        <v>135912</v>
      </c>
      <c r="AI282" s="2438"/>
      <c r="AJ282" s="2438">
        <v>45122</v>
      </c>
      <c r="AK282" s="2438"/>
      <c r="AL282" s="2438">
        <v>365607</v>
      </c>
      <c r="AM282" s="2438"/>
      <c r="AN282" s="2438">
        <v>86875</v>
      </c>
      <c r="AO282" s="2438"/>
      <c r="AP282" s="2438">
        <v>2145</v>
      </c>
      <c r="AQ282" s="2438"/>
      <c r="AR282" s="2438">
        <v>12718</v>
      </c>
      <c r="AS282" s="2438"/>
      <c r="AT282" s="2438">
        <v>26</v>
      </c>
      <c r="AU282" s="2438"/>
      <c r="AV282" s="2438">
        <v>37</v>
      </c>
      <c r="AW282" s="2438"/>
      <c r="AX282" s="2438">
        <v>0</v>
      </c>
      <c r="AY282" s="2438"/>
      <c r="AZ282" s="2438">
        <v>0</v>
      </c>
      <c r="BA282" s="2438"/>
      <c r="BB282" s="2438">
        <v>53164</v>
      </c>
      <c r="BC282" s="2438"/>
      <c r="BD282" s="2438">
        <v>16982</v>
      </c>
      <c r="BE282" s="2438"/>
      <c r="BF282" s="2438">
        <v>60013</v>
      </c>
      <c r="BG282" s="2438"/>
      <c r="BH282" s="2438">
        <v>575010</v>
      </c>
      <c r="BI282" s="2438"/>
      <c r="BJ282" s="2438">
        <v>7</v>
      </c>
      <c r="BK282" s="4423">
        <f>SUM(Y282:Y293)</f>
        <v>104010000</v>
      </c>
      <c r="BL282" s="4423">
        <f>SUM(Z282:Z293)</f>
        <v>75815000</v>
      </c>
      <c r="BM282" s="2438">
        <f>BL282/BK282</f>
        <v>0.72892029612537257</v>
      </c>
      <c r="BN282" s="2438">
        <v>20</v>
      </c>
      <c r="BO282" s="2438" t="s">
        <v>2543</v>
      </c>
      <c r="BP282" s="2438" t="s">
        <v>2116</v>
      </c>
      <c r="BQ282" s="4285">
        <v>44197</v>
      </c>
      <c r="BR282" s="4285">
        <v>44200</v>
      </c>
      <c r="BS282" s="4285">
        <v>44561</v>
      </c>
      <c r="BT282" s="4285">
        <v>44561</v>
      </c>
      <c r="BU282" s="2438" t="s">
        <v>1991</v>
      </c>
    </row>
    <row r="283" spans="1:73" s="3" customFormat="1" ht="43.5" customHeight="1" x14ac:dyDescent="0.25">
      <c r="A283" s="1473"/>
      <c r="B283" s="1443"/>
      <c r="C283" s="1452"/>
      <c r="D283" s="1443"/>
      <c r="E283" s="4409"/>
      <c r="F283" s="4382"/>
      <c r="G283" s="4418"/>
      <c r="H283" s="3105"/>
      <c r="I283" s="4421"/>
      <c r="J283" s="2475"/>
      <c r="K283" s="4358"/>
      <c r="L283" s="2475"/>
      <c r="M283" s="3606"/>
      <c r="N283" s="2475"/>
      <c r="O283" s="4332"/>
      <c r="P283" s="4333"/>
      <c r="Q283" s="3409"/>
      <c r="R283" s="2476"/>
      <c r="S283" s="2411"/>
      <c r="T283" s="4311"/>
      <c r="U283" s="2476"/>
      <c r="V283" s="2699"/>
      <c r="W283" s="1447" t="s">
        <v>2544</v>
      </c>
      <c r="X283" s="1584">
        <v>20000000</v>
      </c>
      <c r="Y283" s="1638">
        <v>20000000</v>
      </c>
      <c r="Z283" s="1584">
        <v>7900000</v>
      </c>
      <c r="AA283" s="1583" t="s">
        <v>2542</v>
      </c>
      <c r="AB283" s="1650">
        <v>20</v>
      </c>
      <c r="AC283" s="1671" t="s">
        <v>86</v>
      </c>
      <c r="AD283" s="2267"/>
      <c r="AE283" s="2267"/>
      <c r="AF283" s="2267"/>
      <c r="AG283" s="2267"/>
      <c r="AH283" s="4272"/>
      <c r="AI283" s="2267"/>
      <c r="AJ283" s="2267"/>
      <c r="AK283" s="2267"/>
      <c r="AL283" s="2267"/>
      <c r="AM283" s="2267"/>
      <c r="AN283" s="2267"/>
      <c r="AO283" s="2267"/>
      <c r="AP283" s="2267"/>
      <c r="AQ283" s="2267"/>
      <c r="AR283" s="2267"/>
      <c r="AS283" s="2267"/>
      <c r="AT283" s="2267"/>
      <c r="AU283" s="2267"/>
      <c r="AV283" s="2267"/>
      <c r="AW283" s="2267"/>
      <c r="AX283" s="2267"/>
      <c r="AY283" s="2267"/>
      <c r="AZ283" s="2267"/>
      <c r="BA283" s="2267"/>
      <c r="BB283" s="2267"/>
      <c r="BC283" s="2267"/>
      <c r="BD283" s="2267"/>
      <c r="BE283" s="2267"/>
      <c r="BF283" s="2267"/>
      <c r="BG283" s="2267"/>
      <c r="BH283" s="2267"/>
      <c r="BI283" s="2267"/>
      <c r="BJ283" s="2267"/>
      <c r="BK283" s="2267"/>
      <c r="BL283" s="2267"/>
      <c r="BM283" s="2267"/>
      <c r="BN283" s="2267"/>
      <c r="BO283" s="2267"/>
      <c r="BP283" s="2267"/>
      <c r="BQ283" s="2267"/>
      <c r="BR283" s="2267"/>
      <c r="BS283" s="2267"/>
      <c r="BT283" s="2267"/>
      <c r="BU283" s="2267"/>
    </row>
    <row r="284" spans="1:73" s="3" customFormat="1" ht="43.5" customHeight="1" x14ac:dyDescent="0.25">
      <c r="A284" s="1473"/>
      <c r="B284" s="1443"/>
      <c r="C284" s="1452"/>
      <c r="D284" s="1443"/>
      <c r="E284" s="4409"/>
      <c r="F284" s="4382"/>
      <c r="G284" s="4418"/>
      <c r="H284" s="3105"/>
      <c r="I284" s="4421"/>
      <c r="J284" s="2475"/>
      <c r="K284" s="4358"/>
      <c r="L284" s="2475"/>
      <c r="M284" s="3606"/>
      <c r="N284" s="2475"/>
      <c r="O284" s="4332"/>
      <c r="P284" s="4333"/>
      <c r="Q284" s="3409"/>
      <c r="R284" s="2476"/>
      <c r="S284" s="2411"/>
      <c r="T284" s="4311"/>
      <c r="U284" s="2476"/>
      <c r="V284" s="2699"/>
      <c r="W284" s="1447" t="s">
        <v>2545</v>
      </c>
      <c r="X284" s="1584">
        <v>20000000</v>
      </c>
      <c r="Y284" s="1638">
        <v>13230000</v>
      </c>
      <c r="Z284" s="1584">
        <v>6780000</v>
      </c>
      <c r="AA284" s="1583" t="s">
        <v>2542</v>
      </c>
      <c r="AB284" s="1650">
        <v>20</v>
      </c>
      <c r="AC284" s="1671" t="s">
        <v>86</v>
      </c>
      <c r="AD284" s="2267"/>
      <c r="AE284" s="2267"/>
      <c r="AF284" s="2267"/>
      <c r="AG284" s="2267"/>
      <c r="AH284" s="4272"/>
      <c r="AI284" s="2267"/>
      <c r="AJ284" s="2267"/>
      <c r="AK284" s="2267"/>
      <c r="AL284" s="2267"/>
      <c r="AM284" s="2267"/>
      <c r="AN284" s="2267"/>
      <c r="AO284" s="2267"/>
      <c r="AP284" s="2267"/>
      <c r="AQ284" s="2267"/>
      <c r="AR284" s="2267"/>
      <c r="AS284" s="2267"/>
      <c r="AT284" s="2267"/>
      <c r="AU284" s="2267"/>
      <c r="AV284" s="2267"/>
      <c r="AW284" s="2267"/>
      <c r="AX284" s="2267"/>
      <c r="AY284" s="2267"/>
      <c r="AZ284" s="2267"/>
      <c r="BA284" s="2267"/>
      <c r="BB284" s="2267"/>
      <c r="BC284" s="2267"/>
      <c r="BD284" s="2267"/>
      <c r="BE284" s="2267"/>
      <c r="BF284" s="2267"/>
      <c r="BG284" s="2267"/>
      <c r="BH284" s="2267"/>
      <c r="BI284" s="2267"/>
      <c r="BJ284" s="2267"/>
      <c r="BK284" s="2267"/>
      <c r="BL284" s="2267"/>
      <c r="BM284" s="2267"/>
      <c r="BN284" s="2267"/>
      <c r="BO284" s="2267"/>
      <c r="BP284" s="2267"/>
      <c r="BQ284" s="2267"/>
      <c r="BR284" s="2267"/>
      <c r="BS284" s="2267"/>
      <c r="BT284" s="2267"/>
      <c r="BU284" s="2267"/>
    </row>
    <row r="285" spans="1:73" s="3" customFormat="1" ht="43.5" customHeight="1" x14ac:dyDescent="0.25">
      <c r="A285" s="1473"/>
      <c r="B285" s="1443"/>
      <c r="C285" s="1452"/>
      <c r="D285" s="1443"/>
      <c r="E285" s="4409"/>
      <c r="F285" s="4382"/>
      <c r="G285" s="4418"/>
      <c r="H285" s="3105"/>
      <c r="I285" s="4421"/>
      <c r="J285" s="2475"/>
      <c r="K285" s="4358"/>
      <c r="L285" s="2475"/>
      <c r="M285" s="3606"/>
      <c r="N285" s="2475"/>
      <c r="O285" s="4332"/>
      <c r="P285" s="4333"/>
      <c r="Q285" s="3409"/>
      <c r="R285" s="2476"/>
      <c r="S285" s="2411"/>
      <c r="T285" s="4311"/>
      <c r="U285" s="2476"/>
      <c r="V285" s="2699"/>
      <c r="W285" s="1447" t="s">
        <v>2546</v>
      </c>
      <c r="X285" s="1584">
        <v>20000000</v>
      </c>
      <c r="Y285" s="1638">
        <v>17310000</v>
      </c>
      <c r="Z285" s="1584">
        <v>7500000</v>
      </c>
      <c r="AA285" s="1583" t="s">
        <v>2542</v>
      </c>
      <c r="AB285" s="1650">
        <v>20</v>
      </c>
      <c r="AC285" s="1671" t="s">
        <v>86</v>
      </c>
      <c r="AD285" s="2267"/>
      <c r="AE285" s="2267"/>
      <c r="AF285" s="2267"/>
      <c r="AG285" s="2267"/>
      <c r="AH285" s="4272"/>
      <c r="AI285" s="2267"/>
      <c r="AJ285" s="2267"/>
      <c r="AK285" s="2267"/>
      <c r="AL285" s="2267"/>
      <c r="AM285" s="2267"/>
      <c r="AN285" s="2267"/>
      <c r="AO285" s="2267"/>
      <c r="AP285" s="2267"/>
      <c r="AQ285" s="2267"/>
      <c r="AR285" s="2267"/>
      <c r="AS285" s="2267"/>
      <c r="AT285" s="2267"/>
      <c r="AU285" s="2267"/>
      <c r="AV285" s="2267"/>
      <c r="AW285" s="2267"/>
      <c r="AX285" s="2267"/>
      <c r="AY285" s="2267"/>
      <c r="AZ285" s="2267"/>
      <c r="BA285" s="2267"/>
      <c r="BB285" s="2267"/>
      <c r="BC285" s="2267"/>
      <c r="BD285" s="2267"/>
      <c r="BE285" s="2267"/>
      <c r="BF285" s="2267"/>
      <c r="BG285" s="2267"/>
      <c r="BH285" s="2267"/>
      <c r="BI285" s="2267"/>
      <c r="BJ285" s="2267"/>
      <c r="BK285" s="2267"/>
      <c r="BL285" s="2267"/>
      <c r="BM285" s="2267"/>
      <c r="BN285" s="2267"/>
      <c r="BO285" s="2267"/>
      <c r="BP285" s="2267"/>
      <c r="BQ285" s="2267"/>
      <c r="BR285" s="2267"/>
      <c r="BS285" s="2267"/>
      <c r="BT285" s="2267"/>
      <c r="BU285" s="2267"/>
    </row>
    <row r="286" spans="1:73" s="3" customFormat="1" ht="43.5" customHeight="1" x14ac:dyDescent="0.25">
      <c r="A286" s="1473"/>
      <c r="B286" s="1443"/>
      <c r="C286" s="1452"/>
      <c r="D286" s="1443"/>
      <c r="E286" s="4409"/>
      <c r="F286" s="4382"/>
      <c r="G286" s="4418"/>
      <c r="H286" s="3105"/>
      <c r="I286" s="4421"/>
      <c r="J286" s="2475"/>
      <c r="K286" s="4358"/>
      <c r="L286" s="2475"/>
      <c r="M286" s="3606"/>
      <c r="N286" s="2475"/>
      <c r="O286" s="4332"/>
      <c r="P286" s="4333"/>
      <c r="Q286" s="3409"/>
      <c r="R286" s="2476"/>
      <c r="S286" s="2411"/>
      <c r="T286" s="4311"/>
      <c r="U286" s="2476"/>
      <c r="V286" s="2699"/>
      <c r="W286" s="1447" t="s">
        <v>2547</v>
      </c>
      <c r="X286" s="1584">
        <v>15000000</v>
      </c>
      <c r="Y286" s="1638">
        <v>5000000</v>
      </c>
      <c r="Z286" s="1584">
        <v>3100000</v>
      </c>
      <c r="AA286" s="1583" t="s">
        <v>2542</v>
      </c>
      <c r="AB286" s="1650">
        <v>20</v>
      </c>
      <c r="AC286" s="1671" t="s">
        <v>86</v>
      </c>
      <c r="AD286" s="2267"/>
      <c r="AE286" s="2267"/>
      <c r="AF286" s="2267"/>
      <c r="AG286" s="2267"/>
      <c r="AH286" s="4272"/>
      <c r="AI286" s="2267"/>
      <c r="AJ286" s="2267"/>
      <c r="AK286" s="2267"/>
      <c r="AL286" s="2267"/>
      <c r="AM286" s="2267"/>
      <c r="AN286" s="2267"/>
      <c r="AO286" s="2267"/>
      <c r="AP286" s="2267"/>
      <c r="AQ286" s="2267"/>
      <c r="AR286" s="2267"/>
      <c r="AS286" s="2267"/>
      <c r="AT286" s="2267"/>
      <c r="AU286" s="2267"/>
      <c r="AV286" s="2267"/>
      <c r="AW286" s="2267"/>
      <c r="AX286" s="2267"/>
      <c r="AY286" s="2267"/>
      <c r="AZ286" s="2267"/>
      <c r="BA286" s="2267"/>
      <c r="BB286" s="2267"/>
      <c r="BC286" s="2267"/>
      <c r="BD286" s="2267"/>
      <c r="BE286" s="2267"/>
      <c r="BF286" s="2267"/>
      <c r="BG286" s="2267"/>
      <c r="BH286" s="2267"/>
      <c r="BI286" s="2267"/>
      <c r="BJ286" s="2267"/>
      <c r="BK286" s="2267"/>
      <c r="BL286" s="2267"/>
      <c r="BM286" s="2267"/>
      <c r="BN286" s="2267"/>
      <c r="BO286" s="2267"/>
      <c r="BP286" s="2267"/>
      <c r="BQ286" s="2267"/>
      <c r="BR286" s="2267"/>
      <c r="BS286" s="2267"/>
      <c r="BT286" s="2267"/>
      <c r="BU286" s="2267"/>
    </row>
    <row r="287" spans="1:73" s="3" customFormat="1" ht="43.5" customHeight="1" x14ac:dyDescent="0.25">
      <c r="A287" s="1473"/>
      <c r="B287" s="1443"/>
      <c r="C287" s="1452"/>
      <c r="D287" s="1443"/>
      <c r="E287" s="4409"/>
      <c r="F287" s="4382"/>
      <c r="G287" s="4418"/>
      <c r="H287" s="3105"/>
      <c r="I287" s="4421"/>
      <c r="J287" s="2475"/>
      <c r="K287" s="4358"/>
      <c r="L287" s="2475"/>
      <c r="M287" s="3606"/>
      <c r="N287" s="2475"/>
      <c r="O287" s="4332"/>
      <c r="P287" s="4333"/>
      <c r="Q287" s="3409"/>
      <c r="R287" s="2476"/>
      <c r="S287" s="2411"/>
      <c r="T287" s="4311"/>
      <c r="U287" s="2476"/>
      <c r="V287" s="2699"/>
      <c r="W287" s="2701" t="s">
        <v>2548</v>
      </c>
      <c r="X287" s="1632">
        <v>50000000</v>
      </c>
      <c r="Y287" s="1639">
        <v>11540000</v>
      </c>
      <c r="Z287" s="1632">
        <v>26295000</v>
      </c>
      <c r="AA287" s="1583" t="s">
        <v>2542</v>
      </c>
      <c r="AB287" s="1650">
        <v>20</v>
      </c>
      <c r="AC287" s="1671" t="s">
        <v>86</v>
      </c>
      <c r="AD287" s="2267"/>
      <c r="AE287" s="2267"/>
      <c r="AF287" s="2267"/>
      <c r="AG287" s="2267"/>
      <c r="AH287" s="4272"/>
      <c r="AI287" s="2267"/>
      <c r="AJ287" s="2267"/>
      <c r="AK287" s="2267"/>
      <c r="AL287" s="2267"/>
      <c r="AM287" s="2267"/>
      <c r="AN287" s="2267"/>
      <c r="AO287" s="2267"/>
      <c r="AP287" s="2267"/>
      <c r="AQ287" s="2267"/>
      <c r="AR287" s="2267"/>
      <c r="AS287" s="2267"/>
      <c r="AT287" s="2267"/>
      <c r="AU287" s="2267"/>
      <c r="AV287" s="2267"/>
      <c r="AW287" s="2267"/>
      <c r="AX287" s="2267"/>
      <c r="AY287" s="2267"/>
      <c r="AZ287" s="2267"/>
      <c r="BA287" s="2267"/>
      <c r="BB287" s="2267"/>
      <c r="BC287" s="2267"/>
      <c r="BD287" s="2267"/>
      <c r="BE287" s="2267"/>
      <c r="BF287" s="2267"/>
      <c r="BG287" s="2267"/>
      <c r="BH287" s="2267"/>
      <c r="BI287" s="2267"/>
      <c r="BJ287" s="2267"/>
      <c r="BK287" s="2267"/>
      <c r="BL287" s="2267"/>
      <c r="BM287" s="2267"/>
      <c r="BN287" s="2267"/>
      <c r="BO287" s="2267"/>
      <c r="BP287" s="2267"/>
      <c r="BQ287" s="2267"/>
      <c r="BR287" s="2267"/>
      <c r="BS287" s="2267"/>
      <c r="BT287" s="2267"/>
      <c r="BU287" s="2267"/>
    </row>
    <row r="288" spans="1:73" s="3" customFormat="1" ht="43.5" customHeight="1" x14ac:dyDescent="0.25">
      <c r="A288" s="1473"/>
      <c r="B288" s="1443"/>
      <c r="C288" s="1452"/>
      <c r="D288" s="1443"/>
      <c r="E288" s="4409"/>
      <c r="F288" s="4382"/>
      <c r="G288" s="4418"/>
      <c r="H288" s="3105"/>
      <c r="I288" s="4421"/>
      <c r="J288" s="2475"/>
      <c r="K288" s="4358"/>
      <c r="L288" s="2475"/>
      <c r="M288" s="3606"/>
      <c r="N288" s="2475"/>
      <c r="O288" s="4332"/>
      <c r="P288" s="4333"/>
      <c r="Q288" s="3409"/>
      <c r="R288" s="2476"/>
      <c r="S288" s="2411"/>
      <c r="T288" s="4311"/>
      <c r="U288" s="2476"/>
      <c r="V288" s="2699"/>
      <c r="W288" s="2702"/>
      <c r="X288" s="1632">
        <v>468599154.12</v>
      </c>
      <c r="Y288" s="1639"/>
      <c r="Z288" s="1632"/>
      <c r="AA288" s="1478" t="s">
        <v>2549</v>
      </c>
      <c r="AB288" s="1675">
        <v>198</v>
      </c>
      <c r="AC288" s="1676" t="s">
        <v>2550</v>
      </c>
      <c r="AD288" s="2267"/>
      <c r="AE288" s="2267"/>
      <c r="AF288" s="2267"/>
      <c r="AG288" s="2267"/>
      <c r="AH288" s="4272"/>
      <c r="AI288" s="2267"/>
      <c r="AJ288" s="2267"/>
      <c r="AK288" s="2267"/>
      <c r="AL288" s="2267"/>
      <c r="AM288" s="2267"/>
      <c r="AN288" s="2267"/>
      <c r="AO288" s="2267"/>
      <c r="AP288" s="2267"/>
      <c r="AQ288" s="2267"/>
      <c r="AR288" s="2267"/>
      <c r="AS288" s="2267"/>
      <c r="AT288" s="2267"/>
      <c r="AU288" s="2267"/>
      <c r="AV288" s="2267"/>
      <c r="AW288" s="2267"/>
      <c r="AX288" s="2267"/>
      <c r="AY288" s="2267"/>
      <c r="AZ288" s="2267"/>
      <c r="BA288" s="2267"/>
      <c r="BB288" s="2267"/>
      <c r="BC288" s="2267"/>
      <c r="BD288" s="2267"/>
      <c r="BE288" s="2267"/>
      <c r="BF288" s="2267"/>
      <c r="BG288" s="2267"/>
      <c r="BH288" s="2267"/>
      <c r="BI288" s="2267"/>
      <c r="BJ288" s="2267"/>
      <c r="BK288" s="2267"/>
      <c r="BL288" s="2267"/>
      <c r="BM288" s="2267"/>
      <c r="BN288" s="2267"/>
      <c r="BO288" s="2267"/>
      <c r="BP288" s="2267"/>
      <c r="BQ288" s="2267"/>
      <c r="BR288" s="2267"/>
      <c r="BS288" s="2267"/>
      <c r="BT288" s="2267"/>
      <c r="BU288" s="2267"/>
    </row>
    <row r="289" spans="1:73" s="3" customFormat="1" ht="43.5" customHeight="1" x14ac:dyDescent="0.25">
      <c r="A289" s="1473"/>
      <c r="B289" s="1443"/>
      <c r="C289" s="1452"/>
      <c r="D289" s="1443"/>
      <c r="E289" s="4409"/>
      <c r="F289" s="4382"/>
      <c r="G289" s="4419"/>
      <c r="H289" s="3106"/>
      <c r="I289" s="4422"/>
      <c r="J289" s="2475"/>
      <c r="K289" s="4359"/>
      <c r="L289" s="2475"/>
      <c r="M289" s="3606"/>
      <c r="N289" s="2475"/>
      <c r="O289" s="4326"/>
      <c r="P289" s="4331"/>
      <c r="Q289" s="3409"/>
      <c r="R289" s="2476"/>
      <c r="S289" s="2412"/>
      <c r="T289" s="4311"/>
      <c r="U289" s="2476"/>
      <c r="V289" s="2699"/>
      <c r="W289" s="2703"/>
      <c r="X289" s="1632">
        <v>308966733</v>
      </c>
      <c r="Y289" s="1639"/>
      <c r="Z289" s="1632"/>
      <c r="AA289" s="1478" t="s">
        <v>2551</v>
      </c>
      <c r="AB289" s="1675">
        <v>180</v>
      </c>
      <c r="AC289" s="1676" t="s">
        <v>2552</v>
      </c>
      <c r="AD289" s="2267"/>
      <c r="AE289" s="2267"/>
      <c r="AF289" s="2267"/>
      <c r="AG289" s="2267"/>
      <c r="AH289" s="4272"/>
      <c r="AI289" s="2267"/>
      <c r="AJ289" s="2267"/>
      <c r="AK289" s="2267"/>
      <c r="AL289" s="2267"/>
      <c r="AM289" s="2267"/>
      <c r="AN289" s="2267"/>
      <c r="AO289" s="2267"/>
      <c r="AP289" s="2267"/>
      <c r="AQ289" s="2267"/>
      <c r="AR289" s="2267"/>
      <c r="AS289" s="2267"/>
      <c r="AT289" s="2267"/>
      <c r="AU289" s="2267"/>
      <c r="AV289" s="2267"/>
      <c r="AW289" s="2267"/>
      <c r="AX289" s="2267"/>
      <c r="AY289" s="2267"/>
      <c r="AZ289" s="2267"/>
      <c r="BA289" s="2267"/>
      <c r="BB289" s="2267"/>
      <c r="BC289" s="2267"/>
      <c r="BD289" s="2267"/>
      <c r="BE289" s="2267"/>
      <c r="BF289" s="2267"/>
      <c r="BG289" s="2267"/>
      <c r="BH289" s="2267"/>
      <c r="BI289" s="2267"/>
      <c r="BJ289" s="2267"/>
      <c r="BK289" s="2267"/>
      <c r="BL289" s="2267"/>
      <c r="BM289" s="2267"/>
      <c r="BN289" s="2267"/>
      <c r="BO289" s="2267"/>
      <c r="BP289" s="2267"/>
      <c r="BQ289" s="2267"/>
      <c r="BR289" s="2267"/>
      <c r="BS289" s="2267"/>
      <c r="BT289" s="2267"/>
      <c r="BU289" s="2267"/>
    </row>
    <row r="290" spans="1:73" s="3" customFormat="1" ht="153.75" customHeight="1" x14ac:dyDescent="0.25">
      <c r="A290" s="1473"/>
      <c r="B290" s="1443"/>
      <c r="C290" s="1452"/>
      <c r="D290" s="1443"/>
      <c r="E290" s="4409"/>
      <c r="F290" s="4382"/>
      <c r="G290" s="877">
        <v>1906032</v>
      </c>
      <c r="H290" s="1462" t="s">
        <v>2464</v>
      </c>
      <c r="I290" s="877">
        <v>1906032</v>
      </c>
      <c r="J290" s="1461" t="s">
        <v>2464</v>
      </c>
      <c r="K290" s="1592">
        <v>190603200</v>
      </c>
      <c r="L290" s="1461" t="s">
        <v>2465</v>
      </c>
      <c r="M290" s="1592">
        <v>190603200</v>
      </c>
      <c r="N290" s="1461" t="s">
        <v>2465</v>
      </c>
      <c r="O290" s="1677">
        <v>1500</v>
      </c>
      <c r="P290" s="1678">
        <v>1500</v>
      </c>
      <c r="Q290" s="3409"/>
      <c r="R290" s="2476"/>
      <c r="S290" s="1630">
        <f>X290/T282</f>
        <v>1.9842138188354015E-2</v>
      </c>
      <c r="T290" s="4311"/>
      <c r="U290" s="2476"/>
      <c r="V290" s="2700"/>
      <c r="W290" s="1447" t="s">
        <v>2553</v>
      </c>
      <c r="X290" s="1632">
        <v>20000000</v>
      </c>
      <c r="Y290" s="1632">
        <v>11540000</v>
      </c>
      <c r="Z290" s="1632">
        <v>11540000</v>
      </c>
      <c r="AA290" s="1583" t="s">
        <v>2554</v>
      </c>
      <c r="AB290" s="1650">
        <v>20</v>
      </c>
      <c r="AC290" s="1671" t="s">
        <v>86</v>
      </c>
      <c r="AD290" s="2267"/>
      <c r="AE290" s="2267"/>
      <c r="AF290" s="2267"/>
      <c r="AG290" s="2267"/>
      <c r="AH290" s="4272"/>
      <c r="AI290" s="2267"/>
      <c r="AJ290" s="2267"/>
      <c r="AK290" s="2267"/>
      <c r="AL290" s="2267"/>
      <c r="AM290" s="2267"/>
      <c r="AN290" s="2267"/>
      <c r="AO290" s="2267"/>
      <c r="AP290" s="2267"/>
      <c r="AQ290" s="2267"/>
      <c r="AR290" s="2267"/>
      <c r="AS290" s="2267"/>
      <c r="AT290" s="2267"/>
      <c r="AU290" s="2267"/>
      <c r="AV290" s="2267"/>
      <c r="AW290" s="2267"/>
      <c r="AX290" s="2267"/>
      <c r="AY290" s="2267"/>
      <c r="AZ290" s="2267"/>
      <c r="BA290" s="2267"/>
      <c r="BB290" s="2267"/>
      <c r="BC290" s="2267"/>
      <c r="BD290" s="2267"/>
      <c r="BE290" s="2267"/>
      <c r="BF290" s="2267"/>
      <c r="BG290" s="2267"/>
      <c r="BH290" s="2267"/>
      <c r="BI290" s="2267"/>
      <c r="BJ290" s="2267"/>
      <c r="BK290" s="2267"/>
      <c r="BL290" s="2267"/>
      <c r="BM290" s="2267"/>
      <c r="BN290" s="2267"/>
      <c r="BO290" s="2267"/>
      <c r="BP290" s="2267"/>
      <c r="BQ290" s="2267"/>
      <c r="BR290" s="2267"/>
      <c r="BS290" s="2267"/>
      <c r="BT290" s="2267"/>
      <c r="BU290" s="2267"/>
    </row>
    <row r="291" spans="1:73" s="3" customFormat="1" ht="60" customHeight="1" x14ac:dyDescent="0.25">
      <c r="A291" s="1473"/>
      <c r="B291" s="1443"/>
      <c r="C291" s="1452"/>
      <c r="D291" s="1443"/>
      <c r="E291" s="4409"/>
      <c r="F291" s="4382"/>
      <c r="G291" s="877">
        <v>1906005</v>
      </c>
      <c r="H291" s="1462" t="s">
        <v>2555</v>
      </c>
      <c r="I291" s="877">
        <v>1906005</v>
      </c>
      <c r="J291" s="1462" t="s">
        <v>2555</v>
      </c>
      <c r="K291" s="1611">
        <v>190600500</v>
      </c>
      <c r="L291" s="752" t="s">
        <v>2555</v>
      </c>
      <c r="M291" s="1611">
        <v>190600500</v>
      </c>
      <c r="N291" s="752" t="s">
        <v>2555</v>
      </c>
      <c r="O291" s="1679">
        <v>2</v>
      </c>
      <c r="P291" s="1680">
        <v>0</v>
      </c>
      <c r="Q291" s="3409"/>
      <c r="R291" s="2476"/>
      <c r="S291" s="1630">
        <f>X291/T282</f>
        <v>1.9842138188354015E-2</v>
      </c>
      <c r="T291" s="4311"/>
      <c r="U291" s="2476"/>
      <c r="V291" s="2295" t="s">
        <v>2556</v>
      </c>
      <c r="W291" s="1447" t="s">
        <v>2557</v>
      </c>
      <c r="X291" s="1632">
        <v>20000000</v>
      </c>
      <c r="Y291" s="1632"/>
      <c r="Z291" s="1632"/>
      <c r="AA291" s="1583" t="s">
        <v>2558</v>
      </c>
      <c r="AB291" s="1650">
        <v>20</v>
      </c>
      <c r="AC291" s="1671" t="s">
        <v>86</v>
      </c>
      <c r="AD291" s="2267"/>
      <c r="AE291" s="2267"/>
      <c r="AF291" s="2267"/>
      <c r="AG291" s="2267"/>
      <c r="AH291" s="4272"/>
      <c r="AI291" s="2267"/>
      <c r="AJ291" s="2267"/>
      <c r="AK291" s="2267"/>
      <c r="AL291" s="2267"/>
      <c r="AM291" s="2267"/>
      <c r="AN291" s="2267"/>
      <c r="AO291" s="2267"/>
      <c r="AP291" s="2267"/>
      <c r="AQ291" s="2267"/>
      <c r="AR291" s="2267"/>
      <c r="AS291" s="2267"/>
      <c r="AT291" s="2267"/>
      <c r="AU291" s="2267"/>
      <c r="AV291" s="2267"/>
      <c r="AW291" s="2267"/>
      <c r="AX291" s="2267"/>
      <c r="AY291" s="2267"/>
      <c r="AZ291" s="2267"/>
      <c r="BA291" s="2267"/>
      <c r="BB291" s="2267"/>
      <c r="BC291" s="2267"/>
      <c r="BD291" s="2267"/>
      <c r="BE291" s="2267"/>
      <c r="BF291" s="2267"/>
      <c r="BG291" s="2267"/>
      <c r="BH291" s="2267"/>
      <c r="BI291" s="2267"/>
      <c r="BJ291" s="2267"/>
      <c r="BK291" s="2267"/>
      <c r="BL291" s="2267"/>
      <c r="BM291" s="2267"/>
      <c r="BN291" s="2267"/>
      <c r="BO291" s="2267"/>
      <c r="BP291" s="2267"/>
      <c r="BQ291" s="2267"/>
      <c r="BR291" s="2267"/>
      <c r="BS291" s="2267"/>
      <c r="BT291" s="2267"/>
      <c r="BU291" s="2267"/>
    </row>
    <row r="292" spans="1:73" s="3" customFormat="1" ht="88.5" customHeight="1" x14ac:dyDescent="0.25">
      <c r="A292" s="1473"/>
      <c r="B292" s="1443"/>
      <c r="C292" s="1452"/>
      <c r="D292" s="1443"/>
      <c r="E292" s="4409"/>
      <c r="F292" s="4382"/>
      <c r="G292" s="1681">
        <v>1906022</v>
      </c>
      <c r="H292" s="747" t="s">
        <v>2559</v>
      </c>
      <c r="I292" s="1681">
        <v>1906022</v>
      </c>
      <c r="J292" s="747" t="s">
        <v>2559</v>
      </c>
      <c r="K292" s="1595">
        <v>190602200</v>
      </c>
      <c r="L292" s="754" t="s">
        <v>2560</v>
      </c>
      <c r="M292" s="1595">
        <v>190602200</v>
      </c>
      <c r="N292" s="754" t="s">
        <v>2560</v>
      </c>
      <c r="O292" s="1682">
        <v>1</v>
      </c>
      <c r="P292" s="1683">
        <v>0</v>
      </c>
      <c r="Q292" s="3409"/>
      <c r="R292" s="2476"/>
      <c r="S292" s="1630">
        <f>X292/T282</f>
        <v>1.9842138188354015E-2</v>
      </c>
      <c r="T292" s="4311"/>
      <c r="U292" s="2476"/>
      <c r="V292" s="2699"/>
      <c r="W292" s="1447" t="s">
        <v>2561</v>
      </c>
      <c r="X292" s="1632">
        <v>20000000</v>
      </c>
      <c r="Y292" s="1632"/>
      <c r="Z292" s="1608"/>
      <c r="AA292" s="1589" t="s">
        <v>2562</v>
      </c>
      <c r="AB292" s="1650">
        <v>20</v>
      </c>
      <c r="AC292" s="1671" t="s">
        <v>86</v>
      </c>
      <c r="AD292" s="2267"/>
      <c r="AE292" s="2267"/>
      <c r="AF292" s="2267"/>
      <c r="AG292" s="2267"/>
      <c r="AH292" s="4272"/>
      <c r="AI292" s="2267"/>
      <c r="AJ292" s="2267"/>
      <c r="AK292" s="2267"/>
      <c r="AL292" s="2267"/>
      <c r="AM292" s="2267"/>
      <c r="AN292" s="2267"/>
      <c r="AO292" s="2267"/>
      <c r="AP292" s="2267"/>
      <c r="AQ292" s="2267"/>
      <c r="AR292" s="2267"/>
      <c r="AS292" s="2267"/>
      <c r="AT292" s="2267"/>
      <c r="AU292" s="2267"/>
      <c r="AV292" s="2267"/>
      <c r="AW292" s="2267"/>
      <c r="AX292" s="2267"/>
      <c r="AY292" s="2267"/>
      <c r="AZ292" s="2267"/>
      <c r="BA292" s="2267"/>
      <c r="BB292" s="2267"/>
      <c r="BC292" s="2267"/>
      <c r="BD292" s="2267"/>
      <c r="BE292" s="2267"/>
      <c r="BF292" s="2267"/>
      <c r="BG292" s="2267"/>
      <c r="BH292" s="2267"/>
      <c r="BI292" s="2267"/>
      <c r="BJ292" s="2267"/>
      <c r="BK292" s="2267"/>
      <c r="BL292" s="2267"/>
      <c r="BM292" s="2267"/>
      <c r="BN292" s="2267"/>
      <c r="BO292" s="2267"/>
      <c r="BP292" s="2267"/>
      <c r="BQ292" s="2267"/>
      <c r="BR292" s="2267"/>
      <c r="BS292" s="2267"/>
      <c r="BT292" s="2267"/>
      <c r="BU292" s="2267"/>
    </row>
    <row r="293" spans="1:73" s="3" customFormat="1" ht="85.5" customHeight="1" x14ac:dyDescent="0.25">
      <c r="A293" s="1473"/>
      <c r="B293" s="1443"/>
      <c r="C293" s="1452"/>
      <c r="D293" s="1443"/>
      <c r="E293" s="2661"/>
      <c r="F293" s="4325"/>
      <c r="G293" s="1684" t="s">
        <v>74</v>
      </c>
      <c r="H293" s="1448" t="s">
        <v>2491</v>
      </c>
      <c r="I293" s="1684">
        <v>1906023</v>
      </c>
      <c r="J293" s="747" t="s">
        <v>2491</v>
      </c>
      <c r="K293" s="1685" t="s">
        <v>74</v>
      </c>
      <c r="L293" s="1476" t="s">
        <v>2563</v>
      </c>
      <c r="M293" s="1685">
        <v>190602301</v>
      </c>
      <c r="N293" s="1476" t="s">
        <v>2564</v>
      </c>
      <c r="O293" s="1475">
        <v>40</v>
      </c>
      <c r="P293" s="1459">
        <v>0</v>
      </c>
      <c r="Q293" s="3409"/>
      <c r="R293" s="2701"/>
      <c r="S293" s="1451">
        <f>X293/T282</f>
        <v>1.9842138188354015E-2</v>
      </c>
      <c r="T293" s="4372"/>
      <c r="U293" s="2701"/>
      <c r="V293" s="2699"/>
      <c r="W293" s="1456" t="s">
        <v>2565</v>
      </c>
      <c r="X293" s="1608">
        <v>20000000</v>
      </c>
      <c r="Y293" s="1608"/>
      <c r="Z293" s="1632"/>
      <c r="AA293" s="1686" t="s">
        <v>2566</v>
      </c>
      <c r="AB293" s="1687">
        <v>20</v>
      </c>
      <c r="AC293" s="1688" t="s">
        <v>86</v>
      </c>
      <c r="AD293" s="2267"/>
      <c r="AE293" s="2267"/>
      <c r="AF293" s="2267"/>
      <c r="AG293" s="2267"/>
      <c r="AH293" s="4272"/>
      <c r="AI293" s="2267"/>
      <c r="AJ293" s="2267"/>
      <c r="AK293" s="2267"/>
      <c r="AL293" s="2267"/>
      <c r="AM293" s="2267"/>
      <c r="AN293" s="2267"/>
      <c r="AO293" s="2267"/>
      <c r="AP293" s="2267"/>
      <c r="AQ293" s="2267"/>
      <c r="AR293" s="2267"/>
      <c r="AS293" s="2267"/>
      <c r="AT293" s="2267"/>
      <c r="AU293" s="2267"/>
      <c r="AV293" s="2267"/>
      <c r="AW293" s="2267"/>
      <c r="AX293" s="2267"/>
      <c r="AY293" s="2267"/>
      <c r="AZ293" s="2267"/>
      <c r="BA293" s="2267"/>
      <c r="BB293" s="2267"/>
      <c r="BC293" s="2267"/>
      <c r="BD293" s="2267"/>
      <c r="BE293" s="2267"/>
      <c r="BF293" s="2267"/>
      <c r="BG293" s="2267"/>
      <c r="BH293" s="2267"/>
      <c r="BI293" s="2267"/>
      <c r="BJ293" s="2267"/>
      <c r="BK293" s="2267"/>
      <c r="BL293" s="2267"/>
      <c r="BM293" s="2267"/>
      <c r="BN293" s="2267"/>
      <c r="BO293" s="2267"/>
      <c r="BP293" s="2267"/>
      <c r="BQ293" s="2267"/>
      <c r="BR293" s="2267"/>
      <c r="BS293" s="2267"/>
      <c r="BT293" s="2267"/>
      <c r="BU293" s="2267"/>
    </row>
    <row r="294" spans="1:73" s="3" customFormat="1" ht="27" customHeight="1" x14ac:dyDescent="0.25">
      <c r="A294" s="436"/>
      <c r="B294" s="354"/>
      <c r="C294" s="354"/>
      <c r="D294" s="354"/>
      <c r="E294" s="354"/>
      <c r="F294" s="354"/>
      <c r="G294" s="354"/>
      <c r="H294" s="354"/>
      <c r="I294" s="354"/>
      <c r="J294" s="354"/>
      <c r="K294" s="354"/>
      <c r="L294" s="354"/>
      <c r="M294" s="354"/>
      <c r="N294" s="354"/>
      <c r="O294" s="354"/>
      <c r="P294" s="354"/>
      <c r="Q294" s="354"/>
      <c r="R294" s="354"/>
      <c r="S294" s="354"/>
      <c r="T294" s="952">
        <f>SUM(T10:T293)</f>
        <v>54459863533.529999</v>
      </c>
      <c r="U294" s="354"/>
      <c r="V294" s="354"/>
      <c r="W294" s="354" t="s">
        <v>127</v>
      </c>
      <c r="X294" s="952">
        <f>SUM(X10:X293)</f>
        <v>54459863533.529999</v>
      </c>
      <c r="Y294" s="952">
        <f t="shared" ref="Y294:Z294" si="0">SUM(Y10:Y293)</f>
        <v>21839293260.179996</v>
      </c>
      <c r="Z294" s="952">
        <f t="shared" si="0"/>
        <v>17080462923.149996</v>
      </c>
      <c r="AA294" s="354"/>
      <c r="AB294" s="354"/>
      <c r="AC294" s="354"/>
      <c r="AD294" s="354"/>
      <c r="AE294" s="354"/>
      <c r="AF294" s="354"/>
      <c r="AG294" s="354"/>
      <c r="AH294" s="354"/>
      <c r="AI294" s="354"/>
      <c r="AJ294" s="354"/>
      <c r="AK294" s="354"/>
      <c r="AL294" s="354"/>
      <c r="AM294" s="354"/>
      <c r="AN294" s="354"/>
      <c r="AO294" s="354"/>
      <c r="AP294" s="354"/>
      <c r="AQ294" s="354"/>
      <c r="AR294" s="354"/>
      <c r="AS294" s="354"/>
      <c r="AT294" s="354"/>
      <c r="AU294" s="354"/>
      <c r="AV294" s="354"/>
      <c r="AW294" s="354"/>
      <c r="AX294" s="354"/>
      <c r="AY294" s="354"/>
      <c r="AZ294" s="354"/>
      <c r="BA294" s="354"/>
      <c r="BB294" s="354"/>
      <c r="BC294" s="354"/>
      <c r="BD294" s="354"/>
      <c r="BE294" s="354"/>
      <c r="BF294" s="354"/>
      <c r="BG294" s="354"/>
      <c r="BH294" s="354"/>
      <c r="BI294" s="354"/>
      <c r="BJ294" s="1689">
        <f>SUM(BJ13:BJ293)</f>
        <v>210</v>
      </c>
      <c r="BK294" s="1690">
        <f>SUM(BK13:BK293)</f>
        <v>21839293260.18</v>
      </c>
      <c r="BL294" s="1690">
        <f>SUM(BL13:BL293)</f>
        <v>17080462923.149998</v>
      </c>
      <c r="BM294" s="955">
        <f>BL294/BK294</f>
        <v>0.78209778675819752</v>
      </c>
      <c r="BN294" s="354"/>
      <c r="BO294" s="354"/>
      <c r="BP294" s="354"/>
      <c r="BQ294" s="354"/>
      <c r="BR294" s="354"/>
      <c r="BS294" s="354"/>
      <c r="BT294" s="354"/>
      <c r="BU294" s="439"/>
    </row>
    <row r="295" spans="1:73" s="3" customFormat="1" ht="27" customHeight="1" x14ac:dyDescent="0.25">
      <c r="A295" s="117"/>
      <c r="H295" s="1691"/>
      <c r="K295" s="117"/>
      <c r="S295" s="1692"/>
      <c r="T295" s="1693"/>
      <c r="W295" s="1694"/>
      <c r="X295" s="1695"/>
      <c r="Y295" s="1695"/>
      <c r="Z295" s="1695"/>
      <c r="AA295" s="1696"/>
      <c r="AB295" s="117"/>
      <c r="AH295" s="117"/>
      <c r="AI295" s="117"/>
      <c r="BJ295" s="1697"/>
      <c r="BK295" s="1698"/>
      <c r="BL295" s="1698"/>
      <c r="BQ295" s="1699"/>
      <c r="BR295" s="1699"/>
      <c r="BS295" s="1699"/>
      <c r="BT295" s="1699"/>
    </row>
    <row r="296" spans="1:73" s="3" customFormat="1" ht="27" customHeight="1" x14ac:dyDescent="0.25">
      <c r="A296" s="117"/>
      <c r="H296" s="1691"/>
      <c r="K296" s="117"/>
      <c r="S296" s="1692"/>
      <c r="T296" s="1693"/>
      <c r="W296" s="1694"/>
      <c r="X296" s="1696"/>
      <c r="Y296" s="1696"/>
      <c r="Z296" s="1696"/>
      <c r="AA296" s="1696"/>
      <c r="AB296" s="117"/>
      <c r="AH296" s="117"/>
      <c r="AI296" s="117"/>
      <c r="BQ296" s="1699"/>
      <c r="BR296" s="1699"/>
      <c r="BS296" s="1699"/>
      <c r="BT296" s="1699"/>
    </row>
    <row r="297" spans="1:73" s="3" customFormat="1" ht="27" customHeight="1" x14ac:dyDescent="0.25">
      <c r="A297" s="117"/>
      <c r="H297" s="1700"/>
      <c r="I297" s="2"/>
      <c r="J297" s="2"/>
      <c r="K297" s="124"/>
      <c r="L297" s="2"/>
      <c r="M297" s="2"/>
      <c r="N297" s="2"/>
      <c r="O297" s="2"/>
      <c r="P297" s="2"/>
      <c r="Q297" s="2"/>
      <c r="R297" s="2"/>
      <c r="S297" s="121"/>
      <c r="T297" s="130"/>
      <c r="U297" s="2"/>
      <c r="V297" s="2"/>
      <c r="W297" s="1622"/>
      <c r="X297" s="1701"/>
      <c r="Y297" s="1701"/>
      <c r="Z297" s="1701"/>
      <c r="AA297" s="1701"/>
      <c r="AB297" s="124"/>
      <c r="AC297" s="2"/>
      <c r="AH297" s="117"/>
      <c r="AI297" s="117"/>
      <c r="BQ297" s="1699"/>
      <c r="BR297" s="1699"/>
      <c r="BS297" s="1699"/>
      <c r="BT297" s="1699"/>
    </row>
  </sheetData>
  <sheetProtection algorithmName="SHA-512" hashValue="bXkxkjcigWEFWDM9B0Itq9hYhkEf66rnAiXeT2jXP8Quay1TJX+66nzJiif6t5l32ruMDsG6YHhnkbD89td+OA==" saltValue="PqKe62DF4EWFU5Go7r0iGg==" spinCount="100000" sheet="1" objects="1" scenarios="1"/>
  <mergeCells count="1755">
    <mergeCell ref="BP282:BP293"/>
    <mergeCell ref="BQ282:BQ293"/>
    <mergeCell ref="BR282:BR293"/>
    <mergeCell ref="BS282:BS293"/>
    <mergeCell ref="BT282:BT293"/>
    <mergeCell ref="BU282:BU293"/>
    <mergeCell ref="BJ282:BJ293"/>
    <mergeCell ref="BK282:BK293"/>
    <mergeCell ref="BL282:BL293"/>
    <mergeCell ref="BM282:BM293"/>
    <mergeCell ref="BN282:BN293"/>
    <mergeCell ref="BO282:BO293"/>
    <mergeCell ref="BD282:BD293"/>
    <mergeCell ref="BE282:BE293"/>
    <mergeCell ref="BF282:BF293"/>
    <mergeCell ref="BG282:BG293"/>
    <mergeCell ref="BH282:BH293"/>
    <mergeCell ref="BI282:BI293"/>
    <mergeCell ref="AY282:AY293"/>
    <mergeCell ref="AZ282:AZ293"/>
    <mergeCell ref="BA282:BA293"/>
    <mergeCell ref="BB282:BB293"/>
    <mergeCell ref="BC282:BC293"/>
    <mergeCell ref="AR282:AR293"/>
    <mergeCell ref="AS282:AS293"/>
    <mergeCell ref="AT282:AT293"/>
    <mergeCell ref="AU282:AU293"/>
    <mergeCell ref="AV282:AV293"/>
    <mergeCell ref="AW282:AW293"/>
    <mergeCell ref="AL282:AL293"/>
    <mergeCell ref="AM282:AM293"/>
    <mergeCell ref="AN282:AN293"/>
    <mergeCell ref="AO282:AO293"/>
    <mergeCell ref="AP282:AP293"/>
    <mergeCell ref="AQ282:AQ293"/>
    <mergeCell ref="AJ282:AJ293"/>
    <mergeCell ref="AK282:AK293"/>
    <mergeCell ref="S282:S289"/>
    <mergeCell ref="T282:T293"/>
    <mergeCell ref="U282:U293"/>
    <mergeCell ref="V282:V290"/>
    <mergeCell ref="AD282:AD293"/>
    <mergeCell ref="AE282:AE293"/>
    <mergeCell ref="W287:W289"/>
    <mergeCell ref="V291:V293"/>
    <mergeCell ref="M282:M289"/>
    <mergeCell ref="N282:N289"/>
    <mergeCell ref="O282:O289"/>
    <mergeCell ref="P282:P289"/>
    <mergeCell ref="Q282:Q293"/>
    <mergeCell ref="R282:R293"/>
    <mergeCell ref="AX282:AX293"/>
    <mergeCell ref="G282:G289"/>
    <mergeCell ref="H282:H289"/>
    <mergeCell ref="I282:I289"/>
    <mergeCell ref="J282:J289"/>
    <mergeCell ref="K282:K289"/>
    <mergeCell ref="L282:L289"/>
    <mergeCell ref="G272:G281"/>
    <mergeCell ref="H272:H281"/>
    <mergeCell ref="I272:I281"/>
    <mergeCell ref="J272:J281"/>
    <mergeCell ref="K272:K281"/>
    <mergeCell ref="L272:L281"/>
    <mergeCell ref="BT268:BT273"/>
    <mergeCell ref="BA268:BA273"/>
    <mergeCell ref="AP268:AP273"/>
    <mergeCell ref="AQ268:AQ273"/>
    <mergeCell ref="AR268:AR273"/>
    <mergeCell ref="AS268:AS273"/>
    <mergeCell ref="AT268:AT273"/>
    <mergeCell ref="AU268:AU273"/>
    <mergeCell ref="AJ268:AJ273"/>
    <mergeCell ref="AK268:AK273"/>
    <mergeCell ref="AL268:AL273"/>
    <mergeCell ref="AM268:AM273"/>
    <mergeCell ref="AN268:AN273"/>
    <mergeCell ref="AO268:AO273"/>
    <mergeCell ref="AD268:AD273"/>
    <mergeCell ref="AE268:AE273"/>
    <mergeCell ref="AF282:AF293"/>
    <mergeCell ref="AG282:AG293"/>
    <mergeCell ref="AH282:AH293"/>
    <mergeCell ref="AI282:AI293"/>
    <mergeCell ref="BU268:BU273"/>
    <mergeCell ref="G270:G271"/>
    <mergeCell ref="H270:H271"/>
    <mergeCell ref="I270:I271"/>
    <mergeCell ref="J270:J271"/>
    <mergeCell ref="K270:K271"/>
    <mergeCell ref="L270:L271"/>
    <mergeCell ref="M270:M271"/>
    <mergeCell ref="N270:N271"/>
    <mergeCell ref="BN268:BN273"/>
    <mergeCell ref="BO268:BO273"/>
    <mergeCell ref="BP268:BP273"/>
    <mergeCell ref="BQ268:BQ273"/>
    <mergeCell ref="BR268:BR273"/>
    <mergeCell ref="BS268:BS273"/>
    <mergeCell ref="BH268:BH273"/>
    <mergeCell ref="BI268:BI273"/>
    <mergeCell ref="BJ268:BJ273"/>
    <mergeCell ref="BK268:BK273"/>
    <mergeCell ref="BL268:BL273"/>
    <mergeCell ref="BM268:BM273"/>
    <mergeCell ref="BB268:BB273"/>
    <mergeCell ref="BC268:BC273"/>
    <mergeCell ref="BD268:BD273"/>
    <mergeCell ref="BE268:BE273"/>
    <mergeCell ref="BF268:BF273"/>
    <mergeCell ref="BG268:BG273"/>
    <mergeCell ref="AV268:AV273"/>
    <mergeCell ref="AW268:AW273"/>
    <mergeCell ref="AX268:AX273"/>
    <mergeCell ref="AY268:AY273"/>
    <mergeCell ref="AZ268:AZ273"/>
    <mergeCell ref="AF268:AF273"/>
    <mergeCell ref="AG268:AG273"/>
    <mergeCell ref="AH268:AH273"/>
    <mergeCell ref="AI268:AI273"/>
    <mergeCell ref="R268:R281"/>
    <mergeCell ref="S268:S269"/>
    <mergeCell ref="T268:T281"/>
    <mergeCell ref="U268:U281"/>
    <mergeCell ref="V268:V281"/>
    <mergeCell ref="W268:W269"/>
    <mergeCell ref="S270:S271"/>
    <mergeCell ref="W270:W271"/>
    <mergeCell ref="L268:L269"/>
    <mergeCell ref="M268:M269"/>
    <mergeCell ref="N268:N269"/>
    <mergeCell ref="O268:O269"/>
    <mergeCell ref="P268:P269"/>
    <mergeCell ref="Q268:Q281"/>
    <mergeCell ref="O270:O271"/>
    <mergeCell ref="P270:P271"/>
    <mergeCell ref="M272:M281"/>
    <mergeCell ref="N272:N281"/>
    <mergeCell ref="O272:O281"/>
    <mergeCell ref="P272:P281"/>
    <mergeCell ref="S272:S281"/>
    <mergeCell ref="W272:W281"/>
    <mergeCell ref="M255:M267"/>
    <mergeCell ref="N255:N267"/>
    <mergeCell ref="O255:O267"/>
    <mergeCell ref="P255:P267"/>
    <mergeCell ref="W255:W266"/>
    <mergeCell ref="G268:G269"/>
    <mergeCell ref="H268:H269"/>
    <mergeCell ref="I268:I269"/>
    <mergeCell ref="J268:J269"/>
    <mergeCell ref="K268:K269"/>
    <mergeCell ref="BR254:BR267"/>
    <mergeCell ref="BS254:BS267"/>
    <mergeCell ref="BT254:BT267"/>
    <mergeCell ref="BU254:BU267"/>
    <mergeCell ref="G255:G267"/>
    <mergeCell ref="H255:H267"/>
    <mergeCell ref="I255:I267"/>
    <mergeCell ref="J255:J267"/>
    <mergeCell ref="K255:K267"/>
    <mergeCell ref="L255:L267"/>
    <mergeCell ref="BL254:BL267"/>
    <mergeCell ref="BM254:BM267"/>
    <mergeCell ref="BN254:BN267"/>
    <mergeCell ref="BO254:BO267"/>
    <mergeCell ref="BP254:BP267"/>
    <mergeCell ref="BQ254:BQ267"/>
    <mergeCell ref="BF254:BF267"/>
    <mergeCell ref="BG254:BG267"/>
    <mergeCell ref="BH254:BH267"/>
    <mergeCell ref="BI254:BI267"/>
    <mergeCell ref="BJ254:BJ267"/>
    <mergeCell ref="BK254:BK267"/>
    <mergeCell ref="AZ254:AZ267"/>
    <mergeCell ref="BA254:BA267"/>
    <mergeCell ref="BB254:BB267"/>
    <mergeCell ref="BC254:BC267"/>
    <mergeCell ref="BD254:BD267"/>
    <mergeCell ref="BE254:BE267"/>
    <mergeCell ref="AT254:AT267"/>
    <mergeCell ref="AU254:AU267"/>
    <mergeCell ref="AV254:AV267"/>
    <mergeCell ref="AW254:AW267"/>
    <mergeCell ref="AX254:AX267"/>
    <mergeCell ref="AY254:AY267"/>
    <mergeCell ref="AN254:AN267"/>
    <mergeCell ref="AO254:AO267"/>
    <mergeCell ref="AP254:AP267"/>
    <mergeCell ref="AQ254:AQ267"/>
    <mergeCell ref="AR254:AR267"/>
    <mergeCell ref="AS254:AS267"/>
    <mergeCell ref="AH254:AH267"/>
    <mergeCell ref="AI254:AI267"/>
    <mergeCell ref="AJ254:AJ267"/>
    <mergeCell ref="AK254:AK267"/>
    <mergeCell ref="AL254:AL267"/>
    <mergeCell ref="AM254:AM267"/>
    <mergeCell ref="U254:U267"/>
    <mergeCell ref="V254:V267"/>
    <mergeCell ref="AD254:AD267"/>
    <mergeCell ref="AE254:AE267"/>
    <mergeCell ref="AF254:AF267"/>
    <mergeCell ref="AG254:AG267"/>
    <mergeCell ref="BR242:BR252"/>
    <mergeCell ref="BS242:BS252"/>
    <mergeCell ref="BT242:BT252"/>
    <mergeCell ref="BU242:BU252"/>
    <mergeCell ref="W245:W246"/>
    <mergeCell ref="AQ242:AQ252"/>
    <mergeCell ref="AR242:AR252"/>
    <mergeCell ref="AS242:AS252"/>
    <mergeCell ref="AH242:AH252"/>
    <mergeCell ref="AI242:AI252"/>
    <mergeCell ref="AJ242:AJ252"/>
    <mergeCell ref="AK242:AK252"/>
    <mergeCell ref="AL242:AL252"/>
    <mergeCell ref="AM242:AM252"/>
    <mergeCell ref="V242:V252"/>
    <mergeCell ref="W242:W244"/>
    <mergeCell ref="AD242:AD252"/>
    <mergeCell ref="AE242:AE252"/>
    <mergeCell ref="AF242:AF252"/>
    <mergeCell ref="AG242:AG252"/>
    <mergeCell ref="E254:F293"/>
    <mergeCell ref="Q254:Q267"/>
    <mergeCell ref="R254:R267"/>
    <mergeCell ref="S254:S267"/>
    <mergeCell ref="T254:T267"/>
    <mergeCell ref="BL242:BL252"/>
    <mergeCell ref="BM242:BM252"/>
    <mergeCell ref="BN242:BN252"/>
    <mergeCell ref="BO242:BO252"/>
    <mergeCell ref="BP242:BP252"/>
    <mergeCell ref="BQ242:BQ252"/>
    <mergeCell ref="BF242:BF252"/>
    <mergeCell ref="BG242:BG252"/>
    <mergeCell ref="BH242:BH252"/>
    <mergeCell ref="BI242:BI252"/>
    <mergeCell ref="BJ242:BJ252"/>
    <mergeCell ref="BK242:BK252"/>
    <mergeCell ref="AZ242:AZ252"/>
    <mergeCell ref="BA242:BA252"/>
    <mergeCell ref="BB242:BB252"/>
    <mergeCell ref="BC242:BC252"/>
    <mergeCell ref="BD242:BD252"/>
    <mergeCell ref="BE242:BE252"/>
    <mergeCell ref="AT242:AT252"/>
    <mergeCell ref="AU242:AU252"/>
    <mergeCell ref="AV242:AV252"/>
    <mergeCell ref="AW242:AW252"/>
    <mergeCell ref="AX242:AX252"/>
    <mergeCell ref="AY242:AY252"/>
    <mergeCell ref="AN242:AN252"/>
    <mergeCell ref="AO242:AO252"/>
    <mergeCell ref="AP242:AP252"/>
    <mergeCell ref="P242:P252"/>
    <mergeCell ref="Q242:Q252"/>
    <mergeCell ref="R242:R252"/>
    <mergeCell ref="S242:S252"/>
    <mergeCell ref="T242:T252"/>
    <mergeCell ref="U242:U252"/>
    <mergeCell ref="BU235:BU241"/>
    <mergeCell ref="G242:G252"/>
    <mergeCell ref="H242:H252"/>
    <mergeCell ref="I242:I252"/>
    <mergeCell ref="J242:J252"/>
    <mergeCell ref="K242:K252"/>
    <mergeCell ref="L242:L252"/>
    <mergeCell ref="M242:M252"/>
    <mergeCell ref="N242:N252"/>
    <mergeCell ref="O242:O252"/>
    <mergeCell ref="BO235:BO241"/>
    <mergeCell ref="BP235:BP241"/>
    <mergeCell ref="BQ235:BQ241"/>
    <mergeCell ref="BR235:BR241"/>
    <mergeCell ref="BS235:BS241"/>
    <mergeCell ref="BT235:BT241"/>
    <mergeCell ref="BI235:BI241"/>
    <mergeCell ref="BJ235:BJ241"/>
    <mergeCell ref="BK235:BK241"/>
    <mergeCell ref="BL235:BL241"/>
    <mergeCell ref="BM235:BM241"/>
    <mergeCell ref="BN235:BN241"/>
    <mergeCell ref="BC235:BC241"/>
    <mergeCell ref="BD235:BD241"/>
    <mergeCell ref="BE235:BE241"/>
    <mergeCell ref="BF235:BF241"/>
    <mergeCell ref="BG235:BG241"/>
    <mergeCell ref="BH235:BH241"/>
    <mergeCell ref="AW235:AW241"/>
    <mergeCell ref="AX235:AX241"/>
    <mergeCell ref="AY235:AY241"/>
    <mergeCell ref="AZ235:AZ241"/>
    <mergeCell ref="BA235:BA241"/>
    <mergeCell ref="BB235:BB241"/>
    <mergeCell ref="AQ235:AQ241"/>
    <mergeCell ref="AR235:AR241"/>
    <mergeCell ref="AS235:AS241"/>
    <mergeCell ref="AT235:AT241"/>
    <mergeCell ref="AU235:AU241"/>
    <mergeCell ref="AV235:AV241"/>
    <mergeCell ref="AK235:AK241"/>
    <mergeCell ref="AL235:AL241"/>
    <mergeCell ref="AM235:AM241"/>
    <mergeCell ref="AN235:AN241"/>
    <mergeCell ref="AO235:AO241"/>
    <mergeCell ref="AP235:AP241"/>
    <mergeCell ref="AE235:AE241"/>
    <mergeCell ref="AF235:AF241"/>
    <mergeCell ref="AG235:AG241"/>
    <mergeCell ref="AH235:AH241"/>
    <mergeCell ref="AI235:AI241"/>
    <mergeCell ref="AJ235:AJ241"/>
    <mergeCell ref="S235:S241"/>
    <mergeCell ref="T235:T241"/>
    <mergeCell ref="U235:U241"/>
    <mergeCell ref="V235:V241"/>
    <mergeCell ref="W235:W236"/>
    <mergeCell ref="AD235:AD241"/>
    <mergeCell ref="M235:M241"/>
    <mergeCell ref="N235:N241"/>
    <mergeCell ref="O235:O241"/>
    <mergeCell ref="P235:P241"/>
    <mergeCell ref="Q235:Q241"/>
    <mergeCell ref="R235:R241"/>
    <mergeCell ref="G235:G241"/>
    <mergeCell ref="H235:H241"/>
    <mergeCell ref="I235:I241"/>
    <mergeCell ref="J235:J241"/>
    <mergeCell ref="K235:K241"/>
    <mergeCell ref="L235:L241"/>
    <mergeCell ref="BQ224:BQ234"/>
    <mergeCell ref="BR224:BR234"/>
    <mergeCell ref="BS224:BS234"/>
    <mergeCell ref="BT224:BT234"/>
    <mergeCell ref="BU224:BU234"/>
    <mergeCell ref="W226:W227"/>
    <mergeCell ref="X226:X227"/>
    <mergeCell ref="Y226:Y227"/>
    <mergeCell ref="Z226:Z227"/>
    <mergeCell ref="BK224:BK234"/>
    <mergeCell ref="BL224:BL234"/>
    <mergeCell ref="BM224:BM234"/>
    <mergeCell ref="BN224:BN234"/>
    <mergeCell ref="BO224:BO234"/>
    <mergeCell ref="BP224:BP234"/>
    <mergeCell ref="BE224:BE234"/>
    <mergeCell ref="BF224:BF234"/>
    <mergeCell ref="BG224:BG234"/>
    <mergeCell ref="BH224:BH234"/>
    <mergeCell ref="BI224:BI234"/>
    <mergeCell ref="BJ224:BJ234"/>
    <mergeCell ref="AY224:AY234"/>
    <mergeCell ref="AZ224:AZ234"/>
    <mergeCell ref="BA224:BA234"/>
    <mergeCell ref="BB224:BB234"/>
    <mergeCell ref="BC224:BC234"/>
    <mergeCell ref="BD224:BD234"/>
    <mergeCell ref="AS224:AS234"/>
    <mergeCell ref="AT224:AT234"/>
    <mergeCell ref="AU224:AU234"/>
    <mergeCell ref="AV224:AV234"/>
    <mergeCell ref="AW224:AW234"/>
    <mergeCell ref="AX224:AX234"/>
    <mergeCell ref="AM224:AM234"/>
    <mergeCell ref="AN224:AN234"/>
    <mergeCell ref="AO224:AO234"/>
    <mergeCell ref="AP224:AP234"/>
    <mergeCell ref="AQ224:AQ234"/>
    <mergeCell ref="AR224:AR234"/>
    <mergeCell ref="AG224:AG234"/>
    <mergeCell ref="AH224:AH234"/>
    <mergeCell ref="AI224:AI234"/>
    <mergeCell ref="AJ224:AJ234"/>
    <mergeCell ref="AK224:AK234"/>
    <mergeCell ref="AL224:AL234"/>
    <mergeCell ref="T224:T234"/>
    <mergeCell ref="U224:U234"/>
    <mergeCell ref="V224:V234"/>
    <mergeCell ref="AD224:AD234"/>
    <mergeCell ref="AE224:AE234"/>
    <mergeCell ref="AF224:AF234"/>
    <mergeCell ref="N224:N234"/>
    <mergeCell ref="O224:O234"/>
    <mergeCell ref="P224:P234"/>
    <mergeCell ref="Q224:Q234"/>
    <mergeCell ref="R224:R234"/>
    <mergeCell ref="S224:S234"/>
    <mergeCell ref="BS218:BS223"/>
    <mergeCell ref="BT218:BT223"/>
    <mergeCell ref="BU218:BU223"/>
    <mergeCell ref="G224:G234"/>
    <mergeCell ref="H224:H234"/>
    <mergeCell ref="I224:I234"/>
    <mergeCell ref="J224:J234"/>
    <mergeCell ref="K224:K234"/>
    <mergeCell ref="L224:L234"/>
    <mergeCell ref="M224:M234"/>
    <mergeCell ref="BM218:BM223"/>
    <mergeCell ref="BN218:BN223"/>
    <mergeCell ref="BO218:BO223"/>
    <mergeCell ref="BP218:BP223"/>
    <mergeCell ref="BQ218:BQ223"/>
    <mergeCell ref="BR218:BR223"/>
    <mergeCell ref="BG218:BG223"/>
    <mergeCell ref="BH218:BH223"/>
    <mergeCell ref="BI218:BI223"/>
    <mergeCell ref="BJ218:BJ223"/>
    <mergeCell ref="BK218:BK223"/>
    <mergeCell ref="BL218:BL223"/>
    <mergeCell ref="BA218:BA223"/>
    <mergeCell ref="BB218:BB223"/>
    <mergeCell ref="BC218:BC223"/>
    <mergeCell ref="BD218:BD223"/>
    <mergeCell ref="BE218:BE223"/>
    <mergeCell ref="BF218:BF223"/>
    <mergeCell ref="AU218:AU223"/>
    <mergeCell ref="AV218:AV223"/>
    <mergeCell ref="AW218:AW223"/>
    <mergeCell ref="AX218:AX223"/>
    <mergeCell ref="AY218:AY223"/>
    <mergeCell ref="AZ218:AZ223"/>
    <mergeCell ref="AO218:AO223"/>
    <mergeCell ref="AP218:AP223"/>
    <mergeCell ref="AQ218:AQ223"/>
    <mergeCell ref="AR218:AR223"/>
    <mergeCell ref="AS218:AS223"/>
    <mergeCell ref="AT218:AT223"/>
    <mergeCell ref="AI218:AI223"/>
    <mergeCell ref="AJ218:AJ223"/>
    <mergeCell ref="AK218:AK223"/>
    <mergeCell ref="AL218:AL223"/>
    <mergeCell ref="AM218:AM223"/>
    <mergeCell ref="AN218:AN223"/>
    <mergeCell ref="V218:V223"/>
    <mergeCell ref="AD218:AD223"/>
    <mergeCell ref="AE218:AE223"/>
    <mergeCell ref="AF218:AF223"/>
    <mergeCell ref="AG218:AG223"/>
    <mergeCell ref="AH218:AH223"/>
    <mergeCell ref="P218:P223"/>
    <mergeCell ref="Q218:Q223"/>
    <mergeCell ref="R218:R223"/>
    <mergeCell ref="S218:S223"/>
    <mergeCell ref="T218:T223"/>
    <mergeCell ref="U218:U223"/>
    <mergeCell ref="BU216:BU217"/>
    <mergeCell ref="G218:G223"/>
    <mergeCell ref="H218:H223"/>
    <mergeCell ref="I218:I223"/>
    <mergeCell ref="J218:J223"/>
    <mergeCell ref="K218:K223"/>
    <mergeCell ref="L218:L223"/>
    <mergeCell ref="M218:M223"/>
    <mergeCell ref="N218:N223"/>
    <mergeCell ref="O218:O223"/>
    <mergeCell ref="BO216:BO217"/>
    <mergeCell ref="BP216:BP217"/>
    <mergeCell ref="BQ216:BQ217"/>
    <mergeCell ref="BR216:BR217"/>
    <mergeCell ref="BS216:BS217"/>
    <mergeCell ref="BT216:BT217"/>
    <mergeCell ref="BI216:BI217"/>
    <mergeCell ref="BJ216:BJ217"/>
    <mergeCell ref="BK216:BK217"/>
    <mergeCell ref="BL216:BL217"/>
    <mergeCell ref="BM216:BM217"/>
    <mergeCell ref="BN216:BN217"/>
    <mergeCell ref="BC216:BC217"/>
    <mergeCell ref="BD216:BD217"/>
    <mergeCell ref="BE216:BE217"/>
    <mergeCell ref="BF216:BF217"/>
    <mergeCell ref="BG216:BG217"/>
    <mergeCell ref="BH216:BH217"/>
    <mergeCell ref="AW216:AW217"/>
    <mergeCell ref="AX216:AX217"/>
    <mergeCell ref="AY216:AY217"/>
    <mergeCell ref="AZ216:AZ217"/>
    <mergeCell ref="BA216:BA217"/>
    <mergeCell ref="BB216:BB217"/>
    <mergeCell ref="AQ216:AQ217"/>
    <mergeCell ref="AR216:AR217"/>
    <mergeCell ref="AS216:AS217"/>
    <mergeCell ref="AT216:AT217"/>
    <mergeCell ref="AU216:AU217"/>
    <mergeCell ref="AV216:AV217"/>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R216:R217"/>
    <mergeCell ref="S216:S217"/>
    <mergeCell ref="T216:T217"/>
    <mergeCell ref="U216:U217"/>
    <mergeCell ref="V216:V217"/>
    <mergeCell ref="AD216:AD217"/>
    <mergeCell ref="L216:L217"/>
    <mergeCell ref="M216:M217"/>
    <mergeCell ref="N216:N217"/>
    <mergeCell ref="O216:O217"/>
    <mergeCell ref="P216:P217"/>
    <mergeCell ref="Q216:Q217"/>
    <mergeCell ref="BR212:BR215"/>
    <mergeCell ref="BS212:BS215"/>
    <mergeCell ref="BT212:BT215"/>
    <mergeCell ref="BU212:BU215"/>
    <mergeCell ref="W214:W215"/>
    <mergeCell ref="AQ212:AQ215"/>
    <mergeCell ref="AR212:AR215"/>
    <mergeCell ref="AS212:AS215"/>
    <mergeCell ref="AH212:AH215"/>
    <mergeCell ref="AI212:AI215"/>
    <mergeCell ref="AJ212:AJ215"/>
    <mergeCell ref="AK212:AK215"/>
    <mergeCell ref="AL212:AL215"/>
    <mergeCell ref="AM212:AM215"/>
    <mergeCell ref="U212:U215"/>
    <mergeCell ref="V212:V215"/>
    <mergeCell ref="AD212:AD215"/>
    <mergeCell ref="AE212:AE215"/>
    <mergeCell ref="AF212:AF215"/>
    <mergeCell ref="AG212:AG215"/>
    <mergeCell ref="G216:G217"/>
    <mergeCell ref="H216:H217"/>
    <mergeCell ref="I216:I217"/>
    <mergeCell ref="J216:J217"/>
    <mergeCell ref="K216:K217"/>
    <mergeCell ref="BL212:BL215"/>
    <mergeCell ref="BM212:BM215"/>
    <mergeCell ref="BN212:BN215"/>
    <mergeCell ref="BO212:BO215"/>
    <mergeCell ref="BP212:BP215"/>
    <mergeCell ref="BQ212:BQ215"/>
    <mergeCell ref="BF212:BF215"/>
    <mergeCell ref="BG212:BG215"/>
    <mergeCell ref="BH212:BH215"/>
    <mergeCell ref="BI212:BI215"/>
    <mergeCell ref="BJ212:BJ215"/>
    <mergeCell ref="BK212:BK215"/>
    <mergeCell ref="AZ212:AZ215"/>
    <mergeCell ref="BA212:BA215"/>
    <mergeCell ref="BB212:BB215"/>
    <mergeCell ref="BC212:BC215"/>
    <mergeCell ref="BD212:BD215"/>
    <mergeCell ref="BE212:BE215"/>
    <mergeCell ref="AT212:AT215"/>
    <mergeCell ref="AU212:AU215"/>
    <mergeCell ref="AV212:AV215"/>
    <mergeCell ref="AW212:AW215"/>
    <mergeCell ref="AX212:AX215"/>
    <mergeCell ref="AY212:AY215"/>
    <mergeCell ref="AN212:AN215"/>
    <mergeCell ref="AO212:AO215"/>
    <mergeCell ref="AP212:AP215"/>
    <mergeCell ref="O212:O215"/>
    <mergeCell ref="P212:P215"/>
    <mergeCell ref="Q212:Q215"/>
    <mergeCell ref="R212:R215"/>
    <mergeCell ref="S212:S215"/>
    <mergeCell ref="T212:T215"/>
    <mergeCell ref="W208:W209"/>
    <mergeCell ref="W210:W211"/>
    <mergeCell ref="G212:G215"/>
    <mergeCell ref="H212:H215"/>
    <mergeCell ref="I212:I215"/>
    <mergeCell ref="J212:J215"/>
    <mergeCell ref="K212:K215"/>
    <mergeCell ref="L212:L215"/>
    <mergeCell ref="M212:M215"/>
    <mergeCell ref="N212:N215"/>
    <mergeCell ref="M198:M211"/>
    <mergeCell ref="N198:N211"/>
    <mergeCell ref="O198:O211"/>
    <mergeCell ref="P198:P211"/>
    <mergeCell ref="S198:S211"/>
    <mergeCell ref="V198:V211"/>
    <mergeCell ref="G198:G211"/>
    <mergeCell ref="H198:H211"/>
    <mergeCell ref="I198:I211"/>
    <mergeCell ref="J198:J211"/>
    <mergeCell ref="K198:K211"/>
    <mergeCell ref="L198:L211"/>
    <mergeCell ref="BP197:BP211"/>
    <mergeCell ref="BQ197:BQ211"/>
    <mergeCell ref="BR197:BR211"/>
    <mergeCell ref="BS197:BS211"/>
    <mergeCell ref="BT197:BT211"/>
    <mergeCell ref="BU197:BU211"/>
    <mergeCell ref="BJ197:BJ211"/>
    <mergeCell ref="BK197:BK211"/>
    <mergeCell ref="BL197:BL211"/>
    <mergeCell ref="BM197:BM211"/>
    <mergeCell ref="BN197:BN211"/>
    <mergeCell ref="BO197:BO211"/>
    <mergeCell ref="BD197:BD211"/>
    <mergeCell ref="BE197:BE211"/>
    <mergeCell ref="BF197:BF211"/>
    <mergeCell ref="BG197:BG211"/>
    <mergeCell ref="BH197:BH211"/>
    <mergeCell ref="BI197:BI211"/>
    <mergeCell ref="AX197:AX211"/>
    <mergeCell ref="AY197:AY211"/>
    <mergeCell ref="AZ197:AZ211"/>
    <mergeCell ref="BA197:BA211"/>
    <mergeCell ref="BB197:BB211"/>
    <mergeCell ref="BC197:BC211"/>
    <mergeCell ref="AR197:AR211"/>
    <mergeCell ref="AS197:AS211"/>
    <mergeCell ref="AT197:AT211"/>
    <mergeCell ref="AU197:AU211"/>
    <mergeCell ref="AV197:AV211"/>
    <mergeCell ref="AW197:AW211"/>
    <mergeCell ref="AL197:AL211"/>
    <mergeCell ref="AM197:AM211"/>
    <mergeCell ref="AN197:AN211"/>
    <mergeCell ref="AO197:AO211"/>
    <mergeCell ref="AP197:AP211"/>
    <mergeCell ref="AQ197:AQ211"/>
    <mergeCell ref="AF197:AF211"/>
    <mergeCell ref="AG197:AG211"/>
    <mergeCell ref="AH197:AH211"/>
    <mergeCell ref="AI197:AI211"/>
    <mergeCell ref="AJ197:AJ211"/>
    <mergeCell ref="AK197:AK211"/>
    <mergeCell ref="Q197:Q211"/>
    <mergeCell ref="R197:R211"/>
    <mergeCell ref="T197:T211"/>
    <mergeCell ref="U197:U211"/>
    <mergeCell ref="AD197:AD211"/>
    <mergeCell ref="AE197:AE211"/>
    <mergeCell ref="W198:W199"/>
    <mergeCell ref="W201:W202"/>
    <mergeCell ref="W203:W204"/>
    <mergeCell ref="W205:W206"/>
    <mergeCell ref="BU184:BU196"/>
    <mergeCell ref="W186:W187"/>
    <mergeCell ref="AQ184:AQ196"/>
    <mergeCell ref="AR184:AR196"/>
    <mergeCell ref="AS184:AS196"/>
    <mergeCell ref="AT184:AT196"/>
    <mergeCell ref="AU184:AU196"/>
    <mergeCell ref="AV184:AV196"/>
    <mergeCell ref="AK184:AK196"/>
    <mergeCell ref="AL184:AL196"/>
    <mergeCell ref="AM184:AM196"/>
    <mergeCell ref="AN184:AN196"/>
    <mergeCell ref="AO184:AO196"/>
    <mergeCell ref="AP184:AP196"/>
    <mergeCell ref="AE184:AE196"/>
    <mergeCell ref="AF184:AF196"/>
    <mergeCell ref="G191:G196"/>
    <mergeCell ref="H191:H196"/>
    <mergeCell ref="I191:I196"/>
    <mergeCell ref="J191:J196"/>
    <mergeCell ref="K191:K196"/>
    <mergeCell ref="L191:L196"/>
    <mergeCell ref="M191:M196"/>
    <mergeCell ref="N191:N196"/>
    <mergeCell ref="BO184:BO196"/>
    <mergeCell ref="BP184:BP196"/>
    <mergeCell ref="BQ184:BQ196"/>
    <mergeCell ref="BR184:BR196"/>
    <mergeCell ref="BS184:BS196"/>
    <mergeCell ref="BT184:BT196"/>
    <mergeCell ref="BI184:BI196"/>
    <mergeCell ref="BJ184:BJ196"/>
    <mergeCell ref="BK184:BK196"/>
    <mergeCell ref="BL184:BL196"/>
    <mergeCell ref="BM184:BM196"/>
    <mergeCell ref="BN184:BN196"/>
    <mergeCell ref="BC184:BC196"/>
    <mergeCell ref="BD184:BD196"/>
    <mergeCell ref="BE184:BE196"/>
    <mergeCell ref="BF184:BF196"/>
    <mergeCell ref="BG184:BG196"/>
    <mergeCell ref="BH184:BH196"/>
    <mergeCell ref="AW184:AW196"/>
    <mergeCell ref="AX184:AX196"/>
    <mergeCell ref="AY184:AY196"/>
    <mergeCell ref="AZ184:AZ196"/>
    <mergeCell ref="BA184:BA196"/>
    <mergeCell ref="BB184:BB196"/>
    <mergeCell ref="AG184:AG196"/>
    <mergeCell ref="AH184:AH196"/>
    <mergeCell ref="AI184:AI196"/>
    <mergeCell ref="AJ184:AJ196"/>
    <mergeCell ref="R184:R196"/>
    <mergeCell ref="S184:S190"/>
    <mergeCell ref="T184:T196"/>
    <mergeCell ref="U184:U196"/>
    <mergeCell ref="V184:V190"/>
    <mergeCell ref="AD184:AD196"/>
    <mergeCell ref="S191:S196"/>
    <mergeCell ref="V191:V196"/>
    <mergeCell ref="W191:W193"/>
    <mergeCell ref="L184:L190"/>
    <mergeCell ref="M184:M190"/>
    <mergeCell ref="N184:N190"/>
    <mergeCell ref="O184:O190"/>
    <mergeCell ref="P184:P190"/>
    <mergeCell ref="Q184:Q196"/>
    <mergeCell ref="O191:O196"/>
    <mergeCell ref="P191:P196"/>
    <mergeCell ref="G184:G190"/>
    <mergeCell ref="H184:H190"/>
    <mergeCell ref="I184:I190"/>
    <mergeCell ref="J184:J190"/>
    <mergeCell ref="K184:K190"/>
    <mergeCell ref="G179:G183"/>
    <mergeCell ref="H179:H183"/>
    <mergeCell ref="I179:I183"/>
    <mergeCell ref="J179:J183"/>
    <mergeCell ref="K179:K183"/>
    <mergeCell ref="L179:L183"/>
    <mergeCell ref="G173:G178"/>
    <mergeCell ref="H173:H178"/>
    <mergeCell ref="I173:I178"/>
    <mergeCell ref="J173:J178"/>
    <mergeCell ref="K173:K178"/>
    <mergeCell ref="L173:L178"/>
    <mergeCell ref="BP169:BP183"/>
    <mergeCell ref="BQ169:BQ183"/>
    <mergeCell ref="BR169:BR183"/>
    <mergeCell ref="BS169:BS183"/>
    <mergeCell ref="BT169:BT183"/>
    <mergeCell ref="BU169:BU183"/>
    <mergeCell ref="BJ169:BJ183"/>
    <mergeCell ref="BK169:BK183"/>
    <mergeCell ref="BL169:BL183"/>
    <mergeCell ref="BM169:BM183"/>
    <mergeCell ref="BN169:BN183"/>
    <mergeCell ref="BO169:BO183"/>
    <mergeCell ref="BD169:BD183"/>
    <mergeCell ref="BE169:BE183"/>
    <mergeCell ref="BF169:BF183"/>
    <mergeCell ref="BG169:BG183"/>
    <mergeCell ref="BH169:BH183"/>
    <mergeCell ref="BI169:BI183"/>
    <mergeCell ref="N169:N172"/>
    <mergeCell ref="O169:O172"/>
    <mergeCell ref="P169:P172"/>
    <mergeCell ref="Q169:Q183"/>
    <mergeCell ref="R169:R183"/>
    <mergeCell ref="M173:M178"/>
    <mergeCell ref="N173:N178"/>
    <mergeCell ref="O173:O178"/>
    <mergeCell ref="P173:P178"/>
    <mergeCell ref="AX169:AX183"/>
    <mergeCell ref="AY169:AY183"/>
    <mergeCell ref="AZ169:AZ183"/>
    <mergeCell ref="BA169:BA183"/>
    <mergeCell ref="BB169:BB183"/>
    <mergeCell ref="BC169:BC183"/>
    <mergeCell ref="AR169:AR183"/>
    <mergeCell ref="AS169:AS183"/>
    <mergeCell ref="AT169:AT183"/>
    <mergeCell ref="AU169:AU183"/>
    <mergeCell ref="AV169:AV183"/>
    <mergeCell ref="AW169:AW183"/>
    <mergeCell ref="AL169:AL183"/>
    <mergeCell ref="AM169:AM183"/>
    <mergeCell ref="AN169:AN183"/>
    <mergeCell ref="AO169:AO183"/>
    <mergeCell ref="AP169:AP183"/>
    <mergeCell ref="AQ169:AQ183"/>
    <mergeCell ref="M179:M183"/>
    <mergeCell ref="N179:N183"/>
    <mergeCell ref="O179:O183"/>
    <mergeCell ref="P179:P183"/>
    <mergeCell ref="S179:S183"/>
    <mergeCell ref="AR160:AR168"/>
    <mergeCell ref="AS160:AS168"/>
    <mergeCell ref="AT160:AT168"/>
    <mergeCell ref="AU160:AU168"/>
    <mergeCell ref="AV160:AV168"/>
    <mergeCell ref="AW160:AW168"/>
    <mergeCell ref="AL160:AL168"/>
    <mergeCell ref="AM160:AM168"/>
    <mergeCell ref="AN160:AN168"/>
    <mergeCell ref="AO160:AO168"/>
    <mergeCell ref="AP160:AP168"/>
    <mergeCell ref="AQ160:AQ168"/>
    <mergeCell ref="AF160:AF168"/>
    <mergeCell ref="AG160:AG168"/>
    <mergeCell ref="AH160:AH168"/>
    <mergeCell ref="BB160:BB168"/>
    <mergeCell ref="BC160:BC168"/>
    <mergeCell ref="G169:G172"/>
    <mergeCell ref="H169:H172"/>
    <mergeCell ref="I169:I172"/>
    <mergeCell ref="J169:J172"/>
    <mergeCell ref="K169:K172"/>
    <mergeCell ref="L169:L172"/>
    <mergeCell ref="G165:G168"/>
    <mergeCell ref="H165:H168"/>
    <mergeCell ref="I165:I168"/>
    <mergeCell ref="J165:J168"/>
    <mergeCell ref="K165:K168"/>
    <mergeCell ref="L165:L168"/>
    <mergeCell ref="BP160:BP168"/>
    <mergeCell ref="BQ160:BQ168"/>
    <mergeCell ref="BR160:BR168"/>
    <mergeCell ref="AF169:AF183"/>
    <mergeCell ref="AG169:AG183"/>
    <mergeCell ref="AH169:AH183"/>
    <mergeCell ref="AI169:AI183"/>
    <mergeCell ref="AJ169:AJ183"/>
    <mergeCell ref="AK169:AK183"/>
    <mergeCell ref="S169:S172"/>
    <mergeCell ref="T169:T183"/>
    <mergeCell ref="U169:U183"/>
    <mergeCell ref="V169:V172"/>
    <mergeCell ref="AD169:AD183"/>
    <mergeCell ref="AE169:AE183"/>
    <mergeCell ref="S173:S178"/>
    <mergeCell ref="V173:V183"/>
    <mergeCell ref="M169:M172"/>
    <mergeCell ref="V160:V164"/>
    <mergeCell ref="AD160:AD168"/>
    <mergeCell ref="AE160:AE168"/>
    <mergeCell ref="S165:S168"/>
    <mergeCell ref="V165:V168"/>
    <mergeCell ref="M160:M164"/>
    <mergeCell ref="N160:N164"/>
    <mergeCell ref="O160:O164"/>
    <mergeCell ref="P160:P164"/>
    <mergeCell ref="Q160:Q168"/>
    <mergeCell ref="R160:R168"/>
    <mergeCell ref="M165:M168"/>
    <mergeCell ref="N165:N168"/>
    <mergeCell ref="O165:O168"/>
    <mergeCell ref="P165:P168"/>
    <mergeCell ref="BU160:BU168"/>
    <mergeCell ref="BJ160:BJ168"/>
    <mergeCell ref="BK160:BK168"/>
    <mergeCell ref="BL160:BL168"/>
    <mergeCell ref="BM160:BM168"/>
    <mergeCell ref="BN160:BN168"/>
    <mergeCell ref="BO160:BO168"/>
    <mergeCell ref="BD160:BD168"/>
    <mergeCell ref="BE160:BE168"/>
    <mergeCell ref="BF160:BF168"/>
    <mergeCell ref="BG160:BG168"/>
    <mergeCell ref="BH160:BH168"/>
    <mergeCell ref="BI160:BI168"/>
    <mergeCell ref="AX160:AX168"/>
    <mergeCell ref="AY160:AY168"/>
    <mergeCell ref="AZ160:AZ168"/>
    <mergeCell ref="BA160:BA168"/>
    <mergeCell ref="BS160:BS168"/>
    <mergeCell ref="BT160:BT168"/>
    <mergeCell ref="AX146:AX159"/>
    <mergeCell ref="AY146:AY159"/>
    <mergeCell ref="AZ146:AZ159"/>
    <mergeCell ref="BA146:BA159"/>
    <mergeCell ref="BB146:BB159"/>
    <mergeCell ref="BC146:BC159"/>
    <mergeCell ref="AR146:AR159"/>
    <mergeCell ref="AS146:AS159"/>
    <mergeCell ref="G160:G164"/>
    <mergeCell ref="H160:H164"/>
    <mergeCell ref="I160:I164"/>
    <mergeCell ref="J160:J164"/>
    <mergeCell ref="K160:K164"/>
    <mergeCell ref="L160:L164"/>
    <mergeCell ref="M154:M159"/>
    <mergeCell ref="N154:N159"/>
    <mergeCell ref="O154:O159"/>
    <mergeCell ref="P154:P159"/>
    <mergeCell ref="S154:S159"/>
    <mergeCell ref="V154:V159"/>
    <mergeCell ref="G154:G159"/>
    <mergeCell ref="H154:H159"/>
    <mergeCell ref="I154:I159"/>
    <mergeCell ref="J154:J159"/>
    <mergeCell ref="K154:K159"/>
    <mergeCell ref="L154:L159"/>
    <mergeCell ref="AI160:AI168"/>
    <mergeCell ref="AJ160:AJ168"/>
    <mergeCell ref="AK160:AK168"/>
    <mergeCell ref="S160:S164"/>
    <mergeCell ref="T160:T168"/>
    <mergeCell ref="U160:U168"/>
    <mergeCell ref="BP146:BP159"/>
    <mergeCell ref="BQ146:BQ159"/>
    <mergeCell ref="BR146:BR159"/>
    <mergeCell ref="BS146:BS159"/>
    <mergeCell ref="BT146:BT159"/>
    <mergeCell ref="BU146:BU159"/>
    <mergeCell ref="BJ146:BJ159"/>
    <mergeCell ref="BK146:BK159"/>
    <mergeCell ref="BL146:BL159"/>
    <mergeCell ref="BM146:BM159"/>
    <mergeCell ref="BN146:BN159"/>
    <mergeCell ref="BO146:BO159"/>
    <mergeCell ref="BD146:BD159"/>
    <mergeCell ref="BE146:BE159"/>
    <mergeCell ref="BF146:BF159"/>
    <mergeCell ref="BG146:BG159"/>
    <mergeCell ref="BH146:BH159"/>
    <mergeCell ref="BI146:BI159"/>
    <mergeCell ref="AT146:AT159"/>
    <mergeCell ref="AU146:AU159"/>
    <mergeCell ref="AV146:AV159"/>
    <mergeCell ref="AW146:AW159"/>
    <mergeCell ref="AL146:AL159"/>
    <mergeCell ref="AM146:AM159"/>
    <mergeCell ref="AN146:AN159"/>
    <mergeCell ref="AO146:AO159"/>
    <mergeCell ref="AP146:AP159"/>
    <mergeCell ref="AQ146:AQ159"/>
    <mergeCell ref="AF146:AF159"/>
    <mergeCell ref="AG146:AG159"/>
    <mergeCell ref="AH146:AH159"/>
    <mergeCell ref="AI146:AI159"/>
    <mergeCell ref="AJ146:AJ159"/>
    <mergeCell ref="AK146:AK159"/>
    <mergeCell ref="S146:S149"/>
    <mergeCell ref="T146:T159"/>
    <mergeCell ref="U146:U159"/>
    <mergeCell ref="V146:V149"/>
    <mergeCell ref="AD146:AD159"/>
    <mergeCell ref="AE146:AE159"/>
    <mergeCell ref="S150:S153"/>
    <mergeCell ref="V150:V153"/>
    <mergeCell ref="M146:M149"/>
    <mergeCell ref="N146:N149"/>
    <mergeCell ref="O146:O149"/>
    <mergeCell ref="P146:P149"/>
    <mergeCell ref="Q146:Q159"/>
    <mergeCell ref="R146:R159"/>
    <mergeCell ref="M150:M153"/>
    <mergeCell ref="N150:N153"/>
    <mergeCell ref="O150:O153"/>
    <mergeCell ref="P150:P153"/>
    <mergeCell ref="G146:G149"/>
    <mergeCell ref="H146:H149"/>
    <mergeCell ref="I146:I149"/>
    <mergeCell ref="J146:J149"/>
    <mergeCell ref="K146:K149"/>
    <mergeCell ref="L146:L149"/>
    <mergeCell ref="G136:G145"/>
    <mergeCell ref="H136:H145"/>
    <mergeCell ref="I136:I145"/>
    <mergeCell ref="J136:J145"/>
    <mergeCell ref="K136:K145"/>
    <mergeCell ref="L136:L145"/>
    <mergeCell ref="G150:G153"/>
    <mergeCell ref="H150:H153"/>
    <mergeCell ref="I150:I153"/>
    <mergeCell ref="J150:J153"/>
    <mergeCell ref="K150:K153"/>
    <mergeCell ref="L150:L153"/>
    <mergeCell ref="BP124:BP145"/>
    <mergeCell ref="BQ124:BQ145"/>
    <mergeCell ref="BR124:BR145"/>
    <mergeCell ref="BS124:BS145"/>
    <mergeCell ref="BT124:BT145"/>
    <mergeCell ref="BU124:BU145"/>
    <mergeCell ref="BJ124:BJ145"/>
    <mergeCell ref="BK124:BK145"/>
    <mergeCell ref="BL124:BL145"/>
    <mergeCell ref="BM124:BM145"/>
    <mergeCell ref="BN124:BN145"/>
    <mergeCell ref="BO124:BO145"/>
    <mergeCell ref="BD124:BD145"/>
    <mergeCell ref="BE124:BE145"/>
    <mergeCell ref="BF124:BF145"/>
    <mergeCell ref="BG124:BG145"/>
    <mergeCell ref="BH124:BH145"/>
    <mergeCell ref="BI124:BI145"/>
    <mergeCell ref="U107:U123"/>
    <mergeCell ref="V107:V109"/>
    <mergeCell ref="AD107:AD123"/>
    <mergeCell ref="AX124:AX145"/>
    <mergeCell ref="AY124:AY145"/>
    <mergeCell ref="AZ124:AZ145"/>
    <mergeCell ref="BA124:BA145"/>
    <mergeCell ref="BB124:BB145"/>
    <mergeCell ref="BC124:BC145"/>
    <mergeCell ref="AR124:AR145"/>
    <mergeCell ref="AS124:AS145"/>
    <mergeCell ref="AT124:AT145"/>
    <mergeCell ref="AU124:AU145"/>
    <mergeCell ref="AV124:AV145"/>
    <mergeCell ref="AW124:AW145"/>
    <mergeCell ref="AL124:AL145"/>
    <mergeCell ref="AM124:AM145"/>
    <mergeCell ref="AN124:AN145"/>
    <mergeCell ref="AO124:AO145"/>
    <mergeCell ref="AP124:AP145"/>
    <mergeCell ref="AQ124:AQ145"/>
    <mergeCell ref="K122:K123"/>
    <mergeCell ref="G119:G121"/>
    <mergeCell ref="H119:H121"/>
    <mergeCell ref="I119:I121"/>
    <mergeCell ref="J119:J121"/>
    <mergeCell ref="K119:K121"/>
    <mergeCell ref="L119:L121"/>
    <mergeCell ref="AF124:AF145"/>
    <mergeCell ref="AG124:AG145"/>
    <mergeCell ref="AH124:AH145"/>
    <mergeCell ref="AI124:AI145"/>
    <mergeCell ref="AJ124:AJ145"/>
    <mergeCell ref="AK124:AK145"/>
    <mergeCell ref="S124:S135"/>
    <mergeCell ref="T124:T145"/>
    <mergeCell ref="U124:U145"/>
    <mergeCell ref="V124:V145"/>
    <mergeCell ref="AD124:AD145"/>
    <mergeCell ref="AE124:AE145"/>
    <mergeCell ref="S136:S145"/>
    <mergeCell ref="M124:M135"/>
    <mergeCell ref="N124:N135"/>
    <mergeCell ref="O124:O135"/>
    <mergeCell ref="P124:P135"/>
    <mergeCell ref="Q124:Q145"/>
    <mergeCell ref="R124:R145"/>
    <mergeCell ref="M136:M145"/>
    <mergeCell ref="N136:N145"/>
    <mergeCell ref="O136:O145"/>
    <mergeCell ref="P136:P145"/>
    <mergeCell ref="V110:V123"/>
    <mergeCell ref="T107:T123"/>
    <mergeCell ref="O112:O116"/>
    <mergeCell ref="P112:P116"/>
    <mergeCell ref="S112:S116"/>
    <mergeCell ref="G117:G118"/>
    <mergeCell ref="H117:H118"/>
    <mergeCell ref="I117:I118"/>
    <mergeCell ref="J117:J118"/>
    <mergeCell ref="K117:K118"/>
    <mergeCell ref="O110:O111"/>
    <mergeCell ref="P110:P111"/>
    <mergeCell ref="S110:S111"/>
    <mergeCell ref="G124:G135"/>
    <mergeCell ref="H124:H135"/>
    <mergeCell ref="I124:I135"/>
    <mergeCell ref="J124:J135"/>
    <mergeCell ref="K124:K135"/>
    <mergeCell ref="L124:L135"/>
    <mergeCell ref="L122:L123"/>
    <mergeCell ref="M122:M123"/>
    <mergeCell ref="N122:N123"/>
    <mergeCell ref="O122:O123"/>
    <mergeCell ref="P122:P123"/>
    <mergeCell ref="S122:S123"/>
    <mergeCell ref="M119:M121"/>
    <mergeCell ref="N119:N121"/>
    <mergeCell ref="O119:O121"/>
    <mergeCell ref="P119:P121"/>
    <mergeCell ref="S119:S121"/>
    <mergeCell ref="G122:G123"/>
    <mergeCell ref="H122:H123"/>
    <mergeCell ref="I122:I123"/>
    <mergeCell ref="J122:J123"/>
    <mergeCell ref="BG107:BG123"/>
    <mergeCell ref="BH107:BH123"/>
    <mergeCell ref="AW107:AW123"/>
    <mergeCell ref="AX107:AX123"/>
    <mergeCell ref="AY107:AY123"/>
    <mergeCell ref="AZ107:AZ123"/>
    <mergeCell ref="G112:G116"/>
    <mergeCell ref="H112:H116"/>
    <mergeCell ref="I112:I116"/>
    <mergeCell ref="J112:J116"/>
    <mergeCell ref="K112:K116"/>
    <mergeCell ref="L112:L116"/>
    <mergeCell ref="P108:P109"/>
    <mergeCell ref="S108:S109"/>
    <mergeCell ref="G110:G111"/>
    <mergeCell ref="H110:H111"/>
    <mergeCell ref="I110:I111"/>
    <mergeCell ref="J110:J111"/>
    <mergeCell ref="K110:K111"/>
    <mergeCell ref="L110:L111"/>
    <mergeCell ref="M110:M111"/>
    <mergeCell ref="N110:N111"/>
    <mergeCell ref="Q107:Q123"/>
    <mergeCell ref="R107:R123"/>
    <mergeCell ref="L117:L118"/>
    <mergeCell ref="M117:M118"/>
    <mergeCell ref="N117:N118"/>
    <mergeCell ref="O117:O118"/>
    <mergeCell ref="P117:P118"/>
    <mergeCell ref="S117:S118"/>
    <mergeCell ref="M112:M116"/>
    <mergeCell ref="N112:N116"/>
    <mergeCell ref="AE107:AE123"/>
    <mergeCell ref="AF107:AF123"/>
    <mergeCell ref="AG107:AG123"/>
    <mergeCell ref="AH107:AH123"/>
    <mergeCell ref="AI107:AI123"/>
    <mergeCell ref="AJ107:AJ123"/>
    <mergeCell ref="BU107:BU123"/>
    <mergeCell ref="G108:G109"/>
    <mergeCell ref="H108:H109"/>
    <mergeCell ref="I108:I109"/>
    <mergeCell ref="J108:J109"/>
    <mergeCell ref="K108:K109"/>
    <mergeCell ref="L108:L109"/>
    <mergeCell ref="M108:M109"/>
    <mergeCell ref="N108:N109"/>
    <mergeCell ref="O108:O109"/>
    <mergeCell ref="BO107:BO123"/>
    <mergeCell ref="BP107:BP123"/>
    <mergeCell ref="BQ107:BQ123"/>
    <mergeCell ref="BR107:BR123"/>
    <mergeCell ref="BS107:BS123"/>
    <mergeCell ref="BT107:BT123"/>
    <mergeCell ref="BI107:BI123"/>
    <mergeCell ref="BJ107:BJ123"/>
    <mergeCell ref="BK107:BK123"/>
    <mergeCell ref="BL107:BL123"/>
    <mergeCell ref="BM107:BM123"/>
    <mergeCell ref="BN107:BN123"/>
    <mergeCell ref="BC107:BC123"/>
    <mergeCell ref="BD107:BD123"/>
    <mergeCell ref="BE107:BE123"/>
    <mergeCell ref="BF107:BF123"/>
    <mergeCell ref="AX98:AX106"/>
    <mergeCell ref="AY98:AY106"/>
    <mergeCell ref="AZ98:AZ106"/>
    <mergeCell ref="BA98:BA106"/>
    <mergeCell ref="BB98:BB106"/>
    <mergeCell ref="BC98:BC106"/>
    <mergeCell ref="AR98:AR106"/>
    <mergeCell ref="AS98:AS106"/>
    <mergeCell ref="BA107:BA123"/>
    <mergeCell ref="BB107:BB123"/>
    <mergeCell ref="AQ107:AQ123"/>
    <mergeCell ref="AR107:AR123"/>
    <mergeCell ref="AS107:AS123"/>
    <mergeCell ref="AT107:AT123"/>
    <mergeCell ref="AU107:AU123"/>
    <mergeCell ref="AV107:AV123"/>
    <mergeCell ref="AK107:AK123"/>
    <mergeCell ref="AL107:AL123"/>
    <mergeCell ref="AM107:AM123"/>
    <mergeCell ref="AN107:AN123"/>
    <mergeCell ref="AO107:AO123"/>
    <mergeCell ref="AP107:AP123"/>
    <mergeCell ref="BP98:BP106"/>
    <mergeCell ref="BQ98:BQ106"/>
    <mergeCell ref="BR98:BR106"/>
    <mergeCell ref="BS98:BS106"/>
    <mergeCell ref="BT98:BT106"/>
    <mergeCell ref="BU98:BU106"/>
    <mergeCell ref="BJ98:BJ106"/>
    <mergeCell ref="BK98:BK106"/>
    <mergeCell ref="BL98:BL106"/>
    <mergeCell ref="BM98:BM106"/>
    <mergeCell ref="BN98:BN106"/>
    <mergeCell ref="BO98:BO106"/>
    <mergeCell ref="BD98:BD106"/>
    <mergeCell ref="BE98:BE106"/>
    <mergeCell ref="BF98:BF106"/>
    <mergeCell ref="BG98:BG106"/>
    <mergeCell ref="BH98:BH106"/>
    <mergeCell ref="BI98:BI106"/>
    <mergeCell ref="AT98:AT106"/>
    <mergeCell ref="AU98:AU106"/>
    <mergeCell ref="AV98:AV106"/>
    <mergeCell ref="AW98:AW106"/>
    <mergeCell ref="AL98:AL106"/>
    <mergeCell ref="AM98:AM106"/>
    <mergeCell ref="AN98:AN106"/>
    <mergeCell ref="AO98:AO106"/>
    <mergeCell ref="AP98:AP106"/>
    <mergeCell ref="AQ98:AQ106"/>
    <mergeCell ref="AF98:AF106"/>
    <mergeCell ref="AG98:AG106"/>
    <mergeCell ref="AH98:AH106"/>
    <mergeCell ref="AI98:AI106"/>
    <mergeCell ref="AJ98:AJ106"/>
    <mergeCell ref="AK98:AK106"/>
    <mergeCell ref="S98:S101"/>
    <mergeCell ref="T98:T106"/>
    <mergeCell ref="U98:U106"/>
    <mergeCell ref="V98:V101"/>
    <mergeCell ref="AD98:AD106"/>
    <mergeCell ref="AE98:AE106"/>
    <mergeCell ref="S102:S106"/>
    <mergeCell ref="V102:V106"/>
    <mergeCell ref="M98:M101"/>
    <mergeCell ref="N98:N101"/>
    <mergeCell ref="O98:O101"/>
    <mergeCell ref="P98:P101"/>
    <mergeCell ref="Q98:Q106"/>
    <mergeCell ref="R98:R106"/>
    <mergeCell ref="M102:M106"/>
    <mergeCell ref="N102:N106"/>
    <mergeCell ref="O102:O106"/>
    <mergeCell ref="P102:P106"/>
    <mergeCell ref="G98:G101"/>
    <mergeCell ref="H98:H101"/>
    <mergeCell ref="I98:I101"/>
    <mergeCell ref="J98:J101"/>
    <mergeCell ref="K98:K101"/>
    <mergeCell ref="L98:L101"/>
    <mergeCell ref="M95:M96"/>
    <mergeCell ref="N95:N96"/>
    <mergeCell ref="O95:O96"/>
    <mergeCell ref="P95:P96"/>
    <mergeCell ref="G102:G106"/>
    <mergeCell ref="H102:H106"/>
    <mergeCell ref="I102:I106"/>
    <mergeCell ref="J102:J106"/>
    <mergeCell ref="K102:K106"/>
    <mergeCell ref="L102:L106"/>
    <mergeCell ref="BR92:BR96"/>
    <mergeCell ref="BS92:BS96"/>
    <mergeCell ref="BT92:BT96"/>
    <mergeCell ref="BU92:BU96"/>
    <mergeCell ref="G95:G96"/>
    <mergeCell ref="H95:H96"/>
    <mergeCell ref="I95:I96"/>
    <mergeCell ref="J95:J96"/>
    <mergeCell ref="K95:K96"/>
    <mergeCell ref="L95:L96"/>
    <mergeCell ref="BL92:BL96"/>
    <mergeCell ref="BM92:BM96"/>
    <mergeCell ref="BN92:BN96"/>
    <mergeCell ref="BO92:BO96"/>
    <mergeCell ref="BP92:BP96"/>
    <mergeCell ref="BQ92:BQ96"/>
    <mergeCell ref="BF92:BF96"/>
    <mergeCell ref="BG92:BG96"/>
    <mergeCell ref="BH92:BH96"/>
    <mergeCell ref="BI92:BI96"/>
    <mergeCell ref="BJ92:BJ96"/>
    <mergeCell ref="BK92:BK96"/>
    <mergeCell ref="AZ92:AZ96"/>
    <mergeCell ref="BA92:BA96"/>
    <mergeCell ref="BB92:BB96"/>
    <mergeCell ref="BC92:BC96"/>
    <mergeCell ref="BD92:BD96"/>
    <mergeCell ref="BE92:BE96"/>
    <mergeCell ref="AT92:AT96"/>
    <mergeCell ref="AU92:AU96"/>
    <mergeCell ref="AV92:AV96"/>
    <mergeCell ref="AW92:AW96"/>
    <mergeCell ref="AX92:AX96"/>
    <mergeCell ref="AY92:AY96"/>
    <mergeCell ref="AN92:AN96"/>
    <mergeCell ref="AO92:AO96"/>
    <mergeCell ref="AP92:AP96"/>
    <mergeCell ref="AQ92:AQ96"/>
    <mergeCell ref="AR92:AR96"/>
    <mergeCell ref="AS92:AS96"/>
    <mergeCell ref="AH92:AH96"/>
    <mergeCell ref="AI92:AI96"/>
    <mergeCell ref="AJ92:AJ96"/>
    <mergeCell ref="AK92:AK96"/>
    <mergeCell ref="AL92:AL96"/>
    <mergeCell ref="AM92:AM96"/>
    <mergeCell ref="U92:U96"/>
    <mergeCell ref="V92:V96"/>
    <mergeCell ref="AD92:AD96"/>
    <mergeCell ref="AE92:AE96"/>
    <mergeCell ref="AF92:AF96"/>
    <mergeCell ref="AG92:AG96"/>
    <mergeCell ref="AC95:AC96"/>
    <mergeCell ref="AB95:AB96"/>
    <mergeCell ref="O90:O91"/>
    <mergeCell ref="P90:P91"/>
    <mergeCell ref="S90:S91"/>
    <mergeCell ref="Q92:Q96"/>
    <mergeCell ref="R92:R96"/>
    <mergeCell ref="T92:T96"/>
    <mergeCell ref="AK84:AK91"/>
    <mergeCell ref="AL84:AL91"/>
    <mergeCell ref="AM84:AM91"/>
    <mergeCell ref="P86:P89"/>
    <mergeCell ref="S86:S89"/>
    <mergeCell ref="AE84:AE91"/>
    <mergeCell ref="AF84:AF91"/>
    <mergeCell ref="AG84:AG91"/>
    <mergeCell ref="AH84:AH91"/>
    <mergeCell ref="AI84:AI91"/>
    <mergeCell ref="AJ84:AJ91"/>
    <mergeCell ref="Q84:Q91"/>
    <mergeCell ref="R84:R91"/>
    <mergeCell ref="S95:S96"/>
    <mergeCell ref="BU84:BU91"/>
    <mergeCell ref="G86:G89"/>
    <mergeCell ref="H86:H89"/>
    <mergeCell ref="I86:I89"/>
    <mergeCell ref="J86:J89"/>
    <mergeCell ref="K86:K89"/>
    <mergeCell ref="L86:L89"/>
    <mergeCell ref="M86:M89"/>
    <mergeCell ref="N86:N89"/>
    <mergeCell ref="O86:O89"/>
    <mergeCell ref="BO84:BO91"/>
    <mergeCell ref="BP84:BP91"/>
    <mergeCell ref="BQ84:BQ91"/>
    <mergeCell ref="BR84:BR91"/>
    <mergeCell ref="BS84:BS91"/>
    <mergeCell ref="BT84:BT91"/>
    <mergeCell ref="BI84:BI91"/>
    <mergeCell ref="BJ84:BJ91"/>
    <mergeCell ref="BK84:BK91"/>
    <mergeCell ref="BL84:BL91"/>
    <mergeCell ref="BM84:BM91"/>
    <mergeCell ref="BN84:BN91"/>
    <mergeCell ref="BC84:BC91"/>
    <mergeCell ref="BD84:BD91"/>
    <mergeCell ref="BA84:BA91"/>
    <mergeCell ref="BB84:BB91"/>
    <mergeCell ref="AQ84:AQ91"/>
    <mergeCell ref="AR84:AR91"/>
    <mergeCell ref="AS84:AS91"/>
    <mergeCell ref="AT84:AT91"/>
    <mergeCell ref="AU84:AU91"/>
    <mergeCell ref="AV84:AV91"/>
    <mergeCell ref="AN84:AN91"/>
    <mergeCell ref="AO84:AO91"/>
    <mergeCell ref="AP84:AP91"/>
    <mergeCell ref="G90:G91"/>
    <mergeCell ref="H90:H91"/>
    <mergeCell ref="I90:I91"/>
    <mergeCell ref="J90:J91"/>
    <mergeCell ref="K90:K91"/>
    <mergeCell ref="L90:L91"/>
    <mergeCell ref="M90:M91"/>
    <mergeCell ref="N90:N91"/>
    <mergeCell ref="T84:T91"/>
    <mergeCell ref="U84:U91"/>
    <mergeCell ref="V84:V91"/>
    <mergeCell ref="AD84:AD91"/>
    <mergeCell ref="BP81:BP83"/>
    <mergeCell ref="BQ81:BQ83"/>
    <mergeCell ref="AR81:AR83"/>
    <mergeCell ref="AS81:AS83"/>
    <mergeCell ref="AT81:AT83"/>
    <mergeCell ref="AU81:AU83"/>
    <mergeCell ref="AV81:AV83"/>
    <mergeCell ref="AW81:AW83"/>
    <mergeCell ref="AL81:AL83"/>
    <mergeCell ref="AM81:AM83"/>
    <mergeCell ref="AN81:AN83"/>
    <mergeCell ref="AO81:AO83"/>
    <mergeCell ref="AP81:AP83"/>
    <mergeCell ref="AQ81:AQ83"/>
    <mergeCell ref="AF81:AF83"/>
    <mergeCell ref="AG81:AG83"/>
    <mergeCell ref="AH81:AH83"/>
    <mergeCell ref="AI81:AI83"/>
    <mergeCell ref="AJ81:AJ83"/>
    <mergeCell ref="AK81:AK83"/>
    <mergeCell ref="BE84:BE91"/>
    <mergeCell ref="BF84:BF91"/>
    <mergeCell ref="BG84:BG91"/>
    <mergeCell ref="BH84:BH91"/>
    <mergeCell ref="AW84:AW91"/>
    <mergeCell ref="AX84:AX91"/>
    <mergeCell ref="AY84:AY91"/>
    <mergeCell ref="AZ84:AZ91"/>
    <mergeCell ref="BR81:BR83"/>
    <mergeCell ref="BS81:BS83"/>
    <mergeCell ref="BT81:BT83"/>
    <mergeCell ref="BU81:BU83"/>
    <mergeCell ref="BJ81:BJ83"/>
    <mergeCell ref="BK81:BK83"/>
    <mergeCell ref="BL81:BL83"/>
    <mergeCell ref="BM81:BM83"/>
    <mergeCell ref="BN81:BN83"/>
    <mergeCell ref="BO81:BO83"/>
    <mergeCell ref="BD81:BD83"/>
    <mergeCell ref="BE81:BE83"/>
    <mergeCell ref="BF81:BF83"/>
    <mergeCell ref="BG81:BG83"/>
    <mergeCell ref="BH81:BH83"/>
    <mergeCell ref="BI81:BI83"/>
    <mergeCell ref="AX81:AX83"/>
    <mergeCell ref="AY81:AY83"/>
    <mergeCell ref="AZ81:AZ83"/>
    <mergeCell ref="BA81:BA83"/>
    <mergeCell ref="BB81:BB83"/>
    <mergeCell ref="BC81:BC83"/>
    <mergeCell ref="S81:S83"/>
    <mergeCell ref="T81:T83"/>
    <mergeCell ref="U81:U83"/>
    <mergeCell ref="V81:V83"/>
    <mergeCell ref="AD81:AD83"/>
    <mergeCell ref="AE81:AE83"/>
    <mergeCell ref="M81:M83"/>
    <mergeCell ref="N81:N83"/>
    <mergeCell ref="O81:O83"/>
    <mergeCell ref="P81:P83"/>
    <mergeCell ref="Q81:Q83"/>
    <mergeCell ref="R81:R83"/>
    <mergeCell ref="N79:N80"/>
    <mergeCell ref="O79:O80"/>
    <mergeCell ref="P79:P80"/>
    <mergeCell ref="S79:S80"/>
    <mergeCell ref="AK64:AK80"/>
    <mergeCell ref="M64:M75"/>
    <mergeCell ref="N64:N75"/>
    <mergeCell ref="O64:O75"/>
    <mergeCell ref="P64:P75"/>
    <mergeCell ref="Q64:Q80"/>
    <mergeCell ref="R64:R80"/>
    <mergeCell ref="N76:N78"/>
    <mergeCell ref="O76:O78"/>
    <mergeCell ref="P76:P78"/>
    <mergeCell ref="M79:M80"/>
    <mergeCell ref="AL64:AL80"/>
    <mergeCell ref="AM64:AM80"/>
    <mergeCell ref="AN64:AN80"/>
    <mergeCell ref="AO64:AO80"/>
    <mergeCell ref="G81:G83"/>
    <mergeCell ref="H81:H83"/>
    <mergeCell ref="I81:I83"/>
    <mergeCell ref="J81:J83"/>
    <mergeCell ref="K81:K83"/>
    <mergeCell ref="L81:L83"/>
    <mergeCell ref="G79:G80"/>
    <mergeCell ref="H79:H80"/>
    <mergeCell ref="I79:I80"/>
    <mergeCell ref="J79:J80"/>
    <mergeCell ref="K79:K80"/>
    <mergeCell ref="L79:L80"/>
    <mergeCell ref="BU64:BU80"/>
    <mergeCell ref="W66:W69"/>
    <mergeCell ref="W70:W72"/>
    <mergeCell ref="G76:G78"/>
    <mergeCell ref="H76:H78"/>
    <mergeCell ref="I76:I78"/>
    <mergeCell ref="J76:J78"/>
    <mergeCell ref="K76:K78"/>
    <mergeCell ref="L76:L78"/>
    <mergeCell ref="M76:M78"/>
    <mergeCell ref="BO64:BO80"/>
    <mergeCell ref="BP64:BP80"/>
    <mergeCell ref="BQ64:BQ80"/>
    <mergeCell ref="BR64:BR80"/>
    <mergeCell ref="BS64:BS80"/>
    <mergeCell ref="BT64:BT80"/>
    <mergeCell ref="BI64:BI80"/>
    <mergeCell ref="BJ64:BJ80"/>
    <mergeCell ref="BK64:BK80"/>
    <mergeCell ref="BL64:BL80"/>
    <mergeCell ref="BM64:BM80"/>
    <mergeCell ref="BN64:BN80"/>
    <mergeCell ref="BC64:BC80"/>
    <mergeCell ref="BD64:BD80"/>
    <mergeCell ref="BE64:BE80"/>
    <mergeCell ref="BF64:BF80"/>
    <mergeCell ref="BG64:BG80"/>
    <mergeCell ref="BH64:BH80"/>
    <mergeCell ref="AW64:AW80"/>
    <mergeCell ref="AX64:AX80"/>
    <mergeCell ref="AY64:AY80"/>
    <mergeCell ref="AZ64:AZ80"/>
    <mergeCell ref="BA64:BA80"/>
    <mergeCell ref="BB64:BB80"/>
    <mergeCell ref="AQ64:AQ80"/>
    <mergeCell ref="AR64:AR80"/>
    <mergeCell ref="AS64:AS80"/>
    <mergeCell ref="AT64:AT80"/>
    <mergeCell ref="AU64:AU80"/>
    <mergeCell ref="AV64:AV80"/>
    <mergeCell ref="AP64:AP80"/>
    <mergeCell ref="AE64:AE80"/>
    <mergeCell ref="AF64:AF80"/>
    <mergeCell ref="AG64:AG80"/>
    <mergeCell ref="AH64:AH80"/>
    <mergeCell ref="AI64:AI80"/>
    <mergeCell ref="AJ64:AJ80"/>
    <mergeCell ref="S64:S75"/>
    <mergeCell ref="T64:T80"/>
    <mergeCell ref="U64:U80"/>
    <mergeCell ref="V64:V80"/>
    <mergeCell ref="W64:W65"/>
    <mergeCell ref="AD64:AD80"/>
    <mergeCell ref="S76:S78"/>
    <mergeCell ref="G64:G75"/>
    <mergeCell ref="H64:H75"/>
    <mergeCell ref="I64:I75"/>
    <mergeCell ref="J64:J75"/>
    <mergeCell ref="K64:K75"/>
    <mergeCell ref="L64:L75"/>
    <mergeCell ref="BU47:BU63"/>
    <mergeCell ref="G51:G63"/>
    <mergeCell ref="H51:H63"/>
    <mergeCell ref="I51:I63"/>
    <mergeCell ref="J51:J63"/>
    <mergeCell ref="K51:K63"/>
    <mergeCell ref="L51:L63"/>
    <mergeCell ref="M51:M63"/>
    <mergeCell ref="N51:N63"/>
    <mergeCell ref="O51:O63"/>
    <mergeCell ref="BO47:BO63"/>
    <mergeCell ref="BP47:BP63"/>
    <mergeCell ref="BQ47:BQ63"/>
    <mergeCell ref="BR47:BR63"/>
    <mergeCell ref="BS47:BS63"/>
    <mergeCell ref="BT47:BT63"/>
    <mergeCell ref="BI47:BI63"/>
    <mergeCell ref="BJ47:BJ63"/>
    <mergeCell ref="BK47:BK63"/>
    <mergeCell ref="BL47:BL63"/>
    <mergeCell ref="BM47:BM63"/>
    <mergeCell ref="BN47:BN63"/>
    <mergeCell ref="BC47:BC63"/>
    <mergeCell ref="BD47:BD63"/>
    <mergeCell ref="BE47:BE63"/>
    <mergeCell ref="BF47:BF63"/>
    <mergeCell ref="BG47:BG63"/>
    <mergeCell ref="BH47:BH63"/>
    <mergeCell ref="AW47:AW63"/>
    <mergeCell ref="AX47:AX63"/>
    <mergeCell ref="AY47:AY63"/>
    <mergeCell ref="AZ47:AZ63"/>
    <mergeCell ref="BA47:BA63"/>
    <mergeCell ref="BB47:BB63"/>
    <mergeCell ref="AQ47:AQ63"/>
    <mergeCell ref="AR47:AR63"/>
    <mergeCell ref="AS47:AS63"/>
    <mergeCell ref="AT47:AT63"/>
    <mergeCell ref="AU47:AU63"/>
    <mergeCell ref="AV47:AV63"/>
    <mergeCell ref="AK47:AK63"/>
    <mergeCell ref="AL47:AL63"/>
    <mergeCell ref="AM47:AM63"/>
    <mergeCell ref="AN47:AN63"/>
    <mergeCell ref="AO47:AO63"/>
    <mergeCell ref="AP47:AP63"/>
    <mergeCell ref="AE47:AE63"/>
    <mergeCell ref="AF47:AF63"/>
    <mergeCell ref="AG47:AG63"/>
    <mergeCell ref="AH47:AH63"/>
    <mergeCell ref="AI47:AI63"/>
    <mergeCell ref="AJ47:AJ63"/>
    <mergeCell ref="R47:R63"/>
    <mergeCell ref="S47:S50"/>
    <mergeCell ref="T47:T63"/>
    <mergeCell ref="U47:U63"/>
    <mergeCell ref="V47:V50"/>
    <mergeCell ref="AD47:AD63"/>
    <mergeCell ref="S51:S63"/>
    <mergeCell ref="V51:V63"/>
    <mergeCell ref="L47:L50"/>
    <mergeCell ref="M47:M50"/>
    <mergeCell ref="N47:N50"/>
    <mergeCell ref="O47:O50"/>
    <mergeCell ref="P47:P50"/>
    <mergeCell ref="Q47:Q63"/>
    <mergeCell ref="P51:P63"/>
    <mergeCell ref="G47:G50"/>
    <mergeCell ref="H47:H50"/>
    <mergeCell ref="I47:I50"/>
    <mergeCell ref="J47:J50"/>
    <mergeCell ref="K47:K50"/>
    <mergeCell ref="G45:G46"/>
    <mergeCell ref="H45:H46"/>
    <mergeCell ref="I45:I46"/>
    <mergeCell ref="J45:J46"/>
    <mergeCell ref="K45:K46"/>
    <mergeCell ref="L45:L46"/>
    <mergeCell ref="N26:N42"/>
    <mergeCell ref="O26:O42"/>
    <mergeCell ref="P26:P42"/>
    <mergeCell ref="S26:S42"/>
    <mergeCell ref="R13:R46"/>
    <mergeCell ref="S13:S15"/>
    <mergeCell ref="G26:G42"/>
    <mergeCell ref="H26:H42"/>
    <mergeCell ref="I26:I42"/>
    <mergeCell ref="J26:J42"/>
    <mergeCell ref="K26:K42"/>
    <mergeCell ref="L26:L42"/>
    <mergeCell ref="M26:M42"/>
    <mergeCell ref="P19:P21"/>
    <mergeCell ref="S19:S21"/>
    <mergeCell ref="G22:G25"/>
    <mergeCell ref="L13:L15"/>
    <mergeCell ref="M13:M15"/>
    <mergeCell ref="N13:N15"/>
    <mergeCell ref="O13:O15"/>
    <mergeCell ref="P13:P15"/>
    <mergeCell ref="Q13:Q46"/>
    <mergeCell ref="P16:P18"/>
    <mergeCell ref="M19:M21"/>
    <mergeCell ref="N19:N21"/>
    <mergeCell ref="O19:O21"/>
    <mergeCell ref="BU13:BU46"/>
    <mergeCell ref="G16:G18"/>
    <mergeCell ref="H16:H18"/>
    <mergeCell ref="I16:I18"/>
    <mergeCell ref="J16:J18"/>
    <mergeCell ref="K16:K18"/>
    <mergeCell ref="L16:L18"/>
    <mergeCell ref="M16:M18"/>
    <mergeCell ref="N16:N18"/>
    <mergeCell ref="O16:O18"/>
    <mergeCell ref="BO13:BO46"/>
    <mergeCell ref="BP13:BP46"/>
    <mergeCell ref="BQ13:BQ46"/>
    <mergeCell ref="BR13:BR46"/>
    <mergeCell ref="BS13:BS46"/>
    <mergeCell ref="BT13:BT46"/>
    <mergeCell ref="BI13:BI46"/>
    <mergeCell ref="BJ13:BJ46"/>
    <mergeCell ref="BK13:BK46"/>
    <mergeCell ref="M45:M46"/>
    <mergeCell ref="N45:N46"/>
    <mergeCell ref="O45:O46"/>
    <mergeCell ref="P45:P46"/>
    <mergeCell ref="S45:S46"/>
    <mergeCell ref="BL13:BL46"/>
    <mergeCell ref="BM13:BM46"/>
    <mergeCell ref="BN13:BN46"/>
    <mergeCell ref="BC13:BC46"/>
    <mergeCell ref="BD13:BD46"/>
    <mergeCell ref="BE13:BE46"/>
    <mergeCell ref="BF13:BF46"/>
    <mergeCell ref="BG13:BG46"/>
    <mergeCell ref="BH13:BH46"/>
    <mergeCell ref="AW13:AW46"/>
    <mergeCell ref="AX13:AX46"/>
    <mergeCell ref="AY13:AY46"/>
    <mergeCell ref="AZ13:AZ46"/>
    <mergeCell ref="BA13:BA46"/>
    <mergeCell ref="BB13:BB46"/>
    <mergeCell ref="AQ13:AQ46"/>
    <mergeCell ref="AR13:AR46"/>
    <mergeCell ref="AS13:AS46"/>
    <mergeCell ref="AT13:AT46"/>
    <mergeCell ref="AU13:AU46"/>
    <mergeCell ref="AV13:AV46"/>
    <mergeCell ref="AK13:AK46"/>
    <mergeCell ref="AL13:AL46"/>
    <mergeCell ref="AM13:AM46"/>
    <mergeCell ref="AN13:AN46"/>
    <mergeCell ref="AO13:AO46"/>
    <mergeCell ref="AP13:AP46"/>
    <mergeCell ref="AE13:AE46"/>
    <mergeCell ref="AF13:AF46"/>
    <mergeCell ref="AG13:AG46"/>
    <mergeCell ref="AH13:AH46"/>
    <mergeCell ref="AI13:AI46"/>
    <mergeCell ref="AJ13:AJ46"/>
    <mergeCell ref="T13:T46"/>
    <mergeCell ref="U13:U46"/>
    <mergeCell ref="V13:V25"/>
    <mergeCell ref="AD13:AD46"/>
    <mergeCell ref="S16:S18"/>
    <mergeCell ref="W41:W42"/>
    <mergeCell ref="V26:V46"/>
    <mergeCell ref="W28:W29"/>
    <mergeCell ref="W30:W31"/>
    <mergeCell ref="W33:W34"/>
    <mergeCell ref="W35:W36"/>
    <mergeCell ref="W37:W39"/>
    <mergeCell ref="S22:S25"/>
    <mergeCell ref="B10:G10"/>
    <mergeCell ref="F12:K12"/>
    <mergeCell ref="G13:G15"/>
    <mergeCell ref="H13:H15"/>
    <mergeCell ref="I13:I15"/>
    <mergeCell ref="J13:J15"/>
    <mergeCell ref="K13:K15"/>
    <mergeCell ref="O22:O25"/>
    <mergeCell ref="P22:P25"/>
    <mergeCell ref="H22:H25"/>
    <mergeCell ref="I22:I25"/>
    <mergeCell ref="J22:J25"/>
    <mergeCell ref="K22:K25"/>
    <mergeCell ref="L22:L25"/>
    <mergeCell ref="M22:M25"/>
    <mergeCell ref="N22:N25"/>
    <mergeCell ref="G19:G21"/>
    <mergeCell ref="H19:H21"/>
    <mergeCell ref="I19:I21"/>
    <mergeCell ref="J19:J21"/>
    <mergeCell ref="K19:K21"/>
    <mergeCell ref="L19:L21"/>
    <mergeCell ref="BK8:BK9"/>
    <mergeCell ref="BL8:BL9"/>
    <mergeCell ref="BM8:BM9"/>
    <mergeCell ref="BN8:BO8"/>
    <mergeCell ref="BP8:BP9"/>
    <mergeCell ref="AV8:AW8"/>
    <mergeCell ref="AX8:AY8"/>
    <mergeCell ref="AZ8:BA8"/>
    <mergeCell ref="BB8:BC8"/>
    <mergeCell ref="BD8:BE8"/>
    <mergeCell ref="BF8:BG8"/>
    <mergeCell ref="AC8:AC9"/>
    <mergeCell ref="AD8:AE8"/>
    <mergeCell ref="AF8:AG8"/>
    <mergeCell ref="AH8:AI8"/>
    <mergeCell ref="AJ8:AK8"/>
    <mergeCell ref="AL8:AM8"/>
    <mergeCell ref="W8:W9"/>
    <mergeCell ref="X8:Z8"/>
    <mergeCell ref="AA8:AA9"/>
    <mergeCell ref="AB8:AB9"/>
    <mergeCell ref="N8:N9"/>
    <mergeCell ref="O8:P8"/>
    <mergeCell ref="Q8:Q9"/>
    <mergeCell ref="R8:R9"/>
    <mergeCell ref="S8:S9"/>
    <mergeCell ref="T8:T9"/>
    <mergeCell ref="H8:H9"/>
    <mergeCell ref="I8:I9"/>
    <mergeCell ref="J8:J9"/>
    <mergeCell ref="K8:K9"/>
    <mergeCell ref="L8:L9"/>
    <mergeCell ref="M8:M9"/>
    <mergeCell ref="BJ8:BJ9"/>
    <mergeCell ref="A1:BS4"/>
    <mergeCell ref="A5:P6"/>
    <mergeCell ref="AD6:BH6"/>
    <mergeCell ref="A7:B7"/>
    <mergeCell ref="C7:D7"/>
    <mergeCell ref="E7:F7"/>
    <mergeCell ref="G7:J7"/>
    <mergeCell ref="K7:N7"/>
    <mergeCell ref="O7:Z7"/>
    <mergeCell ref="AA7:AC7"/>
    <mergeCell ref="BQ7:BR8"/>
    <mergeCell ref="BS7:BT8"/>
    <mergeCell ref="BU7:BU8"/>
    <mergeCell ref="A8:A9"/>
    <mergeCell ref="B8:B9"/>
    <mergeCell ref="C8:C9"/>
    <mergeCell ref="D8:D9"/>
    <mergeCell ref="E8:E9"/>
    <mergeCell ref="F8:F9"/>
    <mergeCell ref="G8:G9"/>
    <mergeCell ref="AD7:AG7"/>
    <mergeCell ref="AH7:AM7"/>
    <mergeCell ref="AN7:BA7"/>
    <mergeCell ref="BB7:BG7"/>
    <mergeCell ref="BH7:BI8"/>
    <mergeCell ref="BJ7:BP7"/>
    <mergeCell ref="AN8:AO8"/>
    <mergeCell ref="AP8:AQ8"/>
    <mergeCell ref="AR8:AS8"/>
    <mergeCell ref="AT8:AU8"/>
    <mergeCell ref="U8:U9"/>
    <mergeCell ref="V8:V9"/>
  </mergeCells>
  <conditionalFormatting sqref="K47">
    <cfRule type="duplicateValues" dxfId="11" priority="11"/>
  </conditionalFormatting>
  <conditionalFormatting sqref="K47">
    <cfRule type="duplicateValues" dxfId="10" priority="12"/>
  </conditionalFormatting>
  <conditionalFormatting sqref="K85">
    <cfRule type="duplicateValues" dxfId="9" priority="9"/>
  </conditionalFormatting>
  <conditionalFormatting sqref="K85">
    <cfRule type="duplicateValues" dxfId="8" priority="10"/>
  </conditionalFormatting>
  <conditionalFormatting sqref="K86">
    <cfRule type="duplicateValues" dxfId="7" priority="7"/>
  </conditionalFormatting>
  <conditionalFormatting sqref="K86">
    <cfRule type="duplicateValues" dxfId="6" priority="8"/>
  </conditionalFormatting>
  <conditionalFormatting sqref="M47">
    <cfRule type="duplicateValues" dxfId="5" priority="5"/>
  </conditionalFormatting>
  <conditionalFormatting sqref="M47">
    <cfRule type="duplicateValues" dxfId="4" priority="6"/>
  </conditionalFormatting>
  <conditionalFormatting sqref="M85">
    <cfRule type="duplicateValues" dxfId="3" priority="3"/>
  </conditionalFormatting>
  <conditionalFormatting sqref="M85">
    <cfRule type="duplicateValues" dxfId="2" priority="4"/>
  </conditionalFormatting>
  <conditionalFormatting sqref="M86">
    <cfRule type="duplicateValues" dxfId="1" priority="1"/>
  </conditionalFormatting>
  <conditionalFormatting sqref="M86">
    <cfRule type="duplicateValues" dxfId="0" priority="2"/>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63"/>
  <sheetViews>
    <sheetView showGridLines="0" zoomScale="70" zoomScaleNormal="70" workbookViewId="0">
      <selection sqref="A1:BS4"/>
    </sheetView>
  </sheetViews>
  <sheetFormatPr baseColWidth="10" defaultColWidth="11.42578125" defaultRowHeight="27" customHeight="1" x14ac:dyDescent="0.25"/>
  <cols>
    <col min="1" max="1" width="14.7109375" style="117" customWidth="1"/>
    <col min="2" max="2" width="16.140625" style="3" customWidth="1"/>
    <col min="3" max="3" width="16" style="3" customWidth="1"/>
    <col min="4" max="4" width="15.28515625" style="3" customWidth="1"/>
    <col min="5" max="5" width="13.28515625" style="3" customWidth="1"/>
    <col min="6" max="6" width="15.5703125" style="3" customWidth="1"/>
    <col min="7" max="7" width="16.85546875" style="3" customWidth="1"/>
    <col min="8" max="8" width="28.42578125" style="279" customWidth="1"/>
    <col min="9" max="9" width="25.85546875" style="120" customWidth="1"/>
    <col min="10" max="10" width="31.28515625" style="279" customWidth="1"/>
    <col min="11" max="11" width="16.85546875" style="2" customWidth="1"/>
    <col min="12" max="12" width="31.140625" style="279" customWidth="1"/>
    <col min="13" max="13" width="19.7109375" style="2" customWidth="1"/>
    <col min="14" max="14" width="34.5703125" style="279" customWidth="1"/>
    <col min="15" max="15" width="17.28515625" style="2" customWidth="1"/>
    <col min="16" max="16" width="17" style="2" customWidth="1"/>
    <col min="17" max="17" width="23.28515625" style="2" customWidth="1"/>
    <col min="18" max="18" width="34.140625" style="279" customWidth="1"/>
    <col min="19" max="19" width="15.7109375" style="1433" customWidth="1"/>
    <col min="20" max="20" width="26.7109375" style="130" customWidth="1"/>
    <col min="21" max="21" width="37.5703125" style="279" customWidth="1"/>
    <col min="22" max="22" width="39.42578125" style="279" customWidth="1"/>
    <col min="23" max="23" width="58.42578125" style="279" customWidth="1"/>
    <col min="24" max="25" width="36.85546875" style="130" customWidth="1"/>
    <col min="26" max="26" width="31.28515625" style="130" customWidth="1"/>
    <col min="27" max="27" width="49.140625" style="130" customWidth="1"/>
    <col min="28" max="28" width="19.28515625" style="124" customWidth="1"/>
    <col min="29" max="29" width="22" style="2" customWidth="1"/>
    <col min="30" max="59" width="10.140625" style="3" customWidth="1"/>
    <col min="60" max="60" width="10.28515625" style="3" bestFit="1" customWidth="1"/>
    <col min="61" max="61" width="10.28515625" style="3" customWidth="1"/>
    <col min="62" max="62" width="20.5703125" style="3" customWidth="1"/>
    <col min="63" max="63" width="22.140625" style="3" customWidth="1"/>
    <col min="64" max="64" width="23.140625" style="3" customWidth="1"/>
    <col min="65" max="65" width="18.85546875" style="3" customWidth="1"/>
    <col min="66" max="66" width="17.42578125" style="3" customWidth="1"/>
    <col min="67" max="67" width="17.140625" style="3" customWidth="1"/>
    <col min="68" max="68" width="36.140625" style="3" customWidth="1"/>
    <col min="69" max="70" width="17.85546875" style="126" customWidth="1"/>
    <col min="71" max="71" width="18.85546875" style="126" customWidth="1"/>
    <col min="72" max="72" width="20.28515625" style="126" customWidth="1"/>
    <col min="73" max="73" width="27.7109375" style="3" customWidth="1"/>
    <col min="74" max="16384" width="11.42578125" style="3"/>
  </cols>
  <sheetData>
    <row r="1" spans="1:93" ht="27.75" customHeight="1" x14ac:dyDescent="0.25">
      <c r="A1" s="2518" t="s">
        <v>1702</v>
      </c>
      <c r="B1" s="2519"/>
      <c r="C1" s="2519"/>
      <c r="D1" s="2519"/>
      <c r="E1" s="2519"/>
      <c r="F1" s="2519"/>
      <c r="G1" s="2519"/>
      <c r="H1" s="2519"/>
      <c r="I1" s="2519"/>
      <c r="J1" s="2519"/>
      <c r="K1" s="2519"/>
      <c r="L1" s="2519"/>
      <c r="M1" s="2519"/>
      <c r="N1" s="2519"/>
      <c r="O1" s="2519"/>
      <c r="P1" s="2519"/>
      <c r="Q1" s="2519"/>
      <c r="R1" s="2519"/>
      <c r="S1" s="2519"/>
      <c r="T1" s="2519"/>
      <c r="U1" s="2519"/>
      <c r="V1" s="2519"/>
      <c r="W1" s="2519"/>
      <c r="X1" s="2519"/>
      <c r="Y1" s="2519"/>
      <c r="Z1" s="2519"/>
      <c r="AA1" s="2519"/>
      <c r="AB1" s="2519"/>
      <c r="AC1" s="2519"/>
      <c r="AD1" s="2519"/>
      <c r="AE1" s="2519"/>
      <c r="AF1" s="2519"/>
      <c r="AG1" s="2519"/>
      <c r="AH1" s="2519"/>
      <c r="AI1" s="2519"/>
      <c r="AJ1" s="2519"/>
      <c r="AK1" s="2519"/>
      <c r="AL1" s="2519"/>
      <c r="AM1" s="2519"/>
      <c r="AN1" s="2519"/>
      <c r="AO1" s="2519"/>
      <c r="AP1" s="2519"/>
      <c r="AQ1" s="2519"/>
      <c r="AR1" s="2519"/>
      <c r="AS1" s="2519"/>
      <c r="AT1" s="2519"/>
      <c r="AU1" s="2519"/>
      <c r="AV1" s="2519"/>
      <c r="AW1" s="2519"/>
      <c r="AX1" s="2519"/>
      <c r="AY1" s="2519"/>
      <c r="AZ1" s="2519"/>
      <c r="BA1" s="2519"/>
      <c r="BB1" s="2519"/>
      <c r="BC1" s="2519"/>
      <c r="BD1" s="2519"/>
      <c r="BE1" s="2519"/>
      <c r="BF1" s="2519"/>
      <c r="BG1" s="2519"/>
      <c r="BH1" s="2519"/>
      <c r="BI1" s="2519"/>
      <c r="BJ1" s="2519"/>
      <c r="BK1" s="2519"/>
      <c r="BL1" s="2519"/>
      <c r="BM1" s="2519"/>
      <c r="BN1" s="2519"/>
      <c r="BO1" s="2519"/>
      <c r="BP1" s="2519"/>
      <c r="BQ1" s="2519"/>
      <c r="BR1" s="2519"/>
      <c r="BS1" s="2368"/>
      <c r="BT1" s="1123" t="s">
        <v>0</v>
      </c>
      <c r="BU1" s="1123" t="s">
        <v>1703</v>
      </c>
      <c r="BV1" s="2"/>
      <c r="BW1" s="2"/>
      <c r="BX1" s="2"/>
      <c r="BY1" s="2"/>
      <c r="BZ1" s="2"/>
      <c r="CA1" s="2"/>
      <c r="CB1" s="2"/>
      <c r="CC1" s="2"/>
      <c r="CD1" s="2"/>
      <c r="CE1" s="2"/>
      <c r="CF1" s="2"/>
      <c r="CG1" s="2"/>
      <c r="CH1" s="2"/>
      <c r="CI1" s="2"/>
      <c r="CJ1" s="2"/>
      <c r="CK1" s="2"/>
      <c r="CL1" s="2"/>
      <c r="CM1" s="2"/>
      <c r="CN1" s="2"/>
      <c r="CO1" s="2"/>
    </row>
    <row r="2" spans="1:93" ht="27.75" customHeight="1" x14ac:dyDescent="0.25">
      <c r="A2" s="2519"/>
      <c r="B2" s="2519"/>
      <c r="C2" s="2519"/>
      <c r="D2" s="2519"/>
      <c r="E2" s="2519"/>
      <c r="F2" s="2519"/>
      <c r="G2" s="2519"/>
      <c r="H2" s="2519"/>
      <c r="I2" s="2519"/>
      <c r="J2" s="2519"/>
      <c r="K2" s="2519"/>
      <c r="L2" s="2519"/>
      <c r="M2" s="2519"/>
      <c r="N2" s="2519"/>
      <c r="O2" s="2519"/>
      <c r="P2" s="2519"/>
      <c r="Q2" s="2519"/>
      <c r="R2" s="2519"/>
      <c r="S2" s="2519"/>
      <c r="T2" s="2519"/>
      <c r="U2" s="2519"/>
      <c r="V2" s="2519"/>
      <c r="W2" s="2519"/>
      <c r="X2" s="2519"/>
      <c r="Y2" s="2519"/>
      <c r="Z2" s="2519"/>
      <c r="AA2" s="2519"/>
      <c r="AB2" s="2519"/>
      <c r="AC2" s="2519"/>
      <c r="AD2" s="2519"/>
      <c r="AE2" s="2519"/>
      <c r="AF2" s="2519"/>
      <c r="AG2" s="2519"/>
      <c r="AH2" s="2519"/>
      <c r="AI2" s="2519"/>
      <c r="AJ2" s="2519"/>
      <c r="AK2" s="2519"/>
      <c r="AL2" s="2519"/>
      <c r="AM2" s="2519"/>
      <c r="AN2" s="2519"/>
      <c r="AO2" s="2519"/>
      <c r="AP2" s="2519"/>
      <c r="AQ2" s="2519"/>
      <c r="AR2" s="2519"/>
      <c r="AS2" s="2519"/>
      <c r="AT2" s="2519"/>
      <c r="AU2" s="2519"/>
      <c r="AV2" s="2519"/>
      <c r="AW2" s="2519"/>
      <c r="AX2" s="2519"/>
      <c r="AY2" s="2519"/>
      <c r="AZ2" s="2519"/>
      <c r="BA2" s="2519"/>
      <c r="BB2" s="2519"/>
      <c r="BC2" s="2519"/>
      <c r="BD2" s="2519"/>
      <c r="BE2" s="2519"/>
      <c r="BF2" s="2519"/>
      <c r="BG2" s="2519"/>
      <c r="BH2" s="2519"/>
      <c r="BI2" s="2519"/>
      <c r="BJ2" s="2519"/>
      <c r="BK2" s="2519"/>
      <c r="BL2" s="2519"/>
      <c r="BM2" s="2519"/>
      <c r="BN2" s="2519"/>
      <c r="BO2" s="2519"/>
      <c r="BP2" s="2519"/>
      <c r="BQ2" s="2519"/>
      <c r="BR2" s="2519"/>
      <c r="BS2" s="2368"/>
      <c r="BT2" s="1123" t="s">
        <v>2</v>
      </c>
      <c r="BU2" s="817" t="s">
        <v>1073</v>
      </c>
      <c r="BV2" s="2"/>
      <c r="BW2" s="2"/>
      <c r="BX2" s="2"/>
      <c r="BY2" s="2"/>
      <c r="BZ2" s="2"/>
      <c r="CA2" s="2"/>
      <c r="CB2" s="2"/>
      <c r="CC2" s="2"/>
      <c r="CD2" s="2"/>
      <c r="CE2" s="2"/>
      <c r="CF2" s="2"/>
      <c r="CG2" s="2"/>
      <c r="CH2" s="2"/>
      <c r="CI2" s="2"/>
      <c r="CJ2" s="2"/>
      <c r="CK2" s="2"/>
      <c r="CL2" s="2"/>
      <c r="CM2" s="2"/>
      <c r="CN2" s="2"/>
      <c r="CO2" s="2"/>
    </row>
    <row r="3" spans="1:93" ht="27.75" customHeight="1" x14ac:dyDescent="0.25">
      <c r="A3" s="2519"/>
      <c r="B3" s="2519"/>
      <c r="C3" s="2519"/>
      <c r="D3" s="2519"/>
      <c r="E3" s="2519"/>
      <c r="F3" s="2519"/>
      <c r="G3" s="2519"/>
      <c r="H3" s="2519"/>
      <c r="I3" s="2519"/>
      <c r="J3" s="2519"/>
      <c r="K3" s="2519"/>
      <c r="L3" s="2519"/>
      <c r="M3" s="2519"/>
      <c r="N3" s="2519"/>
      <c r="O3" s="2519"/>
      <c r="P3" s="2519"/>
      <c r="Q3" s="2519"/>
      <c r="R3" s="2519"/>
      <c r="S3" s="2519"/>
      <c r="T3" s="2519"/>
      <c r="U3" s="2519"/>
      <c r="V3" s="2519"/>
      <c r="W3" s="2519"/>
      <c r="X3" s="2519"/>
      <c r="Y3" s="2519"/>
      <c r="Z3" s="2519"/>
      <c r="AA3" s="2519"/>
      <c r="AB3" s="2519"/>
      <c r="AC3" s="2519"/>
      <c r="AD3" s="2519"/>
      <c r="AE3" s="2519"/>
      <c r="AF3" s="2519"/>
      <c r="AG3" s="2519"/>
      <c r="AH3" s="2519"/>
      <c r="AI3" s="2519"/>
      <c r="AJ3" s="2519"/>
      <c r="AK3" s="2519"/>
      <c r="AL3" s="2519"/>
      <c r="AM3" s="2519"/>
      <c r="AN3" s="2519"/>
      <c r="AO3" s="2519"/>
      <c r="AP3" s="2519"/>
      <c r="AQ3" s="2519"/>
      <c r="AR3" s="2519"/>
      <c r="AS3" s="2519"/>
      <c r="AT3" s="2519"/>
      <c r="AU3" s="2519"/>
      <c r="AV3" s="2519"/>
      <c r="AW3" s="2519"/>
      <c r="AX3" s="2519"/>
      <c r="AY3" s="2519"/>
      <c r="AZ3" s="2519"/>
      <c r="BA3" s="2519"/>
      <c r="BB3" s="2519"/>
      <c r="BC3" s="2519"/>
      <c r="BD3" s="2519"/>
      <c r="BE3" s="2519"/>
      <c r="BF3" s="2519"/>
      <c r="BG3" s="2519"/>
      <c r="BH3" s="2519"/>
      <c r="BI3" s="2519"/>
      <c r="BJ3" s="2519"/>
      <c r="BK3" s="2519"/>
      <c r="BL3" s="2519"/>
      <c r="BM3" s="2519"/>
      <c r="BN3" s="2519"/>
      <c r="BO3" s="2519"/>
      <c r="BP3" s="2519"/>
      <c r="BQ3" s="2519"/>
      <c r="BR3" s="2519"/>
      <c r="BS3" s="2368"/>
      <c r="BT3" s="1123" t="s">
        <v>4</v>
      </c>
      <c r="BU3" s="818">
        <v>44266</v>
      </c>
      <c r="BV3" s="2"/>
      <c r="BW3" s="2"/>
      <c r="BX3" s="2"/>
      <c r="BY3" s="2"/>
      <c r="BZ3" s="2"/>
      <c r="CA3" s="2"/>
      <c r="CB3" s="2"/>
      <c r="CC3" s="2"/>
      <c r="CD3" s="2"/>
      <c r="CE3" s="2"/>
      <c r="CF3" s="2"/>
      <c r="CG3" s="2"/>
      <c r="CH3" s="2"/>
      <c r="CI3" s="2"/>
      <c r="CJ3" s="2"/>
      <c r="CK3" s="2"/>
      <c r="CL3" s="2"/>
      <c r="CM3" s="2"/>
      <c r="CN3" s="2"/>
      <c r="CO3" s="2"/>
    </row>
    <row r="4" spans="1:93" ht="27.75" customHeight="1" x14ac:dyDescent="0.25">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9"/>
      <c r="BT4" s="1123" t="s">
        <v>5</v>
      </c>
      <c r="BU4" s="773" t="s">
        <v>6</v>
      </c>
      <c r="BV4" s="2"/>
      <c r="BW4" s="2"/>
      <c r="BX4" s="2"/>
      <c r="BY4" s="2"/>
      <c r="BZ4" s="2"/>
      <c r="CA4" s="2"/>
      <c r="CB4" s="2"/>
      <c r="CC4" s="2"/>
      <c r="CD4" s="2"/>
      <c r="CE4" s="2"/>
      <c r="CF4" s="2"/>
      <c r="CG4" s="2"/>
      <c r="CH4" s="2"/>
      <c r="CI4" s="2"/>
      <c r="CJ4" s="2"/>
      <c r="CK4" s="2"/>
      <c r="CL4" s="2"/>
      <c r="CM4" s="2"/>
      <c r="CN4" s="2"/>
      <c r="CO4" s="2"/>
    </row>
    <row r="5" spans="1:93" ht="27.75" customHeight="1" x14ac:dyDescent="0.25">
      <c r="A5" s="2363" t="s">
        <v>1704</v>
      </c>
      <c r="B5" s="2363"/>
      <c r="C5" s="2363"/>
      <c r="D5" s="2363"/>
      <c r="E5" s="2363"/>
      <c r="F5" s="2363"/>
      <c r="G5" s="2363"/>
      <c r="H5" s="2363"/>
      <c r="I5" s="2363"/>
      <c r="J5" s="2363"/>
      <c r="K5" s="2363"/>
      <c r="L5" s="2363"/>
      <c r="M5" s="2363"/>
      <c r="N5" s="2363"/>
      <c r="O5" s="2363"/>
      <c r="P5" s="1119"/>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c r="CO5" s="2"/>
    </row>
    <row r="6" spans="1:93" ht="27.75" customHeight="1" x14ac:dyDescent="0.25">
      <c r="A6" s="2365"/>
      <c r="B6" s="2365"/>
      <c r="C6" s="2365"/>
      <c r="D6" s="2365"/>
      <c r="E6" s="2365"/>
      <c r="F6" s="2365"/>
      <c r="G6" s="2365"/>
      <c r="H6" s="2365"/>
      <c r="I6" s="2365"/>
      <c r="J6" s="2365"/>
      <c r="K6" s="2365"/>
      <c r="L6" s="2365"/>
      <c r="M6" s="2365"/>
      <c r="N6" s="2365"/>
      <c r="O6" s="2367"/>
      <c r="P6" s="1121"/>
      <c r="Q6" s="1121"/>
      <c r="R6" s="1354"/>
      <c r="S6" s="1355"/>
      <c r="T6" s="1121"/>
      <c r="U6" s="1354"/>
      <c r="V6" s="1354"/>
      <c r="W6" s="1354"/>
      <c r="X6" s="1121"/>
      <c r="Y6" s="1121"/>
      <c r="Z6" s="1121"/>
      <c r="AA6" s="1120"/>
      <c r="AB6" s="1120"/>
      <c r="AC6" s="1120"/>
      <c r="AD6" s="3586" t="s">
        <v>8</v>
      </c>
      <c r="AE6" s="3587"/>
      <c r="AF6" s="3587"/>
      <c r="AG6" s="3587"/>
      <c r="AH6" s="3587"/>
      <c r="AI6" s="3587"/>
      <c r="AJ6" s="3587"/>
      <c r="AK6" s="3587"/>
      <c r="AL6" s="3587"/>
      <c r="AM6" s="3587"/>
      <c r="AN6" s="3587"/>
      <c r="AO6" s="3587"/>
      <c r="AP6" s="3587"/>
      <c r="AQ6" s="3587"/>
      <c r="AR6" s="3587"/>
      <c r="AS6" s="3587"/>
      <c r="AT6" s="3587"/>
      <c r="AU6" s="3587"/>
      <c r="AV6" s="3587"/>
      <c r="AW6" s="3587"/>
      <c r="AX6" s="3587"/>
      <c r="AY6" s="3587"/>
      <c r="AZ6" s="3587"/>
      <c r="BA6" s="3587"/>
      <c r="BB6" s="3587"/>
      <c r="BC6" s="3587"/>
      <c r="BD6" s="3587"/>
      <c r="BE6" s="3587"/>
      <c r="BF6" s="3587"/>
      <c r="BG6" s="3587"/>
      <c r="BH6" s="3587"/>
      <c r="BI6" s="3587"/>
      <c r="BJ6" s="1120"/>
      <c r="BK6" s="1120"/>
      <c r="BL6" s="1120"/>
      <c r="BM6" s="1120"/>
      <c r="BN6" s="1120"/>
      <c r="BO6" s="1120"/>
      <c r="BP6" s="1120"/>
      <c r="BQ6" s="1120"/>
      <c r="BR6" s="1120"/>
      <c r="BS6" s="1120"/>
      <c r="BT6" s="1120"/>
      <c r="BU6" s="1122"/>
      <c r="BV6" s="2"/>
      <c r="BW6" s="2"/>
      <c r="BX6" s="2"/>
      <c r="BY6" s="2"/>
      <c r="BZ6" s="2"/>
      <c r="CA6" s="2"/>
      <c r="CB6" s="2"/>
      <c r="CC6" s="2"/>
      <c r="CD6" s="2"/>
      <c r="CE6" s="2"/>
      <c r="CF6" s="2"/>
      <c r="CG6" s="2"/>
      <c r="CH6" s="2"/>
      <c r="CI6" s="2"/>
      <c r="CJ6" s="2"/>
      <c r="CK6" s="2"/>
      <c r="CL6" s="2"/>
      <c r="CM6" s="2"/>
      <c r="CN6" s="2"/>
      <c r="CO6" s="2"/>
    </row>
    <row r="7" spans="1:93" ht="27.75" customHeight="1" x14ac:dyDescent="0.25">
      <c r="A7" s="2520" t="s">
        <v>9</v>
      </c>
      <c r="B7" s="2521"/>
      <c r="C7" s="2522" t="s">
        <v>10</v>
      </c>
      <c r="D7" s="2520"/>
      <c r="E7" s="2520" t="s">
        <v>11</v>
      </c>
      <c r="F7" s="2521"/>
      <c r="G7" s="2522" t="s">
        <v>12</v>
      </c>
      <c r="H7" s="2520"/>
      <c r="I7" s="2520"/>
      <c r="J7" s="2520"/>
      <c r="K7" s="2522" t="s">
        <v>13</v>
      </c>
      <c r="L7" s="2520"/>
      <c r="M7" s="2520"/>
      <c r="N7" s="2520"/>
      <c r="O7" s="2541" t="s">
        <v>14</v>
      </c>
      <c r="P7" s="2542"/>
      <c r="Q7" s="2542"/>
      <c r="R7" s="2542"/>
      <c r="S7" s="2542"/>
      <c r="T7" s="2542"/>
      <c r="U7" s="2542"/>
      <c r="V7" s="2542"/>
      <c r="W7" s="2542"/>
      <c r="X7" s="2542"/>
      <c r="Y7" s="1157"/>
      <c r="Z7" s="1158"/>
      <c r="AA7" s="3355" t="s">
        <v>15</v>
      </c>
      <c r="AB7" s="3355"/>
      <c r="AC7" s="2524"/>
      <c r="AD7" s="2349" t="s">
        <v>16</v>
      </c>
      <c r="AE7" s="2350"/>
      <c r="AF7" s="2350"/>
      <c r="AG7" s="2351"/>
      <c r="AH7" s="2352" t="s">
        <v>17</v>
      </c>
      <c r="AI7" s="2353"/>
      <c r="AJ7" s="2353"/>
      <c r="AK7" s="2353"/>
      <c r="AL7" s="2353"/>
      <c r="AM7" s="2353"/>
      <c r="AN7" s="2353"/>
      <c r="AO7" s="2354"/>
      <c r="AP7" s="2360" t="s">
        <v>18</v>
      </c>
      <c r="AQ7" s="2507"/>
      <c r="AR7" s="2507"/>
      <c r="AS7" s="2507"/>
      <c r="AT7" s="2507"/>
      <c r="AU7" s="2507"/>
      <c r="AV7" s="2507"/>
      <c r="AW7" s="2507"/>
      <c r="AX7" s="2507"/>
      <c r="AY7" s="2507"/>
      <c r="AZ7" s="2507"/>
      <c r="BA7" s="2361"/>
      <c r="BB7" s="2352" t="s">
        <v>19</v>
      </c>
      <c r="BC7" s="2353"/>
      <c r="BD7" s="2353"/>
      <c r="BE7" s="2353"/>
      <c r="BF7" s="2353"/>
      <c r="BG7" s="2354"/>
      <c r="BH7" s="2527" t="s">
        <v>20</v>
      </c>
      <c r="BI7" s="2528"/>
      <c r="BJ7" s="2356" t="s">
        <v>1705</v>
      </c>
      <c r="BK7" s="2356"/>
      <c r="BL7" s="2356"/>
      <c r="BM7" s="2356"/>
      <c r="BN7" s="2356"/>
      <c r="BO7" s="2356"/>
      <c r="BP7" s="2356"/>
      <c r="BQ7" s="2376" t="s">
        <v>22</v>
      </c>
      <c r="BR7" s="2377"/>
      <c r="BS7" s="2376" t="s">
        <v>23</v>
      </c>
      <c r="BT7" s="2377"/>
      <c r="BU7" s="2639" t="s">
        <v>24</v>
      </c>
      <c r="BV7" s="2"/>
      <c r="BW7" s="2"/>
      <c r="BX7" s="2"/>
      <c r="BY7" s="2"/>
      <c r="BZ7" s="2"/>
      <c r="CA7" s="2"/>
      <c r="CB7" s="2"/>
      <c r="CC7" s="2"/>
      <c r="CD7" s="2"/>
      <c r="CE7" s="2"/>
      <c r="CF7" s="2"/>
      <c r="CG7" s="2"/>
      <c r="CH7" s="2"/>
      <c r="CI7" s="2"/>
      <c r="CJ7" s="2"/>
      <c r="CK7" s="2"/>
      <c r="CL7" s="2"/>
      <c r="CM7" s="2"/>
      <c r="CN7" s="2"/>
      <c r="CO7" s="2"/>
    </row>
    <row r="8" spans="1:93" ht="93.75" customHeight="1" x14ac:dyDescent="0.25">
      <c r="A8" s="2345" t="s">
        <v>25</v>
      </c>
      <c r="B8" s="3356"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4424" t="s">
        <v>130</v>
      </c>
      <c r="P8" s="4424"/>
      <c r="Q8" s="2506" t="s">
        <v>35</v>
      </c>
      <c r="R8" s="2506" t="s">
        <v>36</v>
      </c>
      <c r="S8" s="4425" t="s">
        <v>37</v>
      </c>
      <c r="T8" s="4427" t="s">
        <v>38</v>
      </c>
      <c r="U8" s="2506" t="s">
        <v>39</v>
      </c>
      <c r="V8" s="2506" t="s">
        <v>40</v>
      </c>
      <c r="W8" s="2506" t="s">
        <v>41</v>
      </c>
      <c r="X8" s="4428" t="s">
        <v>38</v>
      </c>
      <c r="Y8" s="4429"/>
      <c r="Z8" s="4430"/>
      <c r="AA8" s="3356" t="s">
        <v>43</v>
      </c>
      <c r="AB8" s="2343" t="s">
        <v>44</v>
      </c>
      <c r="AC8" s="3356" t="s">
        <v>26</v>
      </c>
      <c r="AD8" s="2358" t="s">
        <v>45</v>
      </c>
      <c r="AE8" s="2359"/>
      <c r="AF8" s="2341" t="s">
        <v>46</v>
      </c>
      <c r="AG8" s="2342"/>
      <c r="AH8" s="2358" t="s">
        <v>47</v>
      </c>
      <c r="AI8" s="2359"/>
      <c r="AJ8" s="2358" t="s">
        <v>48</v>
      </c>
      <c r="AK8" s="2359"/>
      <c r="AL8" s="2358" t="s">
        <v>134</v>
      </c>
      <c r="AM8" s="2359"/>
      <c r="AN8" s="2358" t="s">
        <v>50</v>
      </c>
      <c r="AO8" s="2359"/>
      <c r="AP8" s="2358" t="s">
        <v>51</v>
      </c>
      <c r="AQ8" s="2359"/>
      <c r="AR8" s="2358" t="s">
        <v>52</v>
      </c>
      <c r="AS8" s="2359"/>
      <c r="AT8" s="2358" t="s">
        <v>53</v>
      </c>
      <c r="AU8" s="2359"/>
      <c r="AV8" s="2358" t="s">
        <v>135</v>
      </c>
      <c r="AW8" s="2359"/>
      <c r="AX8" s="2358" t="s">
        <v>55</v>
      </c>
      <c r="AY8" s="2359"/>
      <c r="AZ8" s="2358" t="s">
        <v>56</v>
      </c>
      <c r="BA8" s="2359"/>
      <c r="BB8" s="3368" t="s">
        <v>57</v>
      </c>
      <c r="BC8" s="3369"/>
      <c r="BD8" s="3368" t="s">
        <v>58</v>
      </c>
      <c r="BE8" s="3369"/>
      <c r="BF8" s="3368" t="s">
        <v>59</v>
      </c>
      <c r="BG8" s="3369"/>
      <c r="BH8" s="2529"/>
      <c r="BI8" s="2530"/>
      <c r="BJ8" s="2505" t="s">
        <v>1706</v>
      </c>
      <c r="BK8" s="2505" t="s">
        <v>136</v>
      </c>
      <c r="BL8" s="2505" t="s">
        <v>137</v>
      </c>
      <c r="BM8" s="2505" t="s">
        <v>63</v>
      </c>
      <c r="BN8" s="4436" t="s">
        <v>1707</v>
      </c>
      <c r="BO8" s="4437"/>
      <c r="BP8" s="2505" t="s">
        <v>65</v>
      </c>
      <c r="BQ8" s="2378"/>
      <c r="BR8" s="2379"/>
      <c r="BS8" s="2378"/>
      <c r="BT8" s="2379"/>
      <c r="BU8" s="2639"/>
      <c r="BV8" s="2"/>
      <c r="BW8" s="2"/>
      <c r="BX8" s="2"/>
      <c r="BY8" s="2"/>
      <c r="BZ8" s="2"/>
      <c r="CA8" s="2"/>
      <c r="CB8" s="2"/>
      <c r="CC8" s="2"/>
      <c r="CD8" s="2"/>
      <c r="CE8" s="2"/>
      <c r="CF8" s="2"/>
      <c r="CG8" s="2"/>
      <c r="CH8" s="2"/>
      <c r="CI8" s="2"/>
      <c r="CJ8" s="2"/>
      <c r="CK8" s="2"/>
      <c r="CL8" s="2"/>
      <c r="CM8" s="2"/>
      <c r="CN8" s="2"/>
      <c r="CO8" s="2"/>
    </row>
    <row r="9" spans="1:93" ht="35.25" customHeight="1" x14ac:dyDescent="0.25">
      <c r="A9" s="2346"/>
      <c r="B9" s="3356"/>
      <c r="C9" s="2343"/>
      <c r="D9" s="3356"/>
      <c r="E9" s="3356"/>
      <c r="F9" s="3356"/>
      <c r="G9" s="3356"/>
      <c r="H9" s="3356"/>
      <c r="I9" s="3356"/>
      <c r="J9" s="3356"/>
      <c r="K9" s="3356"/>
      <c r="L9" s="3356"/>
      <c r="M9" s="3356"/>
      <c r="N9" s="3356"/>
      <c r="O9" s="1202" t="s">
        <v>66</v>
      </c>
      <c r="P9" s="1201" t="s">
        <v>67</v>
      </c>
      <c r="Q9" s="3356"/>
      <c r="R9" s="3356"/>
      <c r="S9" s="4426"/>
      <c r="T9" s="3366"/>
      <c r="U9" s="3356"/>
      <c r="V9" s="3356"/>
      <c r="W9" s="3356"/>
      <c r="X9" s="1182" t="s">
        <v>68</v>
      </c>
      <c r="Y9" s="1182" t="s">
        <v>69</v>
      </c>
      <c r="Z9" s="1182" t="s">
        <v>70</v>
      </c>
      <c r="AA9" s="3356"/>
      <c r="AB9" s="2343"/>
      <c r="AC9" s="3356"/>
      <c r="AD9" s="1181" t="s">
        <v>66</v>
      </c>
      <c r="AE9" s="1181" t="s">
        <v>67</v>
      </c>
      <c r="AF9" s="1181" t="s">
        <v>66</v>
      </c>
      <c r="AG9" s="1181" t="s">
        <v>67</v>
      </c>
      <c r="AH9" s="1181" t="s">
        <v>66</v>
      </c>
      <c r="AI9" s="1181" t="s">
        <v>67</v>
      </c>
      <c r="AJ9" s="1181" t="s">
        <v>66</v>
      </c>
      <c r="AK9" s="1181" t="s">
        <v>67</v>
      </c>
      <c r="AL9" s="1181" t="s">
        <v>66</v>
      </c>
      <c r="AM9" s="1181" t="s">
        <v>67</v>
      </c>
      <c r="AN9" s="1181" t="s">
        <v>66</v>
      </c>
      <c r="AO9" s="1181" t="s">
        <v>67</v>
      </c>
      <c r="AP9" s="1181" t="s">
        <v>66</v>
      </c>
      <c r="AQ9" s="1181" t="s">
        <v>67</v>
      </c>
      <c r="AR9" s="1181" t="s">
        <v>66</v>
      </c>
      <c r="AS9" s="1181" t="s">
        <v>67</v>
      </c>
      <c r="AT9" s="1181" t="s">
        <v>66</v>
      </c>
      <c r="AU9" s="1181" t="s">
        <v>67</v>
      </c>
      <c r="AV9" s="1181" t="s">
        <v>66</v>
      </c>
      <c r="AW9" s="1181" t="s">
        <v>67</v>
      </c>
      <c r="AX9" s="1181" t="s">
        <v>66</v>
      </c>
      <c r="AY9" s="1181" t="s">
        <v>67</v>
      </c>
      <c r="AZ9" s="1181" t="s">
        <v>66</v>
      </c>
      <c r="BA9" s="1181" t="s">
        <v>67</v>
      </c>
      <c r="BB9" s="1181" t="s">
        <v>66</v>
      </c>
      <c r="BC9" s="1181" t="s">
        <v>67</v>
      </c>
      <c r="BD9" s="1181" t="s">
        <v>66</v>
      </c>
      <c r="BE9" s="1181" t="s">
        <v>67</v>
      </c>
      <c r="BF9" s="1181" t="s">
        <v>66</v>
      </c>
      <c r="BG9" s="1181" t="s">
        <v>67</v>
      </c>
      <c r="BH9" s="1181" t="s">
        <v>66</v>
      </c>
      <c r="BI9" s="1181" t="s">
        <v>67</v>
      </c>
      <c r="BJ9" s="2506"/>
      <c r="BK9" s="2506"/>
      <c r="BL9" s="2506"/>
      <c r="BM9" s="2506"/>
      <c r="BN9" s="1181" t="s">
        <v>1708</v>
      </c>
      <c r="BO9" s="1181" t="s">
        <v>1075</v>
      </c>
      <c r="BP9" s="2506"/>
      <c r="BQ9" s="1156" t="s">
        <v>66</v>
      </c>
      <c r="BR9" s="1156" t="s">
        <v>67</v>
      </c>
      <c r="BS9" s="1156" t="s">
        <v>66</v>
      </c>
      <c r="BT9" s="1156" t="s">
        <v>67</v>
      </c>
      <c r="BU9" s="2639"/>
      <c r="BV9" s="2"/>
      <c r="BW9" s="2"/>
      <c r="BX9" s="2"/>
      <c r="BY9" s="2"/>
      <c r="BZ9" s="2"/>
      <c r="CA9" s="2"/>
      <c r="CB9" s="2"/>
      <c r="CC9" s="2"/>
      <c r="CD9" s="2"/>
      <c r="CE9" s="2"/>
      <c r="CF9" s="2"/>
      <c r="CG9" s="2"/>
      <c r="CH9" s="2"/>
      <c r="CI9" s="2"/>
      <c r="CJ9" s="2"/>
      <c r="CK9" s="2"/>
      <c r="CL9" s="2"/>
      <c r="CM9" s="2"/>
      <c r="CN9" s="2"/>
      <c r="CO9" s="2"/>
    </row>
    <row r="10" spans="1:93" ht="22.5" customHeight="1" x14ac:dyDescent="0.25">
      <c r="A10" s="1356">
        <v>1</v>
      </c>
      <c r="B10" s="4431" t="s">
        <v>1512</v>
      </c>
      <c r="C10" s="3373"/>
      <c r="D10" s="3373"/>
      <c r="E10" s="3373"/>
      <c r="F10" s="3373"/>
      <c r="G10" s="3373"/>
      <c r="H10" s="3373"/>
      <c r="I10" s="3373"/>
      <c r="J10" s="3373"/>
      <c r="K10" s="3373"/>
      <c r="L10" s="3373"/>
      <c r="M10" s="19"/>
      <c r="N10" s="1357"/>
      <c r="O10" s="19"/>
      <c r="P10" s="19"/>
      <c r="Q10" s="19"/>
      <c r="R10" s="1357"/>
      <c r="S10" s="1358"/>
      <c r="T10" s="24"/>
      <c r="U10" s="1357"/>
      <c r="V10" s="1357"/>
      <c r="W10" s="1357"/>
      <c r="X10" s="24"/>
      <c r="Y10" s="24"/>
      <c r="Z10" s="24"/>
      <c r="AA10" s="19"/>
      <c r="AB10" s="25"/>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26"/>
      <c r="BR10" s="26"/>
      <c r="BS10" s="26"/>
      <c r="BT10" s="26"/>
      <c r="BU10" s="382"/>
      <c r="BV10" s="2"/>
      <c r="BW10" s="2"/>
      <c r="BX10" s="2"/>
      <c r="BY10" s="2"/>
      <c r="BZ10" s="2"/>
      <c r="CA10" s="2"/>
      <c r="CB10" s="2"/>
      <c r="CC10" s="2"/>
      <c r="CD10" s="2"/>
      <c r="CE10" s="2"/>
      <c r="CF10" s="2"/>
      <c r="CG10" s="2"/>
      <c r="CH10" s="2"/>
      <c r="CI10" s="2"/>
      <c r="CJ10" s="2"/>
      <c r="CK10" s="2"/>
      <c r="CL10" s="2"/>
      <c r="CM10" s="2"/>
      <c r="CN10" s="2"/>
      <c r="CO10" s="2"/>
    </row>
    <row r="11" spans="1:93" s="70" customFormat="1" ht="22.5" customHeight="1" x14ac:dyDescent="0.25">
      <c r="A11" s="1359"/>
      <c r="B11" s="1163"/>
      <c r="C11" s="31">
        <v>23</v>
      </c>
      <c r="D11" s="3077" t="s">
        <v>1709</v>
      </c>
      <c r="E11" s="2324"/>
      <c r="F11" s="2324"/>
      <c r="G11" s="2324"/>
      <c r="H11" s="2324"/>
      <c r="I11" s="1360"/>
      <c r="J11" s="1361"/>
      <c r="K11" s="632"/>
      <c r="L11" s="1361"/>
      <c r="M11" s="632"/>
      <c r="N11" s="1361"/>
      <c r="O11" s="632"/>
      <c r="P11" s="632"/>
      <c r="Q11" s="632"/>
      <c r="R11" s="1361"/>
      <c r="S11" s="633"/>
      <c r="T11" s="827"/>
      <c r="U11" s="1361"/>
      <c r="V11" s="1361"/>
      <c r="W11" s="1361"/>
      <c r="X11" s="827"/>
      <c r="Y11" s="827"/>
      <c r="Z11" s="827"/>
      <c r="AA11" s="632"/>
      <c r="AB11" s="631"/>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2"/>
      <c r="BH11" s="632"/>
      <c r="BI11" s="632"/>
      <c r="BJ11" s="632"/>
      <c r="BK11" s="632"/>
      <c r="BL11" s="632"/>
      <c r="BM11" s="632"/>
      <c r="BN11" s="632"/>
      <c r="BO11" s="632"/>
      <c r="BP11" s="632"/>
      <c r="BQ11" s="634"/>
      <c r="BR11" s="634"/>
      <c r="BS11" s="634"/>
      <c r="BT11" s="634"/>
      <c r="BU11" s="635"/>
    </row>
    <row r="12" spans="1:93" s="2" customFormat="1" ht="20.25" customHeight="1" x14ac:dyDescent="0.25">
      <c r="A12" s="2836"/>
      <c r="B12" s="2837"/>
      <c r="C12" s="1159"/>
      <c r="D12" s="1162"/>
      <c r="E12" s="828">
        <v>2301</v>
      </c>
      <c r="F12" s="4432" t="s">
        <v>1710</v>
      </c>
      <c r="G12" s="4433"/>
      <c r="H12" s="4433"/>
      <c r="I12" s="4433"/>
      <c r="J12" s="4433"/>
      <c r="K12" s="4433"/>
      <c r="L12" s="4433"/>
      <c r="M12" s="4433"/>
      <c r="N12" s="4433"/>
      <c r="O12" s="4433"/>
      <c r="P12" s="4433"/>
      <c r="Q12" s="4434"/>
      <c r="R12" s="4434"/>
      <c r="S12" s="640"/>
      <c r="T12" s="831"/>
      <c r="U12" s="1362"/>
      <c r="V12" s="1362"/>
      <c r="W12" s="1362"/>
      <c r="X12" s="831"/>
      <c r="Y12" s="830"/>
      <c r="Z12" s="830"/>
      <c r="AA12" s="569"/>
      <c r="AB12" s="638"/>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42"/>
      <c r="BR12" s="642"/>
      <c r="BS12" s="642"/>
      <c r="BT12" s="642"/>
      <c r="BU12" s="643"/>
    </row>
    <row r="13" spans="1:93" s="70" customFormat="1" ht="63.75" customHeight="1" x14ac:dyDescent="0.25">
      <c r="A13" s="2836"/>
      <c r="B13" s="2837"/>
      <c r="C13" s="1161"/>
      <c r="D13" s="1162"/>
      <c r="E13" s="4435"/>
      <c r="F13" s="3376"/>
      <c r="G13" s="3377">
        <v>2301024</v>
      </c>
      <c r="H13" s="4101" t="s">
        <v>1711</v>
      </c>
      <c r="I13" s="3377">
        <v>2301024</v>
      </c>
      <c r="J13" s="3434" t="s">
        <v>1711</v>
      </c>
      <c r="K13" s="3377">
        <v>230102401</v>
      </c>
      <c r="L13" s="3434" t="s">
        <v>1712</v>
      </c>
      <c r="M13" s="3377">
        <v>230102401</v>
      </c>
      <c r="N13" s="3434" t="s">
        <v>1712</v>
      </c>
      <c r="O13" s="4114">
        <v>15</v>
      </c>
      <c r="P13" s="3408">
        <v>0</v>
      </c>
      <c r="Q13" s="4438" t="s">
        <v>1713</v>
      </c>
      <c r="R13" s="2702" t="s">
        <v>1714</v>
      </c>
      <c r="S13" s="3474">
        <f>SUM(X13:X20)/T13</f>
        <v>0.75419406378664045</v>
      </c>
      <c r="T13" s="4439">
        <f>SUM(X13:X24)</f>
        <v>325460000</v>
      </c>
      <c r="U13" s="2701" t="s">
        <v>1715</v>
      </c>
      <c r="V13" s="2643" t="s">
        <v>1716</v>
      </c>
      <c r="W13" s="1140" t="s">
        <v>1717</v>
      </c>
      <c r="X13" s="1363">
        <v>6000000</v>
      </c>
      <c r="Y13" s="1364"/>
      <c r="Z13" s="1364"/>
      <c r="AA13" s="1192" t="s">
        <v>1718</v>
      </c>
      <c r="AB13" s="660">
        <v>20</v>
      </c>
      <c r="AC13" s="1180" t="s">
        <v>86</v>
      </c>
      <c r="AD13" s="4325">
        <v>295972</v>
      </c>
      <c r="AE13" s="4325">
        <v>295972</v>
      </c>
      <c r="AF13" s="4325">
        <v>294321</v>
      </c>
      <c r="AG13" s="4325">
        <v>294321</v>
      </c>
      <c r="AH13" s="4325">
        <v>132302</v>
      </c>
      <c r="AI13" s="4325">
        <v>132302</v>
      </c>
      <c r="AJ13" s="4325">
        <v>43426</v>
      </c>
      <c r="AK13" s="4325">
        <v>43426</v>
      </c>
      <c r="AL13" s="4325">
        <v>313940</v>
      </c>
      <c r="AM13" s="4325">
        <v>313940</v>
      </c>
      <c r="AN13" s="4325">
        <v>100625</v>
      </c>
      <c r="AO13" s="4325">
        <v>100625</v>
      </c>
      <c r="AP13" s="4325">
        <v>2145</v>
      </c>
      <c r="AQ13" s="4325">
        <v>2145</v>
      </c>
      <c r="AR13" s="4325">
        <v>12718</v>
      </c>
      <c r="AS13" s="4325">
        <v>12718</v>
      </c>
      <c r="AT13" s="4325">
        <v>36</v>
      </c>
      <c r="AU13" s="4325">
        <v>36</v>
      </c>
      <c r="AV13" s="4325">
        <v>0</v>
      </c>
      <c r="AW13" s="4325">
        <v>0</v>
      </c>
      <c r="AX13" s="4325">
        <v>0</v>
      </c>
      <c r="AY13" s="4325">
        <v>0</v>
      </c>
      <c r="AZ13" s="4325">
        <v>0</v>
      </c>
      <c r="BA13" s="4325">
        <v>0</v>
      </c>
      <c r="BB13" s="4325">
        <v>70</v>
      </c>
      <c r="BC13" s="4325">
        <v>70</v>
      </c>
      <c r="BD13" s="4325">
        <v>21944</v>
      </c>
      <c r="BE13" s="4325">
        <v>21944</v>
      </c>
      <c r="BF13" s="4325">
        <v>285</v>
      </c>
      <c r="BG13" s="4325">
        <v>285</v>
      </c>
      <c r="BH13" s="4325">
        <v>590293</v>
      </c>
      <c r="BI13" s="4325">
        <f>+AE13+AG13</f>
        <v>590293</v>
      </c>
      <c r="BJ13" s="4325">
        <v>2</v>
      </c>
      <c r="BK13" s="4441">
        <f>SUM(Y13:Y24)</f>
        <v>29920000</v>
      </c>
      <c r="BL13" s="4441">
        <f>SUM(Z13:Z24)</f>
        <v>13200000</v>
      </c>
      <c r="BM13" s="2668">
        <f>BL13/BK13</f>
        <v>0.44117647058823528</v>
      </c>
      <c r="BN13" s="4325">
        <v>20</v>
      </c>
      <c r="BO13" s="4325" t="s">
        <v>187</v>
      </c>
      <c r="BP13" s="4325" t="s">
        <v>1719</v>
      </c>
      <c r="BQ13" s="2683">
        <v>44197</v>
      </c>
      <c r="BR13" s="2683">
        <v>44270</v>
      </c>
      <c r="BS13" s="2683">
        <v>44561</v>
      </c>
      <c r="BT13" s="2683">
        <v>44376</v>
      </c>
      <c r="BU13" s="3423" t="s">
        <v>1720</v>
      </c>
    </row>
    <row r="14" spans="1:93" s="70" customFormat="1" ht="72" customHeight="1" x14ac:dyDescent="0.25">
      <c r="A14" s="2836"/>
      <c r="B14" s="2837"/>
      <c r="C14" s="1161"/>
      <c r="D14" s="1162"/>
      <c r="E14" s="3376"/>
      <c r="F14" s="3376"/>
      <c r="G14" s="3377"/>
      <c r="H14" s="4101"/>
      <c r="I14" s="3377"/>
      <c r="J14" s="3434"/>
      <c r="K14" s="3377"/>
      <c r="L14" s="3434"/>
      <c r="M14" s="3377"/>
      <c r="N14" s="3434"/>
      <c r="O14" s="4114"/>
      <c r="P14" s="3409"/>
      <c r="Q14" s="4438"/>
      <c r="R14" s="2702"/>
      <c r="S14" s="2463"/>
      <c r="T14" s="4440"/>
      <c r="U14" s="2702"/>
      <c r="V14" s="2644"/>
      <c r="W14" s="1140" t="s">
        <v>1721</v>
      </c>
      <c r="X14" s="1363">
        <v>6000000</v>
      </c>
      <c r="Y14" s="1364"/>
      <c r="Z14" s="1364"/>
      <c r="AA14" s="1192" t="s">
        <v>1722</v>
      </c>
      <c r="AB14" s="660">
        <v>20</v>
      </c>
      <c r="AC14" s="1180" t="s">
        <v>86</v>
      </c>
      <c r="AD14" s="4332"/>
      <c r="AE14" s="4332"/>
      <c r="AF14" s="4332"/>
      <c r="AG14" s="4332"/>
      <c r="AH14" s="4332"/>
      <c r="AI14" s="4332"/>
      <c r="AJ14" s="4332"/>
      <c r="AK14" s="4332"/>
      <c r="AL14" s="4332"/>
      <c r="AM14" s="4332"/>
      <c r="AN14" s="4332"/>
      <c r="AO14" s="4332"/>
      <c r="AP14" s="4332"/>
      <c r="AQ14" s="4332"/>
      <c r="AR14" s="4332"/>
      <c r="AS14" s="4332"/>
      <c r="AT14" s="4332"/>
      <c r="AU14" s="4332"/>
      <c r="AV14" s="4332"/>
      <c r="AW14" s="4332"/>
      <c r="AX14" s="4332"/>
      <c r="AY14" s="4332"/>
      <c r="AZ14" s="4332"/>
      <c r="BA14" s="4332"/>
      <c r="BB14" s="4332"/>
      <c r="BC14" s="4332"/>
      <c r="BD14" s="4332"/>
      <c r="BE14" s="4332"/>
      <c r="BF14" s="4332"/>
      <c r="BG14" s="4332"/>
      <c r="BH14" s="4332"/>
      <c r="BI14" s="4332"/>
      <c r="BJ14" s="4332"/>
      <c r="BK14" s="4332"/>
      <c r="BL14" s="4332"/>
      <c r="BM14" s="2669"/>
      <c r="BN14" s="4332"/>
      <c r="BO14" s="4332"/>
      <c r="BP14" s="4332"/>
      <c r="BQ14" s="2684"/>
      <c r="BR14" s="2684"/>
      <c r="BS14" s="2684"/>
      <c r="BT14" s="2684"/>
      <c r="BU14" s="3424"/>
    </row>
    <row r="15" spans="1:93" s="70" customFormat="1" ht="59.25" customHeight="1" x14ac:dyDescent="0.25">
      <c r="A15" s="2836"/>
      <c r="B15" s="2837"/>
      <c r="C15" s="1161"/>
      <c r="D15" s="1162"/>
      <c r="E15" s="1365"/>
      <c r="F15" s="1365"/>
      <c r="G15" s="3377"/>
      <c r="H15" s="4101"/>
      <c r="I15" s="3377"/>
      <c r="J15" s="3434"/>
      <c r="K15" s="3377"/>
      <c r="L15" s="3434"/>
      <c r="M15" s="3377"/>
      <c r="N15" s="3434"/>
      <c r="O15" s="4114"/>
      <c r="P15" s="3601"/>
      <c r="Q15" s="4438"/>
      <c r="R15" s="2702"/>
      <c r="S15" s="2463"/>
      <c r="T15" s="4440"/>
      <c r="U15" s="2702"/>
      <c r="V15" s="2644"/>
      <c r="W15" s="1140" t="s">
        <v>1723</v>
      </c>
      <c r="X15" s="1363">
        <v>6000000</v>
      </c>
      <c r="Y15" s="1364"/>
      <c r="Z15" s="1364"/>
      <c r="AA15" s="1192" t="s">
        <v>1724</v>
      </c>
      <c r="AB15" s="660">
        <v>20</v>
      </c>
      <c r="AC15" s="1180" t="s">
        <v>86</v>
      </c>
      <c r="AD15" s="4332"/>
      <c r="AE15" s="4332"/>
      <c r="AF15" s="4332"/>
      <c r="AG15" s="4332"/>
      <c r="AH15" s="4332"/>
      <c r="AI15" s="4332"/>
      <c r="AJ15" s="4332"/>
      <c r="AK15" s="4332"/>
      <c r="AL15" s="4332"/>
      <c r="AM15" s="4332"/>
      <c r="AN15" s="4332"/>
      <c r="AO15" s="4332"/>
      <c r="AP15" s="4332"/>
      <c r="AQ15" s="4332"/>
      <c r="AR15" s="4332"/>
      <c r="AS15" s="4332"/>
      <c r="AT15" s="4332"/>
      <c r="AU15" s="4332"/>
      <c r="AV15" s="4332"/>
      <c r="AW15" s="4332"/>
      <c r="AX15" s="4332"/>
      <c r="AY15" s="4332"/>
      <c r="AZ15" s="4332"/>
      <c r="BA15" s="4332"/>
      <c r="BB15" s="4332"/>
      <c r="BC15" s="4332"/>
      <c r="BD15" s="4332"/>
      <c r="BE15" s="4332"/>
      <c r="BF15" s="4332"/>
      <c r="BG15" s="4332"/>
      <c r="BH15" s="4332"/>
      <c r="BI15" s="4332"/>
      <c r="BJ15" s="4332"/>
      <c r="BK15" s="4332"/>
      <c r="BL15" s="4332"/>
      <c r="BM15" s="2669"/>
      <c r="BN15" s="4332"/>
      <c r="BO15" s="4332"/>
      <c r="BP15" s="4332"/>
      <c r="BQ15" s="2684"/>
      <c r="BR15" s="2684"/>
      <c r="BS15" s="2684"/>
      <c r="BT15" s="2684"/>
      <c r="BU15" s="3424"/>
    </row>
    <row r="16" spans="1:93" s="70" customFormat="1" ht="66" customHeight="1" x14ac:dyDescent="0.25">
      <c r="A16" s="2836"/>
      <c r="B16" s="2837"/>
      <c r="C16" s="1161"/>
      <c r="D16" s="1162"/>
      <c r="E16" s="1365"/>
      <c r="F16" s="1365"/>
      <c r="G16" s="3377"/>
      <c r="H16" s="4101"/>
      <c r="I16" s="3377"/>
      <c r="J16" s="3434"/>
      <c r="K16" s="3377">
        <v>230102404</v>
      </c>
      <c r="L16" s="3434" t="s">
        <v>1725</v>
      </c>
      <c r="M16" s="3377">
        <v>230102404</v>
      </c>
      <c r="N16" s="3434" t="s">
        <v>1725</v>
      </c>
      <c r="O16" s="4114">
        <v>3</v>
      </c>
      <c r="P16" s="3385">
        <v>0</v>
      </c>
      <c r="Q16" s="4438"/>
      <c r="R16" s="2702"/>
      <c r="S16" s="2463"/>
      <c r="T16" s="4440"/>
      <c r="U16" s="2702"/>
      <c r="V16" s="2644"/>
      <c r="W16" s="1140" t="s">
        <v>1726</v>
      </c>
      <c r="X16" s="1363">
        <v>30000000</v>
      </c>
      <c r="Y16" s="1364">
        <v>29920000</v>
      </c>
      <c r="Z16" s="1364">
        <v>13200000</v>
      </c>
      <c r="AA16" s="1192" t="s">
        <v>1724</v>
      </c>
      <c r="AB16" s="660">
        <v>20</v>
      </c>
      <c r="AC16" s="1180" t="s">
        <v>86</v>
      </c>
      <c r="AD16" s="4332"/>
      <c r="AE16" s="4332"/>
      <c r="AF16" s="4332"/>
      <c r="AG16" s="4332"/>
      <c r="AH16" s="4332"/>
      <c r="AI16" s="4332"/>
      <c r="AJ16" s="4332"/>
      <c r="AK16" s="4332"/>
      <c r="AL16" s="4332"/>
      <c r="AM16" s="4332"/>
      <c r="AN16" s="4332"/>
      <c r="AO16" s="4332"/>
      <c r="AP16" s="4332"/>
      <c r="AQ16" s="4332"/>
      <c r="AR16" s="4332"/>
      <c r="AS16" s="4332"/>
      <c r="AT16" s="4332"/>
      <c r="AU16" s="4332"/>
      <c r="AV16" s="4332"/>
      <c r="AW16" s="4332"/>
      <c r="AX16" s="4332"/>
      <c r="AY16" s="4332"/>
      <c r="AZ16" s="4332"/>
      <c r="BA16" s="4332"/>
      <c r="BB16" s="4332"/>
      <c r="BC16" s="4332"/>
      <c r="BD16" s="4332"/>
      <c r="BE16" s="4332"/>
      <c r="BF16" s="4332"/>
      <c r="BG16" s="4332"/>
      <c r="BH16" s="4332"/>
      <c r="BI16" s="4332"/>
      <c r="BJ16" s="4332"/>
      <c r="BK16" s="4332"/>
      <c r="BL16" s="4332"/>
      <c r="BM16" s="2669"/>
      <c r="BN16" s="4332"/>
      <c r="BO16" s="4332"/>
      <c r="BP16" s="4332"/>
      <c r="BQ16" s="2684"/>
      <c r="BR16" s="2684"/>
      <c r="BS16" s="2684"/>
      <c r="BT16" s="2684"/>
      <c r="BU16" s="3424"/>
    </row>
    <row r="17" spans="1:73" s="70" customFormat="1" ht="66" customHeight="1" x14ac:dyDescent="0.25">
      <c r="A17" s="2836"/>
      <c r="B17" s="2837"/>
      <c r="C17" s="1161"/>
      <c r="D17" s="1162"/>
      <c r="E17" s="1365"/>
      <c r="F17" s="1365"/>
      <c r="G17" s="3377"/>
      <c r="H17" s="4101"/>
      <c r="I17" s="3377"/>
      <c r="J17" s="3434"/>
      <c r="K17" s="3377"/>
      <c r="L17" s="3434"/>
      <c r="M17" s="3377"/>
      <c r="N17" s="3434"/>
      <c r="O17" s="4114"/>
      <c r="P17" s="3385"/>
      <c r="Q17" s="4438"/>
      <c r="R17" s="2702"/>
      <c r="S17" s="2463"/>
      <c r="T17" s="4440"/>
      <c r="U17" s="2702"/>
      <c r="V17" s="2644"/>
      <c r="W17" s="2478" t="s">
        <v>1727</v>
      </c>
      <c r="X17" s="1363">
        <v>90000000</v>
      </c>
      <c r="Y17" s="1364"/>
      <c r="Z17" s="1364"/>
      <c r="AA17" s="1192" t="s">
        <v>1728</v>
      </c>
      <c r="AB17" s="660">
        <v>20</v>
      </c>
      <c r="AC17" s="1180" t="s">
        <v>86</v>
      </c>
      <c r="AD17" s="4332"/>
      <c r="AE17" s="4332"/>
      <c r="AF17" s="4332"/>
      <c r="AG17" s="4332"/>
      <c r="AH17" s="4332"/>
      <c r="AI17" s="4332"/>
      <c r="AJ17" s="4332"/>
      <c r="AK17" s="4332"/>
      <c r="AL17" s="4332"/>
      <c r="AM17" s="4332"/>
      <c r="AN17" s="4332"/>
      <c r="AO17" s="4332"/>
      <c r="AP17" s="4332"/>
      <c r="AQ17" s="4332"/>
      <c r="AR17" s="4332"/>
      <c r="AS17" s="4332"/>
      <c r="AT17" s="4332"/>
      <c r="AU17" s="4332"/>
      <c r="AV17" s="4332"/>
      <c r="AW17" s="4332"/>
      <c r="AX17" s="4332"/>
      <c r="AY17" s="4332"/>
      <c r="AZ17" s="4332"/>
      <c r="BA17" s="4332"/>
      <c r="BB17" s="4332"/>
      <c r="BC17" s="4332"/>
      <c r="BD17" s="4332"/>
      <c r="BE17" s="4332"/>
      <c r="BF17" s="4332"/>
      <c r="BG17" s="4332"/>
      <c r="BH17" s="4332"/>
      <c r="BI17" s="4332"/>
      <c r="BJ17" s="4332"/>
      <c r="BK17" s="4332"/>
      <c r="BL17" s="4332"/>
      <c r="BM17" s="2669"/>
      <c r="BN17" s="4332"/>
      <c r="BO17" s="4332"/>
      <c r="BP17" s="4332"/>
      <c r="BQ17" s="2684"/>
      <c r="BR17" s="2684"/>
      <c r="BS17" s="2684"/>
      <c r="BT17" s="2684"/>
      <c r="BU17" s="3424"/>
    </row>
    <row r="18" spans="1:73" s="70" customFormat="1" ht="85.5" customHeight="1" x14ac:dyDescent="0.25">
      <c r="A18" s="2836"/>
      <c r="B18" s="2837"/>
      <c r="C18" s="1161"/>
      <c r="D18" s="1162"/>
      <c r="E18" s="1365"/>
      <c r="F18" s="1365"/>
      <c r="G18" s="3377"/>
      <c r="H18" s="4101"/>
      <c r="I18" s="3377"/>
      <c r="J18" s="3434"/>
      <c r="K18" s="3377"/>
      <c r="L18" s="3434"/>
      <c r="M18" s="3377"/>
      <c r="N18" s="3434"/>
      <c r="O18" s="4114"/>
      <c r="P18" s="3385"/>
      <c r="Q18" s="4438"/>
      <c r="R18" s="2702"/>
      <c r="S18" s="2463"/>
      <c r="T18" s="4440"/>
      <c r="U18" s="2702"/>
      <c r="V18" s="2644"/>
      <c r="W18" s="2479"/>
      <c r="X18" s="1363">
        <f>40000000-40000000</f>
        <v>0</v>
      </c>
      <c r="Y18" s="1364"/>
      <c r="Z18" s="1364"/>
      <c r="AA18" s="1192" t="s">
        <v>1728</v>
      </c>
      <c r="AB18" s="660">
        <v>20</v>
      </c>
      <c r="AC18" s="1180" t="s">
        <v>86</v>
      </c>
      <c r="AD18" s="4332"/>
      <c r="AE18" s="4332"/>
      <c r="AF18" s="4332"/>
      <c r="AG18" s="4332"/>
      <c r="AH18" s="4332"/>
      <c r="AI18" s="4332"/>
      <c r="AJ18" s="4332"/>
      <c r="AK18" s="4332"/>
      <c r="AL18" s="4332"/>
      <c r="AM18" s="4332"/>
      <c r="AN18" s="4332"/>
      <c r="AO18" s="4332"/>
      <c r="AP18" s="4332"/>
      <c r="AQ18" s="4332"/>
      <c r="AR18" s="4332"/>
      <c r="AS18" s="4332"/>
      <c r="AT18" s="4332"/>
      <c r="AU18" s="4332"/>
      <c r="AV18" s="4332"/>
      <c r="AW18" s="4332"/>
      <c r="AX18" s="4332"/>
      <c r="AY18" s="4332"/>
      <c r="AZ18" s="4332"/>
      <c r="BA18" s="4332"/>
      <c r="BB18" s="4332"/>
      <c r="BC18" s="4332"/>
      <c r="BD18" s="4332"/>
      <c r="BE18" s="4332"/>
      <c r="BF18" s="4332"/>
      <c r="BG18" s="4332"/>
      <c r="BH18" s="4332"/>
      <c r="BI18" s="4332"/>
      <c r="BJ18" s="4332"/>
      <c r="BK18" s="4332"/>
      <c r="BL18" s="4332"/>
      <c r="BM18" s="2669"/>
      <c r="BN18" s="4332"/>
      <c r="BO18" s="4332"/>
      <c r="BP18" s="4332"/>
      <c r="BQ18" s="2684"/>
      <c r="BR18" s="2684"/>
      <c r="BS18" s="2684"/>
      <c r="BT18" s="2684"/>
      <c r="BU18" s="3424"/>
    </row>
    <row r="19" spans="1:73" s="70" customFormat="1" ht="48" customHeight="1" x14ac:dyDescent="0.25">
      <c r="A19" s="2836"/>
      <c r="B19" s="2837"/>
      <c r="C19" s="1161"/>
      <c r="D19" s="1162"/>
      <c r="E19" s="1365"/>
      <c r="F19" s="1365"/>
      <c r="G19" s="3377"/>
      <c r="H19" s="4101"/>
      <c r="I19" s="3377"/>
      <c r="J19" s="3434"/>
      <c r="K19" s="3377"/>
      <c r="L19" s="3434"/>
      <c r="M19" s="3377"/>
      <c r="N19" s="3434"/>
      <c r="O19" s="4114"/>
      <c r="P19" s="3385"/>
      <c r="Q19" s="4438"/>
      <c r="R19" s="2702"/>
      <c r="S19" s="2463"/>
      <c r="T19" s="4440"/>
      <c r="U19" s="2702"/>
      <c r="V19" s="2644"/>
      <c r="W19" s="2478" t="s">
        <v>1729</v>
      </c>
      <c r="X19" s="1363">
        <v>30000000</v>
      </c>
      <c r="Y19" s="1364"/>
      <c r="Z19" s="1364"/>
      <c r="AA19" s="1192" t="s">
        <v>1730</v>
      </c>
      <c r="AB19" s="660">
        <v>20</v>
      </c>
      <c r="AC19" s="1180" t="s">
        <v>86</v>
      </c>
      <c r="AD19" s="4332"/>
      <c r="AE19" s="4332"/>
      <c r="AF19" s="4332"/>
      <c r="AG19" s="4332"/>
      <c r="AH19" s="4332"/>
      <c r="AI19" s="4332"/>
      <c r="AJ19" s="4332"/>
      <c r="AK19" s="4332"/>
      <c r="AL19" s="4332"/>
      <c r="AM19" s="4332"/>
      <c r="AN19" s="4332"/>
      <c r="AO19" s="4332"/>
      <c r="AP19" s="4332"/>
      <c r="AQ19" s="4332"/>
      <c r="AR19" s="4332"/>
      <c r="AS19" s="4332"/>
      <c r="AT19" s="4332"/>
      <c r="AU19" s="4332"/>
      <c r="AV19" s="4332"/>
      <c r="AW19" s="4332"/>
      <c r="AX19" s="4332"/>
      <c r="AY19" s="4332"/>
      <c r="AZ19" s="4332"/>
      <c r="BA19" s="4332"/>
      <c r="BB19" s="4332"/>
      <c r="BC19" s="4332"/>
      <c r="BD19" s="4332"/>
      <c r="BE19" s="4332"/>
      <c r="BF19" s="4332"/>
      <c r="BG19" s="4332"/>
      <c r="BH19" s="4332"/>
      <c r="BI19" s="4332"/>
      <c r="BJ19" s="4332"/>
      <c r="BK19" s="4332"/>
      <c r="BL19" s="4332"/>
      <c r="BM19" s="2669"/>
      <c r="BN19" s="4332"/>
      <c r="BO19" s="4332"/>
      <c r="BP19" s="4332"/>
      <c r="BQ19" s="2684"/>
      <c r="BR19" s="2684"/>
      <c r="BS19" s="2684"/>
      <c r="BT19" s="2684"/>
      <c r="BU19" s="3424"/>
    </row>
    <row r="20" spans="1:73" s="70" customFormat="1" ht="46.5" customHeight="1" x14ac:dyDescent="0.25">
      <c r="A20" s="2836"/>
      <c r="B20" s="2837"/>
      <c r="C20" s="1161"/>
      <c r="D20" s="1162"/>
      <c r="E20" s="1365"/>
      <c r="F20" s="1365"/>
      <c r="G20" s="3377"/>
      <c r="H20" s="4101"/>
      <c r="I20" s="3377"/>
      <c r="J20" s="3434"/>
      <c r="K20" s="3377"/>
      <c r="L20" s="3434"/>
      <c r="M20" s="3377"/>
      <c r="N20" s="3434"/>
      <c r="O20" s="4114"/>
      <c r="P20" s="3385"/>
      <c r="Q20" s="4438"/>
      <c r="R20" s="2702"/>
      <c r="S20" s="2464"/>
      <c r="T20" s="4440"/>
      <c r="U20" s="2702"/>
      <c r="V20" s="2645"/>
      <c r="W20" s="2479"/>
      <c r="X20" s="1363">
        <v>77460000</v>
      </c>
      <c r="Y20" s="1364"/>
      <c r="Z20" s="1364"/>
      <c r="AA20" s="1192" t="s">
        <v>1731</v>
      </c>
      <c r="AB20" s="660">
        <v>88</v>
      </c>
      <c r="AC20" s="1180" t="s">
        <v>391</v>
      </c>
      <c r="AD20" s="4332"/>
      <c r="AE20" s="4332"/>
      <c r="AF20" s="4332"/>
      <c r="AG20" s="4332"/>
      <c r="AH20" s="4332"/>
      <c r="AI20" s="4332"/>
      <c r="AJ20" s="4332"/>
      <c r="AK20" s="4332"/>
      <c r="AL20" s="4332"/>
      <c r="AM20" s="4332"/>
      <c r="AN20" s="4332"/>
      <c r="AO20" s="4332"/>
      <c r="AP20" s="4332"/>
      <c r="AQ20" s="4332"/>
      <c r="AR20" s="4332"/>
      <c r="AS20" s="4332"/>
      <c r="AT20" s="4332"/>
      <c r="AU20" s="4332"/>
      <c r="AV20" s="4332"/>
      <c r="AW20" s="4332"/>
      <c r="AX20" s="4332"/>
      <c r="AY20" s="4332"/>
      <c r="AZ20" s="4332"/>
      <c r="BA20" s="4332"/>
      <c r="BB20" s="4332"/>
      <c r="BC20" s="4332"/>
      <c r="BD20" s="4332"/>
      <c r="BE20" s="4332"/>
      <c r="BF20" s="4332"/>
      <c r="BG20" s="4332"/>
      <c r="BH20" s="4332"/>
      <c r="BI20" s="4332"/>
      <c r="BJ20" s="4332"/>
      <c r="BK20" s="4332"/>
      <c r="BL20" s="4332"/>
      <c r="BM20" s="2669"/>
      <c r="BN20" s="4332"/>
      <c r="BO20" s="4332"/>
      <c r="BP20" s="4332"/>
      <c r="BQ20" s="2684"/>
      <c r="BR20" s="2684"/>
      <c r="BS20" s="2684"/>
      <c r="BT20" s="2684"/>
      <c r="BU20" s="3424"/>
    </row>
    <row r="21" spans="1:73" s="70" customFormat="1" ht="72.75" customHeight="1" x14ac:dyDescent="0.25">
      <c r="A21" s="2836"/>
      <c r="B21" s="2837"/>
      <c r="C21" s="1161"/>
      <c r="D21" s="1162"/>
      <c r="E21" s="1365"/>
      <c r="F21" s="1365"/>
      <c r="G21" s="3601">
        <v>2301012</v>
      </c>
      <c r="H21" s="2703" t="s">
        <v>1732</v>
      </c>
      <c r="I21" s="3601">
        <v>2301079</v>
      </c>
      <c r="J21" s="2702" t="s">
        <v>1733</v>
      </c>
      <c r="K21" s="3601">
        <v>230101204</v>
      </c>
      <c r="L21" s="2703" t="s">
        <v>1734</v>
      </c>
      <c r="M21" s="3601">
        <v>230107902</v>
      </c>
      <c r="N21" s="2703" t="s">
        <v>1735</v>
      </c>
      <c r="O21" s="4290">
        <v>13</v>
      </c>
      <c r="P21" s="3385">
        <v>0</v>
      </c>
      <c r="Q21" s="4438"/>
      <c r="R21" s="2702"/>
      <c r="S21" s="3474">
        <f>SUM(X21:X23)/T13</f>
        <v>0.24580593621335955</v>
      </c>
      <c r="T21" s="4440"/>
      <c r="U21" s="2702"/>
      <c r="V21" s="4442" t="s">
        <v>1736</v>
      </c>
      <c r="W21" s="1140" t="s">
        <v>1737</v>
      </c>
      <c r="X21" s="1366">
        <v>25000000</v>
      </c>
      <c r="Y21" s="1367"/>
      <c r="Z21" s="1367"/>
      <c r="AA21" s="1192" t="s">
        <v>1738</v>
      </c>
      <c r="AB21" s="660">
        <v>20</v>
      </c>
      <c r="AC21" s="1180" t="s">
        <v>86</v>
      </c>
      <c r="AD21" s="4332"/>
      <c r="AE21" s="4332"/>
      <c r="AF21" s="4332"/>
      <c r="AG21" s="4332"/>
      <c r="AH21" s="4332"/>
      <c r="AI21" s="4332"/>
      <c r="AJ21" s="4332"/>
      <c r="AK21" s="4332"/>
      <c r="AL21" s="4332"/>
      <c r="AM21" s="4332"/>
      <c r="AN21" s="4332"/>
      <c r="AO21" s="4332"/>
      <c r="AP21" s="4332"/>
      <c r="AQ21" s="4332"/>
      <c r="AR21" s="4332"/>
      <c r="AS21" s="4332"/>
      <c r="AT21" s="4332"/>
      <c r="AU21" s="4332"/>
      <c r="AV21" s="4332"/>
      <c r="AW21" s="4332"/>
      <c r="AX21" s="4332"/>
      <c r="AY21" s="4332"/>
      <c r="AZ21" s="4332"/>
      <c r="BA21" s="4332"/>
      <c r="BB21" s="4332"/>
      <c r="BC21" s="4332"/>
      <c r="BD21" s="4332"/>
      <c r="BE21" s="4332"/>
      <c r="BF21" s="4332"/>
      <c r="BG21" s="4332"/>
      <c r="BH21" s="4332"/>
      <c r="BI21" s="4332"/>
      <c r="BJ21" s="4332"/>
      <c r="BK21" s="4332"/>
      <c r="BL21" s="4332"/>
      <c r="BM21" s="2669"/>
      <c r="BN21" s="4332"/>
      <c r="BO21" s="4332"/>
      <c r="BP21" s="4332"/>
      <c r="BQ21" s="2684"/>
      <c r="BR21" s="2684"/>
      <c r="BS21" s="2684"/>
      <c r="BT21" s="2684"/>
      <c r="BU21" s="3424"/>
    </row>
    <row r="22" spans="1:73" s="70" customFormat="1" ht="75.75" customHeight="1" x14ac:dyDescent="0.25">
      <c r="A22" s="2836"/>
      <c r="B22" s="2837"/>
      <c r="C22" s="1161"/>
      <c r="D22" s="1162"/>
      <c r="E22" s="1365"/>
      <c r="F22" s="1365"/>
      <c r="G22" s="3385"/>
      <c r="H22" s="2476"/>
      <c r="I22" s="3385"/>
      <c r="J22" s="2702"/>
      <c r="K22" s="3385"/>
      <c r="L22" s="2476"/>
      <c r="M22" s="3385"/>
      <c r="N22" s="2476"/>
      <c r="O22" s="4290"/>
      <c r="P22" s="3385"/>
      <c r="Q22" s="4438"/>
      <c r="R22" s="2702"/>
      <c r="S22" s="2463"/>
      <c r="T22" s="4440"/>
      <c r="U22" s="2702"/>
      <c r="V22" s="4443"/>
      <c r="W22" s="1140" t="s">
        <v>1739</v>
      </c>
      <c r="X22" s="1366">
        <v>30000000</v>
      </c>
      <c r="Y22" s="1367"/>
      <c r="Z22" s="1367"/>
      <c r="AA22" s="1192" t="s">
        <v>1740</v>
      </c>
      <c r="AB22" s="660">
        <v>20</v>
      </c>
      <c r="AC22" s="1180" t="s">
        <v>86</v>
      </c>
      <c r="AD22" s="4332"/>
      <c r="AE22" s="4332"/>
      <c r="AF22" s="4332"/>
      <c r="AG22" s="4332"/>
      <c r="AH22" s="4332"/>
      <c r="AI22" s="4332"/>
      <c r="AJ22" s="4332"/>
      <c r="AK22" s="4332"/>
      <c r="AL22" s="4332"/>
      <c r="AM22" s="4332"/>
      <c r="AN22" s="4332"/>
      <c r="AO22" s="4332"/>
      <c r="AP22" s="4332"/>
      <c r="AQ22" s="4332"/>
      <c r="AR22" s="4332"/>
      <c r="AS22" s="4332"/>
      <c r="AT22" s="4332"/>
      <c r="AU22" s="4332"/>
      <c r="AV22" s="4332"/>
      <c r="AW22" s="4332"/>
      <c r="AX22" s="4332"/>
      <c r="AY22" s="4332"/>
      <c r="AZ22" s="4332"/>
      <c r="BA22" s="4332"/>
      <c r="BB22" s="4332"/>
      <c r="BC22" s="4332"/>
      <c r="BD22" s="4332"/>
      <c r="BE22" s="4332"/>
      <c r="BF22" s="4332"/>
      <c r="BG22" s="4332"/>
      <c r="BH22" s="4332"/>
      <c r="BI22" s="4332"/>
      <c r="BJ22" s="4332"/>
      <c r="BK22" s="4332"/>
      <c r="BL22" s="4332"/>
      <c r="BM22" s="2669"/>
      <c r="BN22" s="4332"/>
      <c r="BO22" s="4332"/>
      <c r="BP22" s="4332"/>
      <c r="BQ22" s="2684"/>
      <c r="BR22" s="2684"/>
      <c r="BS22" s="2684"/>
      <c r="BT22" s="2684"/>
      <c r="BU22" s="3424"/>
    </row>
    <row r="23" spans="1:73" s="70" customFormat="1" ht="57" customHeight="1" x14ac:dyDescent="0.25">
      <c r="A23" s="2836"/>
      <c r="B23" s="2837"/>
      <c r="C23" s="1161"/>
      <c r="D23" s="1162"/>
      <c r="E23" s="1365"/>
      <c r="F23" s="1365"/>
      <c r="G23" s="3385"/>
      <c r="H23" s="2476"/>
      <c r="I23" s="3385"/>
      <c r="J23" s="2702"/>
      <c r="K23" s="3385"/>
      <c r="L23" s="2476"/>
      <c r="M23" s="3385"/>
      <c r="N23" s="2476"/>
      <c r="O23" s="4290"/>
      <c r="P23" s="3385"/>
      <c r="Q23" s="4438"/>
      <c r="R23" s="2702"/>
      <c r="S23" s="2463"/>
      <c r="T23" s="4440"/>
      <c r="U23" s="2702"/>
      <c r="V23" s="4443"/>
      <c r="W23" s="1142" t="s">
        <v>1741</v>
      </c>
      <c r="X23" s="1366">
        <v>25000000</v>
      </c>
      <c r="Y23" s="1367"/>
      <c r="Z23" s="1367"/>
      <c r="AA23" s="1192" t="s">
        <v>1738</v>
      </c>
      <c r="AB23" s="660">
        <v>20</v>
      </c>
      <c r="AC23" s="1180" t="s">
        <v>86</v>
      </c>
      <c r="AD23" s="4332"/>
      <c r="AE23" s="4332"/>
      <c r="AF23" s="4332"/>
      <c r="AG23" s="4332"/>
      <c r="AH23" s="4332"/>
      <c r="AI23" s="4332"/>
      <c r="AJ23" s="4332"/>
      <c r="AK23" s="4332"/>
      <c r="AL23" s="4332"/>
      <c r="AM23" s="4332"/>
      <c r="AN23" s="4332"/>
      <c r="AO23" s="4332"/>
      <c r="AP23" s="4332"/>
      <c r="AQ23" s="4332"/>
      <c r="AR23" s="4332"/>
      <c r="AS23" s="4332"/>
      <c r="AT23" s="4332"/>
      <c r="AU23" s="4332"/>
      <c r="AV23" s="4332"/>
      <c r="AW23" s="4332"/>
      <c r="AX23" s="4332"/>
      <c r="AY23" s="4332"/>
      <c r="AZ23" s="4332"/>
      <c r="BA23" s="4332"/>
      <c r="BB23" s="4332"/>
      <c r="BC23" s="4332"/>
      <c r="BD23" s="4332"/>
      <c r="BE23" s="4332"/>
      <c r="BF23" s="4332"/>
      <c r="BG23" s="4332"/>
      <c r="BH23" s="4332"/>
      <c r="BI23" s="4332"/>
      <c r="BJ23" s="4332"/>
      <c r="BK23" s="4332"/>
      <c r="BL23" s="4332"/>
      <c r="BM23" s="2669"/>
      <c r="BN23" s="4332"/>
      <c r="BO23" s="4332"/>
      <c r="BP23" s="4332"/>
      <c r="BQ23" s="2684"/>
      <c r="BR23" s="2684"/>
      <c r="BS23" s="2684"/>
      <c r="BT23" s="2684"/>
      <c r="BU23" s="3424"/>
    </row>
    <row r="24" spans="1:73" s="70" customFormat="1" ht="125.25" customHeight="1" x14ac:dyDescent="0.25">
      <c r="A24" s="2836"/>
      <c r="B24" s="2837"/>
      <c r="C24" s="1161"/>
      <c r="D24" s="1162"/>
      <c r="E24" s="1365"/>
      <c r="F24" s="1365"/>
      <c r="G24" s="1179">
        <v>2301062</v>
      </c>
      <c r="H24" s="1171" t="s">
        <v>1742</v>
      </c>
      <c r="I24" s="1179">
        <v>2301062</v>
      </c>
      <c r="J24" s="1171" t="s">
        <v>1742</v>
      </c>
      <c r="K24" s="1179">
        <v>230106201</v>
      </c>
      <c r="L24" s="1171" t="s">
        <v>1743</v>
      </c>
      <c r="M24" s="1179">
        <v>230106201</v>
      </c>
      <c r="N24" s="1171" t="s">
        <v>1743</v>
      </c>
      <c r="O24" s="1189">
        <v>9</v>
      </c>
      <c r="P24" s="1180">
        <v>9</v>
      </c>
      <c r="Q24" s="4438"/>
      <c r="R24" s="2702"/>
      <c r="S24" s="1175">
        <f>SUM(X24)/T13</f>
        <v>0</v>
      </c>
      <c r="T24" s="4440"/>
      <c r="U24" s="2702"/>
      <c r="V24" s="1368" t="s">
        <v>1744</v>
      </c>
      <c r="W24" s="1142" t="s">
        <v>1745</v>
      </c>
      <c r="X24" s="1369">
        <f>50000000-50000000</f>
        <v>0</v>
      </c>
      <c r="Y24" s="1370"/>
      <c r="Z24" s="1370"/>
      <c r="AA24" s="1192" t="s">
        <v>1746</v>
      </c>
      <c r="AB24" s="1190">
        <v>20</v>
      </c>
      <c r="AC24" s="1179" t="s">
        <v>86</v>
      </c>
      <c r="AD24" s="4326"/>
      <c r="AE24" s="4326"/>
      <c r="AF24" s="4326"/>
      <c r="AG24" s="4326"/>
      <c r="AH24" s="4326"/>
      <c r="AI24" s="4326"/>
      <c r="AJ24" s="4326"/>
      <c r="AK24" s="4326"/>
      <c r="AL24" s="4326"/>
      <c r="AM24" s="4326"/>
      <c r="AN24" s="4326"/>
      <c r="AO24" s="4326"/>
      <c r="AP24" s="4326"/>
      <c r="AQ24" s="4326"/>
      <c r="AR24" s="4326"/>
      <c r="AS24" s="4326"/>
      <c r="AT24" s="4326"/>
      <c r="AU24" s="4326"/>
      <c r="AV24" s="4326"/>
      <c r="AW24" s="4326"/>
      <c r="AX24" s="4326"/>
      <c r="AY24" s="4326"/>
      <c r="AZ24" s="4326"/>
      <c r="BA24" s="4326"/>
      <c r="BB24" s="4326"/>
      <c r="BC24" s="4326"/>
      <c r="BD24" s="4326"/>
      <c r="BE24" s="4326"/>
      <c r="BF24" s="4326"/>
      <c r="BG24" s="4326"/>
      <c r="BH24" s="4326"/>
      <c r="BI24" s="4326"/>
      <c r="BJ24" s="4326"/>
      <c r="BK24" s="4326"/>
      <c r="BL24" s="4326"/>
      <c r="BM24" s="2670"/>
      <c r="BN24" s="4326"/>
      <c r="BO24" s="4326"/>
      <c r="BP24" s="4326"/>
      <c r="BQ24" s="2685"/>
      <c r="BR24" s="2685"/>
      <c r="BS24" s="2685"/>
      <c r="BT24" s="2685"/>
      <c r="BU24" s="3425"/>
    </row>
    <row r="25" spans="1:73" s="70" customFormat="1" ht="108" customHeight="1" x14ac:dyDescent="0.25">
      <c r="A25" s="2836"/>
      <c r="B25" s="2837"/>
      <c r="C25" s="1161"/>
      <c r="D25" s="1162"/>
      <c r="E25" s="1365"/>
      <c r="F25" s="1365"/>
      <c r="G25" s="1180">
        <v>2301035</v>
      </c>
      <c r="H25" s="1141" t="s">
        <v>1747</v>
      </c>
      <c r="I25" s="1180">
        <v>2301035</v>
      </c>
      <c r="J25" s="1141" t="s">
        <v>1747</v>
      </c>
      <c r="K25" s="1180">
        <v>230103500</v>
      </c>
      <c r="L25" s="1141" t="s">
        <v>1748</v>
      </c>
      <c r="M25" s="1180">
        <v>230103500</v>
      </c>
      <c r="N25" s="1141" t="s">
        <v>1748</v>
      </c>
      <c r="O25" s="1180">
        <v>20</v>
      </c>
      <c r="P25" s="1180">
        <v>0</v>
      </c>
      <c r="Q25" s="3662">
        <v>2020003630139</v>
      </c>
      <c r="R25" s="2701" t="s">
        <v>1749</v>
      </c>
      <c r="S25" s="1186">
        <f>SUM(X25)/T25</f>
        <v>0.10328800137717335</v>
      </c>
      <c r="T25" s="4439">
        <f>SUM(X25:X33)</f>
        <v>348540000</v>
      </c>
      <c r="U25" s="2701" t="s">
        <v>1750</v>
      </c>
      <c r="V25" s="1141" t="s">
        <v>1751</v>
      </c>
      <c r="W25" s="1140" t="s">
        <v>1752</v>
      </c>
      <c r="X25" s="1363">
        <v>36000000</v>
      </c>
      <c r="Y25" s="1364"/>
      <c r="Z25" s="1364"/>
      <c r="AA25" s="1192" t="s">
        <v>1753</v>
      </c>
      <c r="AB25" s="1190">
        <v>20</v>
      </c>
      <c r="AC25" s="1179" t="s">
        <v>86</v>
      </c>
      <c r="AD25" s="3408">
        <v>295972</v>
      </c>
      <c r="AE25" s="3408">
        <v>295972</v>
      </c>
      <c r="AF25" s="3408">
        <v>294321</v>
      </c>
      <c r="AG25" s="3408">
        <v>294321</v>
      </c>
      <c r="AH25" s="3408">
        <v>132302</v>
      </c>
      <c r="AI25" s="3408">
        <v>132302</v>
      </c>
      <c r="AJ25" s="3408">
        <v>43426</v>
      </c>
      <c r="AK25" s="3408">
        <v>43426</v>
      </c>
      <c r="AL25" s="3408">
        <v>313940</v>
      </c>
      <c r="AM25" s="3408">
        <v>313940</v>
      </c>
      <c r="AN25" s="3408">
        <v>100625</v>
      </c>
      <c r="AO25" s="3408">
        <v>100625</v>
      </c>
      <c r="AP25" s="3408">
        <v>2145</v>
      </c>
      <c r="AQ25" s="3408">
        <v>2145</v>
      </c>
      <c r="AR25" s="3408">
        <v>12718</v>
      </c>
      <c r="AS25" s="3408">
        <v>12718</v>
      </c>
      <c r="AT25" s="3408">
        <v>36</v>
      </c>
      <c r="AU25" s="3408">
        <v>36</v>
      </c>
      <c r="AV25" s="3408">
        <v>0</v>
      </c>
      <c r="AW25" s="3408">
        <v>0</v>
      </c>
      <c r="AX25" s="3408">
        <v>0</v>
      </c>
      <c r="AY25" s="3408">
        <v>0</v>
      </c>
      <c r="AZ25" s="3408">
        <v>0</v>
      </c>
      <c r="BA25" s="3408">
        <v>0</v>
      </c>
      <c r="BB25" s="3408">
        <v>70</v>
      </c>
      <c r="BC25" s="3408">
        <v>70</v>
      </c>
      <c r="BD25" s="3408">
        <v>21944</v>
      </c>
      <c r="BE25" s="3408">
        <v>21944</v>
      </c>
      <c r="BF25" s="3408">
        <v>285</v>
      </c>
      <c r="BG25" s="3408">
        <v>285</v>
      </c>
      <c r="BH25" s="3408">
        <v>590293</v>
      </c>
      <c r="BI25" s="3408">
        <f>+AE25+AG25</f>
        <v>590293</v>
      </c>
      <c r="BJ25" s="3408">
        <v>4</v>
      </c>
      <c r="BK25" s="4446">
        <f>SUM(Y25:Y33)</f>
        <v>52835000</v>
      </c>
      <c r="BL25" s="4446">
        <f>SUM(Z25:Z33)</f>
        <v>46160000</v>
      </c>
      <c r="BM25" s="3390">
        <f>BL25/BK25</f>
        <v>0.87366329137882082</v>
      </c>
      <c r="BN25" s="3408" t="s">
        <v>1754</v>
      </c>
      <c r="BO25" s="3408" t="s">
        <v>1755</v>
      </c>
      <c r="BP25" s="3408" t="s">
        <v>1756</v>
      </c>
      <c r="BQ25" s="4147">
        <v>44197</v>
      </c>
      <c r="BR25" s="4147">
        <v>44244</v>
      </c>
      <c r="BS25" s="4147">
        <v>44561</v>
      </c>
      <c r="BT25" s="4147">
        <v>44368</v>
      </c>
      <c r="BU25" s="3408" t="s">
        <v>1720</v>
      </c>
    </row>
    <row r="26" spans="1:73" s="70" customFormat="1" ht="85.5" customHeight="1" x14ac:dyDescent="0.25">
      <c r="A26" s="2836"/>
      <c r="B26" s="2837"/>
      <c r="C26" s="1161"/>
      <c r="D26" s="1162"/>
      <c r="E26" s="1365"/>
      <c r="F26" s="1365"/>
      <c r="G26" s="1180">
        <v>2301015</v>
      </c>
      <c r="H26" s="1141" t="s">
        <v>1757</v>
      </c>
      <c r="I26" s="1180">
        <v>2301015</v>
      </c>
      <c r="J26" s="1141" t="s">
        <v>1757</v>
      </c>
      <c r="K26" s="1180">
        <v>230101500</v>
      </c>
      <c r="L26" s="1141" t="s">
        <v>1758</v>
      </c>
      <c r="M26" s="1180">
        <v>230101500</v>
      </c>
      <c r="N26" s="1141" t="s">
        <v>1758</v>
      </c>
      <c r="O26" s="1180">
        <v>3</v>
      </c>
      <c r="P26" s="1180">
        <v>0</v>
      </c>
      <c r="Q26" s="3463"/>
      <c r="R26" s="2702"/>
      <c r="S26" s="1186">
        <f>SUM(X26)/T25</f>
        <v>5.1644000688586676E-2</v>
      </c>
      <c r="T26" s="4440"/>
      <c r="U26" s="2702"/>
      <c r="V26" s="1141" t="s">
        <v>1759</v>
      </c>
      <c r="W26" s="1140" t="s">
        <v>1760</v>
      </c>
      <c r="X26" s="1363">
        <v>18000000</v>
      </c>
      <c r="Y26" s="1364"/>
      <c r="Z26" s="1364"/>
      <c r="AA26" s="1192" t="s">
        <v>1761</v>
      </c>
      <c r="AB26" s="1190">
        <v>20</v>
      </c>
      <c r="AC26" s="1179" t="s">
        <v>86</v>
      </c>
      <c r="AD26" s="3409"/>
      <c r="AE26" s="3409"/>
      <c r="AF26" s="3409"/>
      <c r="AG26" s="3409"/>
      <c r="AH26" s="3409"/>
      <c r="AI26" s="3409"/>
      <c r="AJ26" s="3409"/>
      <c r="AK26" s="3409"/>
      <c r="AL26" s="3409"/>
      <c r="AM26" s="3409"/>
      <c r="AN26" s="3409"/>
      <c r="AO26" s="3409"/>
      <c r="AP26" s="3409"/>
      <c r="AQ26" s="3409"/>
      <c r="AR26" s="3409"/>
      <c r="AS26" s="3409"/>
      <c r="AT26" s="3409"/>
      <c r="AU26" s="3409"/>
      <c r="AV26" s="3409"/>
      <c r="AW26" s="3409"/>
      <c r="AX26" s="3409"/>
      <c r="AY26" s="3409"/>
      <c r="AZ26" s="3409"/>
      <c r="BA26" s="3409"/>
      <c r="BB26" s="3409"/>
      <c r="BC26" s="3409"/>
      <c r="BD26" s="3409"/>
      <c r="BE26" s="3409"/>
      <c r="BF26" s="3409"/>
      <c r="BG26" s="3409"/>
      <c r="BH26" s="3409"/>
      <c r="BI26" s="3409"/>
      <c r="BJ26" s="3409"/>
      <c r="BK26" s="3409"/>
      <c r="BL26" s="3409"/>
      <c r="BM26" s="3391"/>
      <c r="BN26" s="3409"/>
      <c r="BO26" s="3409"/>
      <c r="BP26" s="3409"/>
      <c r="BQ26" s="3409"/>
      <c r="BR26" s="3409"/>
      <c r="BS26" s="3409"/>
      <c r="BT26" s="3409"/>
      <c r="BU26" s="3409"/>
    </row>
    <row r="27" spans="1:73" s="70" customFormat="1" ht="60" customHeight="1" x14ac:dyDescent="0.25">
      <c r="A27" s="2836"/>
      <c r="B27" s="2837"/>
      <c r="C27" s="1161"/>
      <c r="D27" s="1162"/>
      <c r="E27" s="1365"/>
      <c r="F27" s="1365"/>
      <c r="G27" s="3408">
        <v>2301030</v>
      </c>
      <c r="H27" s="2701" t="s">
        <v>1762</v>
      </c>
      <c r="I27" s="3408">
        <v>2301030</v>
      </c>
      <c r="J27" s="2701" t="s">
        <v>1762</v>
      </c>
      <c r="K27" s="3408">
        <v>230103000</v>
      </c>
      <c r="L27" s="2701" t="s">
        <v>1763</v>
      </c>
      <c r="M27" s="3408">
        <v>230103000</v>
      </c>
      <c r="N27" s="2701" t="s">
        <v>1763</v>
      </c>
      <c r="O27" s="3408">
        <v>2500</v>
      </c>
      <c r="P27" s="3408">
        <v>1024</v>
      </c>
      <c r="Q27" s="3463"/>
      <c r="R27" s="2702"/>
      <c r="S27" s="3474">
        <f>SUM(X27:X29)/T25</f>
        <v>0.74177999655706661</v>
      </c>
      <c r="T27" s="4440"/>
      <c r="U27" s="2702"/>
      <c r="V27" s="2701" t="s">
        <v>1764</v>
      </c>
      <c r="W27" s="2478" t="s">
        <v>1765</v>
      </c>
      <c r="X27" s="1363">
        <v>30000000</v>
      </c>
      <c r="Y27" s="1364">
        <v>29542400</v>
      </c>
      <c r="Z27" s="1364">
        <v>29542400</v>
      </c>
      <c r="AA27" s="1192" t="s">
        <v>1766</v>
      </c>
      <c r="AB27" s="1190">
        <v>20</v>
      </c>
      <c r="AC27" s="1179" t="s">
        <v>86</v>
      </c>
      <c r="AD27" s="3409"/>
      <c r="AE27" s="3409"/>
      <c r="AF27" s="3409"/>
      <c r="AG27" s="3409"/>
      <c r="AH27" s="3409"/>
      <c r="AI27" s="3409"/>
      <c r="AJ27" s="3409"/>
      <c r="AK27" s="3409"/>
      <c r="AL27" s="3409"/>
      <c r="AM27" s="3409"/>
      <c r="AN27" s="3409"/>
      <c r="AO27" s="3409"/>
      <c r="AP27" s="3409"/>
      <c r="AQ27" s="3409"/>
      <c r="AR27" s="3409"/>
      <c r="AS27" s="3409"/>
      <c r="AT27" s="3409"/>
      <c r="AU27" s="3409"/>
      <c r="AV27" s="3409"/>
      <c r="AW27" s="3409"/>
      <c r="AX27" s="3409"/>
      <c r="AY27" s="3409"/>
      <c r="AZ27" s="3409"/>
      <c r="BA27" s="3409"/>
      <c r="BB27" s="3409"/>
      <c r="BC27" s="3409"/>
      <c r="BD27" s="3409"/>
      <c r="BE27" s="3409"/>
      <c r="BF27" s="3409"/>
      <c r="BG27" s="3409"/>
      <c r="BH27" s="3409"/>
      <c r="BI27" s="3409"/>
      <c r="BJ27" s="3409"/>
      <c r="BK27" s="3409"/>
      <c r="BL27" s="3409"/>
      <c r="BM27" s="3391"/>
      <c r="BN27" s="3409"/>
      <c r="BO27" s="3409"/>
      <c r="BP27" s="3409"/>
      <c r="BQ27" s="3409"/>
      <c r="BR27" s="3409"/>
      <c r="BS27" s="3409"/>
      <c r="BT27" s="3409"/>
      <c r="BU27" s="3409"/>
    </row>
    <row r="28" spans="1:73" s="70" customFormat="1" ht="60" customHeight="1" x14ac:dyDescent="0.25">
      <c r="A28" s="2836"/>
      <c r="B28" s="2837"/>
      <c r="C28" s="1161"/>
      <c r="D28" s="1162"/>
      <c r="E28" s="1365"/>
      <c r="F28" s="1365"/>
      <c r="G28" s="3409"/>
      <c r="H28" s="2702"/>
      <c r="I28" s="3409"/>
      <c r="J28" s="2702"/>
      <c r="K28" s="3409"/>
      <c r="L28" s="2702"/>
      <c r="M28" s="3409"/>
      <c r="N28" s="2702"/>
      <c r="O28" s="3409"/>
      <c r="P28" s="3409"/>
      <c r="Q28" s="3463"/>
      <c r="R28" s="2702"/>
      <c r="S28" s="2463"/>
      <c r="T28" s="4440"/>
      <c r="U28" s="2702"/>
      <c r="V28" s="2702"/>
      <c r="W28" s="2479"/>
      <c r="X28" s="1363">
        <v>222540000</v>
      </c>
      <c r="Y28" s="1364">
        <v>6675000</v>
      </c>
      <c r="Z28" s="1364">
        <v>0</v>
      </c>
      <c r="AA28" s="1192" t="s">
        <v>1767</v>
      </c>
      <c r="AB28" s="1190">
        <v>88</v>
      </c>
      <c r="AC28" s="1180" t="s">
        <v>391</v>
      </c>
      <c r="AD28" s="3409"/>
      <c r="AE28" s="3409"/>
      <c r="AF28" s="3409"/>
      <c r="AG28" s="3409"/>
      <c r="AH28" s="3409"/>
      <c r="AI28" s="3409"/>
      <c r="AJ28" s="3409"/>
      <c r="AK28" s="3409"/>
      <c r="AL28" s="3409"/>
      <c r="AM28" s="3409"/>
      <c r="AN28" s="3409"/>
      <c r="AO28" s="3409"/>
      <c r="AP28" s="3409"/>
      <c r="AQ28" s="3409"/>
      <c r="AR28" s="3409"/>
      <c r="AS28" s="3409"/>
      <c r="AT28" s="3409"/>
      <c r="AU28" s="3409"/>
      <c r="AV28" s="3409"/>
      <c r="AW28" s="3409"/>
      <c r="AX28" s="3409"/>
      <c r="AY28" s="3409"/>
      <c r="AZ28" s="3409"/>
      <c r="BA28" s="3409"/>
      <c r="BB28" s="3409"/>
      <c r="BC28" s="3409"/>
      <c r="BD28" s="3409"/>
      <c r="BE28" s="3409"/>
      <c r="BF28" s="3409"/>
      <c r="BG28" s="3409"/>
      <c r="BH28" s="3409"/>
      <c r="BI28" s="3409"/>
      <c r="BJ28" s="3409"/>
      <c r="BK28" s="3409"/>
      <c r="BL28" s="3409"/>
      <c r="BM28" s="3391"/>
      <c r="BN28" s="3409"/>
      <c r="BO28" s="3409"/>
      <c r="BP28" s="3409"/>
      <c r="BQ28" s="3409"/>
      <c r="BR28" s="3409"/>
      <c r="BS28" s="3409"/>
      <c r="BT28" s="3409"/>
      <c r="BU28" s="3409"/>
    </row>
    <row r="29" spans="1:73" s="70" customFormat="1" ht="66" customHeight="1" x14ac:dyDescent="0.25">
      <c r="A29" s="2836"/>
      <c r="B29" s="2837"/>
      <c r="C29" s="1161"/>
      <c r="D29" s="1162"/>
      <c r="E29" s="1365"/>
      <c r="F29" s="1365"/>
      <c r="G29" s="3601"/>
      <c r="H29" s="2703"/>
      <c r="I29" s="3601"/>
      <c r="J29" s="2703"/>
      <c r="K29" s="3601"/>
      <c r="L29" s="2703"/>
      <c r="M29" s="3601"/>
      <c r="N29" s="2703"/>
      <c r="O29" s="3409"/>
      <c r="P29" s="3409"/>
      <c r="Q29" s="3463"/>
      <c r="R29" s="2702"/>
      <c r="S29" s="2464"/>
      <c r="T29" s="4440"/>
      <c r="U29" s="2702"/>
      <c r="V29" s="2703"/>
      <c r="W29" s="1140" t="s">
        <v>1768</v>
      </c>
      <c r="X29" s="1363">
        <v>6000000</v>
      </c>
      <c r="Y29" s="1364"/>
      <c r="Z29" s="1364"/>
      <c r="AA29" s="1192" t="s">
        <v>1766</v>
      </c>
      <c r="AB29" s="1190">
        <v>20</v>
      </c>
      <c r="AC29" s="1179" t="s">
        <v>86</v>
      </c>
      <c r="AD29" s="3409"/>
      <c r="AE29" s="3409"/>
      <c r="AF29" s="3409"/>
      <c r="AG29" s="3409"/>
      <c r="AH29" s="3409"/>
      <c r="AI29" s="3409"/>
      <c r="AJ29" s="3409"/>
      <c r="AK29" s="3409"/>
      <c r="AL29" s="3409"/>
      <c r="AM29" s="3409"/>
      <c r="AN29" s="3409"/>
      <c r="AO29" s="3409"/>
      <c r="AP29" s="3409"/>
      <c r="AQ29" s="3409"/>
      <c r="AR29" s="3409"/>
      <c r="AS29" s="3409"/>
      <c r="AT29" s="3409"/>
      <c r="AU29" s="3409"/>
      <c r="AV29" s="3409"/>
      <c r="AW29" s="3409"/>
      <c r="AX29" s="3409"/>
      <c r="AY29" s="3409"/>
      <c r="AZ29" s="3409"/>
      <c r="BA29" s="3409"/>
      <c r="BB29" s="3409"/>
      <c r="BC29" s="3409"/>
      <c r="BD29" s="3409"/>
      <c r="BE29" s="3409"/>
      <c r="BF29" s="3409"/>
      <c r="BG29" s="3409"/>
      <c r="BH29" s="3409"/>
      <c r="BI29" s="3409"/>
      <c r="BJ29" s="3409"/>
      <c r="BK29" s="3409"/>
      <c r="BL29" s="3409"/>
      <c r="BM29" s="3391"/>
      <c r="BN29" s="3409"/>
      <c r="BO29" s="3409"/>
      <c r="BP29" s="3409"/>
      <c r="BQ29" s="3409"/>
      <c r="BR29" s="3409"/>
      <c r="BS29" s="3409"/>
      <c r="BT29" s="3409"/>
      <c r="BU29" s="3409"/>
    </row>
    <row r="30" spans="1:73" s="70" customFormat="1" ht="106.5" customHeight="1" x14ac:dyDescent="0.25">
      <c r="A30" s="2836"/>
      <c r="B30" s="2837"/>
      <c r="C30" s="1161"/>
      <c r="D30" s="1162"/>
      <c r="E30" s="1365"/>
      <c r="F30" s="1365"/>
      <c r="G30" s="1179">
        <v>2301004</v>
      </c>
      <c r="H30" s="1171" t="s">
        <v>1769</v>
      </c>
      <c r="I30" s="1179">
        <v>2301004</v>
      </c>
      <c r="J30" s="1171" t="s">
        <v>1769</v>
      </c>
      <c r="K30" s="1179">
        <v>230100400</v>
      </c>
      <c r="L30" s="1171" t="s">
        <v>1770</v>
      </c>
      <c r="M30" s="1179">
        <v>230100400</v>
      </c>
      <c r="N30" s="1371" t="s">
        <v>1770</v>
      </c>
      <c r="O30" s="1178">
        <v>1</v>
      </c>
      <c r="P30" s="1178">
        <v>0.8</v>
      </c>
      <c r="Q30" s="4444"/>
      <c r="R30" s="2702"/>
      <c r="S30" s="1175">
        <f>SUM(X30:X30)/T25</f>
        <v>5.1644000688586676E-2</v>
      </c>
      <c r="T30" s="4440"/>
      <c r="U30" s="2702"/>
      <c r="V30" s="1171" t="s">
        <v>1771</v>
      </c>
      <c r="W30" s="1171" t="s">
        <v>1772</v>
      </c>
      <c r="X30" s="1363">
        <v>18000000</v>
      </c>
      <c r="Y30" s="1364">
        <v>16617600</v>
      </c>
      <c r="Z30" s="1364">
        <v>16617600</v>
      </c>
      <c r="AA30" s="1192" t="s">
        <v>1773</v>
      </c>
      <c r="AB30" s="1190">
        <v>20</v>
      </c>
      <c r="AC30" s="1179" t="s">
        <v>86</v>
      </c>
      <c r="AD30" s="3409"/>
      <c r="AE30" s="3409"/>
      <c r="AF30" s="3409"/>
      <c r="AG30" s="3409"/>
      <c r="AH30" s="3409"/>
      <c r="AI30" s="3409"/>
      <c r="AJ30" s="3409"/>
      <c r="AK30" s="3409"/>
      <c r="AL30" s="3409"/>
      <c r="AM30" s="3409"/>
      <c r="AN30" s="3409"/>
      <c r="AO30" s="3409"/>
      <c r="AP30" s="3409"/>
      <c r="AQ30" s="3409"/>
      <c r="AR30" s="3409"/>
      <c r="AS30" s="3409"/>
      <c r="AT30" s="3409"/>
      <c r="AU30" s="3409"/>
      <c r="AV30" s="3409"/>
      <c r="AW30" s="3409"/>
      <c r="AX30" s="3409"/>
      <c r="AY30" s="3409"/>
      <c r="AZ30" s="3409"/>
      <c r="BA30" s="3409"/>
      <c r="BB30" s="3409"/>
      <c r="BC30" s="3409"/>
      <c r="BD30" s="3409"/>
      <c r="BE30" s="3409"/>
      <c r="BF30" s="3409"/>
      <c r="BG30" s="3409"/>
      <c r="BH30" s="3409"/>
      <c r="BI30" s="3409"/>
      <c r="BJ30" s="3409"/>
      <c r="BK30" s="3409"/>
      <c r="BL30" s="3409"/>
      <c r="BM30" s="3391"/>
      <c r="BN30" s="3409"/>
      <c r="BO30" s="3409"/>
      <c r="BP30" s="3409"/>
      <c r="BQ30" s="3409"/>
      <c r="BR30" s="3409"/>
      <c r="BS30" s="3409"/>
      <c r="BT30" s="3409"/>
      <c r="BU30" s="3409"/>
    </row>
    <row r="31" spans="1:73" s="70" customFormat="1" ht="76.5" customHeight="1" x14ac:dyDescent="0.25">
      <c r="A31" s="2836"/>
      <c r="B31" s="2837"/>
      <c r="C31" s="1161"/>
      <c r="D31" s="1162"/>
      <c r="E31" s="1365"/>
      <c r="F31" s="1365"/>
      <c r="G31" s="3408">
        <v>2301042</v>
      </c>
      <c r="H31" s="2701" t="s">
        <v>1774</v>
      </c>
      <c r="I31" s="3408">
        <v>2301042</v>
      </c>
      <c r="J31" s="2701" t="s">
        <v>1774</v>
      </c>
      <c r="K31" s="3408">
        <v>230104201</v>
      </c>
      <c r="L31" s="2701" t="s">
        <v>1775</v>
      </c>
      <c r="M31" s="3408">
        <v>230104201</v>
      </c>
      <c r="N31" s="2701" t="s">
        <v>1775</v>
      </c>
      <c r="O31" s="4080">
        <v>1</v>
      </c>
      <c r="P31" s="4080">
        <v>0</v>
      </c>
      <c r="Q31" s="4444"/>
      <c r="R31" s="2702"/>
      <c r="S31" s="3474">
        <f>SUM(X31:X33)/T25</f>
        <v>5.1644000688586676E-2</v>
      </c>
      <c r="T31" s="4440"/>
      <c r="U31" s="2702"/>
      <c r="V31" s="2701" t="s">
        <v>1776</v>
      </c>
      <c r="W31" s="1142" t="s">
        <v>1777</v>
      </c>
      <c r="X31" s="1363">
        <v>12000000</v>
      </c>
      <c r="Y31" s="1364"/>
      <c r="Z31" s="1364"/>
      <c r="AA31" s="1192" t="s">
        <v>1778</v>
      </c>
      <c r="AB31" s="1190">
        <v>20</v>
      </c>
      <c r="AC31" s="1179" t="s">
        <v>86</v>
      </c>
      <c r="AD31" s="3409"/>
      <c r="AE31" s="3409"/>
      <c r="AF31" s="3409"/>
      <c r="AG31" s="3409"/>
      <c r="AH31" s="3409"/>
      <c r="AI31" s="3409"/>
      <c r="AJ31" s="3409"/>
      <c r="AK31" s="3409"/>
      <c r="AL31" s="3409"/>
      <c r="AM31" s="3409"/>
      <c r="AN31" s="3409"/>
      <c r="AO31" s="3409"/>
      <c r="AP31" s="3409"/>
      <c r="AQ31" s="3409"/>
      <c r="AR31" s="3409"/>
      <c r="AS31" s="3409"/>
      <c r="AT31" s="3409"/>
      <c r="AU31" s="3409"/>
      <c r="AV31" s="3409"/>
      <c r="AW31" s="3409"/>
      <c r="AX31" s="3409"/>
      <c r="AY31" s="3409"/>
      <c r="AZ31" s="3409"/>
      <c r="BA31" s="3409"/>
      <c r="BB31" s="3409"/>
      <c r="BC31" s="3409"/>
      <c r="BD31" s="3409"/>
      <c r="BE31" s="3409"/>
      <c r="BF31" s="3409"/>
      <c r="BG31" s="3409"/>
      <c r="BH31" s="3409"/>
      <c r="BI31" s="3409"/>
      <c r="BJ31" s="3409"/>
      <c r="BK31" s="3409"/>
      <c r="BL31" s="3409"/>
      <c r="BM31" s="3391"/>
      <c r="BN31" s="3409"/>
      <c r="BO31" s="3409"/>
      <c r="BP31" s="3409"/>
      <c r="BQ31" s="3409"/>
      <c r="BR31" s="3409"/>
      <c r="BS31" s="3409"/>
      <c r="BT31" s="3409"/>
      <c r="BU31" s="3409"/>
    </row>
    <row r="32" spans="1:73" s="70" customFormat="1" ht="76.5" customHeight="1" x14ac:dyDescent="0.25">
      <c r="A32" s="2836"/>
      <c r="B32" s="2837"/>
      <c r="C32" s="1161"/>
      <c r="D32" s="1162"/>
      <c r="E32" s="1365"/>
      <c r="F32" s="1365"/>
      <c r="G32" s="3409"/>
      <c r="H32" s="2702"/>
      <c r="I32" s="3409"/>
      <c r="J32" s="2702"/>
      <c r="K32" s="3409"/>
      <c r="L32" s="2702"/>
      <c r="M32" s="3409"/>
      <c r="N32" s="2702"/>
      <c r="O32" s="4080"/>
      <c r="P32" s="4080"/>
      <c r="Q32" s="4444"/>
      <c r="R32" s="2702"/>
      <c r="S32" s="2463"/>
      <c r="T32" s="4440"/>
      <c r="U32" s="2702"/>
      <c r="V32" s="2702"/>
      <c r="W32" s="2478" t="s">
        <v>1779</v>
      </c>
      <c r="X32" s="1363">
        <v>1500000</v>
      </c>
      <c r="Y32" s="1364"/>
      <c r="Z32" s="1364"/>
      <c r="AA32" s="1192" t="s">
        <v>1778</v>
      </c>
      <c r="AB32" s="1190">
        <v>20</v>
      </c>
      <c r="AC32" s="1179" t="s">
        <v>86</v>
      </c>
      <c r="AD32" s="3409"/>
      <c r="AE32" s="3409"/>
      <c r="AF32" s="3409"/>
      <c r="AG32" s="3409"/>
      <c r="AH32" s="3409"/>
      <c r="AI32" s="3409"/>
      <c r="AJ32" s="3409"/>
      <c r="AK32" s="3409"/>
      <c r="AL32" s="3409"/>
      <c r="AM32" s="3409"/>
      <c r="AN32" s="3409"/>
      <c r="AO32" s="3409"/>
      <c r="AP32" s="3409"/>
      <c r="AQ32" s="3409"/>
      <c r="AR32" s="3409"/>
      <c r="AS32" s="3409"/>
      <c r="AT32" s="3409"/>
      <c r="AU32" s="3409"/>
      <c r="AV32" s="3409"/>
      <c r="AW32" s="3409"/>
      <c r="AX32" s="3409"/>
      <c r="AY32" s="3409"/>
      <c r="AZ32" s="3409"/>
      <c r="BA32" s="3409"/>
      <c r="BB32" s="3409"/>
      <c r="BC32" s="3409"/>
      <c r="BD32" s="3409"/>
      <c r="BE32" s="3409"/>
      <c r="BF32" s="3409"/>
      <c r="BG32" s="3409"/>
      <c r="BH32" s="3409"/>
      <c r="BI32" s="3409"/>
      <c r="BJ32" s="3409"/>
      <c r="BK32" s="3409"/>
      <c r="BL32" s="3409"/>
      <c r="BM32" s="3391"/>
      <c r="BN32" s="3409"/>
      <c r="BO32" s="3409"/>
      <c r="BP32" s="3409"/>
      <c r="BQ32" s="3409"/>
      <c r="BR32" s="3409"/>
      <c r="BS32" s="3409"/>
      <c r="BT32" s="3409"/>
      <c r="BU32" s="3409"/>
    </row>
    <row r="33" spans="1:93" s="70" customFormat="1" ht="81" customHeight="1" x14ac:dyDescent="0.25">
      <c r="A33" s="2836"/>
      <c r="B33" s="2837"/>
      <c r="C33" s="1161"/>
      <c r="D33" s="1162"/>
      <c r="E33" s="1365"/>
      <c r="F33" s="1365"/>
      <c r="G33" s="3601"/>
      <c r="H33" s="2703"/>
      <c r="I33" s="3601"/>
      <c r="J33" s="2703"/>
      <c r="K33" s="3601"/>
      <c r="L33" s="2703"/>
      <c r="M33" s="3601"/>
      <c r="N33" s="2703"/>
      <c r="O33" s="4448"/>
      <c r="P33" s="4448"/>
      <c r="Q33" s="3641"/>
      <c r="R33" s="2703"/>
      <c r="S33" s="2464"/>
      <c r="T33" s="4445"/>
      <c r="U33" s="2703"/>
      <c r="V33" s="2703"/>
      <c r="W33" s="2479"/>
      <c r="X33" s="1363">
        <v>4500000</v>
      </c>
      <c r="Y33" s="1364"/>
      <c r="Z33" s="1364"/>
      <c r="AA33" s="1192" t="s">
        <v>1780</v>
      </c>
      <c r="AB33" s="1190">
        <v>20</v>
      </c>
      <c r="AC33" s="1179" t="s">
        <v>86</v>
      </c>
      <c r="AD33" s="3601"/>
      <c r="AE33" s="3601"/>
      <c r="AF33" s="3601"/>
      <c r="AG33" s="3601"/>
      <c r="AH33" s="3601"/>
      <c r="AI33" s="3601"/>
      <c r="AJ33" s="3601"/>
      <c r="AK33" s="3601"/>
      <c r="AL33" s="3601"/>
      <c r="AM33" s="3601"/>
      <c r="AN33" s="3601"/>
      <c r="AO33" s="3601"/>
      <c r="AP33" s="3601"/>
      <c r="AQ33" s="3601"/>
      <c r="AR33" s="3601"/>
      <c r="AS33" s="3601"/>
      <c r="AT33" s="3601"/>
      <c r="AU33" s="3601"/>
      <c r="AV33" s="3601"/>
      <c r="AW33" s="3601"/>
      <c r="AX33" s="3601"/>
      <c r="AY33" s="3601"/>
      <c r="AZ33" s="3601"/>
      <c r="BA33" s="3601"/>
      <c r="BB33" s="3601"/>
      <c r="BC33" s="3601"/>
      <c r="BD33" s="3601"/>
      <c r="BE33" s="3601"/>
      <c r="BF33" s="3601"/>
      <c r="BG33" s="3601"/>
      <c r="BH33" s="3601"/>
      <c r="BI33" s="3601"/>
      <c r="BJ33" s="3601"/>
      <c r="BK33" s="3601"/>
      <c r="BL33" s="3601"/>
      <c r="BM33" s="4447"/>
      <c r="BN33" s="3601"/>
      <c r="BO33" s="3601"/>
      <c r="BP33" s="3601"/>
      <c r="BQ33" s="3409"/>
      <c r="BR33" s="3409"/>
      <c r="BS33" s="3409"/>
      <c r="BT33" s="3409"/>
      <c r="BU33" s="3409"/>
    </row>
    <row r="34" spans="1:93" s="2" customFormat="1" ht="30" customHeight="1" x14ac:dyDescent="0.25">
      <c r="A34" s="1161"/>
      <c r="B34" s="1162"/>
      <c r="C34" s="1161"/>
      <c r="D34" s="1162"/>
      <c r="E34" s="211">
        <v>2302</v>
      </c>
      <c r="F34" s="4450" t="s">
        <v>1781</v>
      </c>
      <c r="G34" s="4451"/>
      <c r="H34" s="4451"/>
      <c r="I34" s="4451"/>
      <c r="J34" s="4451"/>
      <c r="K34" s="4452"/>
      <c r="L34" s="4452"/>
      <c r="M34" s="4452"/>
      <c r="N34" s="4452"/>
      <c r="O34" s="4451"/>
      <c r="P34" s="4451"/>
      <c r="Q34" s="4451"/>
      <c r="R34" s="4452"/>
      <c r="S34" s="4452"/>
      <c r="T34" s="4452"/>
      <c r="U34" s="4452"/>
      <c r="V34" s="1372"/>
      <c r="W34" s="1372"/>
      <c r="X34" s="1373"/>
      <c r="Y34" s="1374"/>
      <c r="Z34" s="1374"/>
      <c r="AA34" s="1107"/>
      <c r="AB34" s="1375"/>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39"/>
      <c r="BB34" s="639"/>
      <c r="BC34" s="639"/>
      <c r="BD34" s="639"/>
      <c r="BE34" s="639"/>
      <c r="BF34" s="639"/>
      <c r="BG34" s="639"/>
      <c r="BH34" s="639"/>
      <c r="BI34" s="639"/>
      <c r="BJ34" s="639"/>
      <c r="BK34" s="639"/>
      <c r="BL34" s="639"/>
      <c r="BM34" s="639"/>
      <c r="BN34" s="639"/>
      <c r="BO34" s="639"/>
      <c r="BP34" s="639"/>
      <c r="BQ34" s="642"/>
      <c r="BR34" s="642"/>
      <c r="BS34" s="642"/>
      <c r="BT34" s="642"/>
      <c r="BU34" s="643"/>
    </row>
    <row r="35" spans="1:93" ht="153" customHeight="1" x14ac:dyDescent="0.25">
      <c r="A35" s="1187"/>
      <c r="B35" s="1132"/>
      <c r="C35" s="1154"/>
      <c r="D35" s="1376"/>
      <c r="E35" s="2483"/>
      <c r="F35" s="2483"/>
      <c r="G35" s="1377">
        <v>2302022</v>
      </c>
      <c r="H35" s="1378" t="s">
        <v>1782</v>
      </c>
      <c r="I35" s="1145">
        <v>2302022</v>
      </c>
      <c r="J35" s="1378" t="s">
        <v>1782</v>
      </c>
      <c r="K35" s="1130">
        <v>230202200</v>
      </c>
      <c r="L35" s="1128" t="s">
        <v>1783</v>
      </c>
      <c r="M35" s="1130">
        <v>230202200</v>
      </c>
      <c r="N35" s="1137" t="s">
        <v>1783</v>
      </c>
      <c r="O35" s="1138">
        <v>20</v>
      </c>
      <c r="P35" s="1138">
        <v>0</v>
      </c>
      <c r="Q35" s="4453">
        <v>2020003630039</v>
      </c>
      <c r="R35" s="4455" t="s">
        <v>1784</v>
      </c>
      <c r="S35" s="1175">
        <f>SUM(X35)/T35</f>
        <v>0.24657534246575341</v>
      </c>
      <c r="T35" s="4458">
        <f>SUM(X35:X40)</f>
        <v>146000000</v>
      </c>
      <c r="U35" s="2285" t="s">
        <v>1785</v>
      </c>
      <c r="V35" s="1127" t="s">
        <v>1786</v>
      </c>
      <c r="W35" s="1140" t="s">
        <v>1787</v>
      </c>
      <c r="X35" s="1363">
        <v>36000000</v>
      </c>
      <c r="Y35" s="1364"/>
      <c r="Z35" s="1364"/>
      <c r="AA35" s="1192" t="s">
        <v>1788</v>
      </c>
      <c r="AB35" s="660">
        <v>20</v>
      </c>
      <c r="AC35" s="1180" t="s">
        <v>86</v>
      </c>
      <c r="AD35" s="2296">
        <v>295972</v>
      </c>
      <c r="AE35" s="2296">
        <v>295972</v>
      </c>
      <c r="AF35" s="2296">
        <v>294321</v>
      </c>
      <c r="AG35" s="2296">
        <v>294321</v>
      </c>
      <c r="AH35" s="2296">
        <v>132302</v>
      </c>
      <c r="AI35" s="2296">
        <v>132302</v>
      </c>
      <c r="AJ35" s="2296">
        <v>43426</v>
      </c>
      <c r="AK35" s="2296">
        <v>43426</v>
      </c>
      <c r="AL35" s="2296">
        <v>313940</v>
      </c>
      <c r="AM35" s="2296">
        <v>313940</v>
      </c>
      <c r="AN35" s="2296">
        <v>100625</v>
      </c>
      <c r="AO35" s="2296">
        <v>100625</v>
      </c>
      <c r="AP35" s="2296">
        <v>2145</v>
      </c>
      <c r="AQ35" s="2296">
        <v>2145</v>
      </c>
      <c r="AR35" s="2296">
        <v>12718</v>
      </c>
      <c r="AS35" s="2296">
        <v>12718</v>
      </c>
      <c r="AT35" s="2296">
        <v>36</v>
      </c>
      <c r="AU35" s="2296">
        <v>36</v>
      </c>
      <c r="AV35" s="2296">
        <v>0</v>
      </c>
      <c r="AW35" s="2296">
        <v>0</v>
      </c>
      <c r="AX35" s="2296">
        <v>0</v>
      </c>
      <c r="AY35" s="2296">
        <v>0</v>
      </c>
      <c r="AZ35" s="2296">
        <v>0</v>
      </c>
      <c r="BA35" s="2296">
        <v>0</v>
      </c>
      <c r="BB35" s="2296">
        <v>70</v>
      </c>
      <c r="BC35" s="2296">
        <v>70</v>
      </c>
      <c r="BD35" s="2296">
        <v>21944</v>
      </c>
      <c r="BE35" s="2296">
        <v>21944</v>
      </c>
      <c r="BF35" s="2296">
        <v>285</v>
      </c>
      <c r="BG35" s="2296">
        <v>285</v>
      </c>
      <c r="BH35" s="2296">
        <v>590293</v>
      </c>
      <c r="BI35" s="2296">
        <f>+AE35+AG35</f>
        <v>590293</v>
      </c>
      <c r="BJ35" s="2296">
        <v>6</v>
      </c>
      <c r="BK35" s="4464">
        <f>SUM(Y35:Y40)</f>
        <v>78430334</v>
      </c>
      <c r="BL35" s="4464">
        <f>SUM(Z35:Z40)</f>
        <v>41965000</v>
      </c>
      <c r="BM35" s="4465">
        <f>BL35/BK35</f>
        <v>0.5350608350080468</v>
      </c>
      <c r="BN35" s="2296">
        <v>20</v>
      </c>
      <c r="BO35" s="2296" t="s">
        <v>187</v>
      </c>
      <c r="BP35" s="2296" t="s">
        <v>1756</v>
      </c>
      <c r="BQ35" s="2717">
        <v>44197</v>
      </c>
      <c r="BR35" s="2717">
        <v>44256</v>
      </c>
      <c r="BS35" s="2717">
        <v>44561</v>
      </c>
      <c r="BT35" s="2717">
        <v>44453</v>
      </c>
      <c r="BU35" s="2296" t="s">
        <v>1720</v>
      </c>
    </row>
    <row r="36" spans="1:93" ht="153" customHeight="1" x14ac:dyDescent="0.25">
      <c r="A36" s="1187"/>
      <c r="B36" s="1132"/>
      <c r="C36" s="1154"/>
      <c r="D36" s="1165"/>
      <c r="E36" s="2483"/>
      <c r="F36" s="2483"/>
      <c r="G36" s="2470">
        <v>2302042</v>
      </c>
      <c r="H36" s="3150" t="s">
        <v>1789</v>
      </c>
      <c r="I36" s="2274">
        <v>2302042</v>
      </c>
      <c r="J36" s="3150" t="s">
        <v>1789</v>
      </c>
      <c r="K36" s="3256">
        <v>230204200</v>
      </c>
      <c r="L36" s="3150" t="s">
        <v>1790</v>
      </c>
      <c r="M36" s="3256">
        <v>230204200</v>
      </c>
      <c r="N36" s="3154" t="s">
        <v>1790</v>
      </c>
      <c r="O36" s="4461">
        <v>1</v>
      </c>
      <c r="P36" s="4461">
        <v>0</v>
      </c>
      <c r="Q36" s="4454"/>
      <c r="R36" s="4456"/>
      <c r="S36" s="3435">
        <f>SUM(X36,X37)/T35</f>
        <v>0.13698630136986301</v>
      </c>
      <c r="T36" s="4459"/>
      <c r="U36" s="2285"/>
      <c r="V36" s="2295" t="s">
        <v>1791</v>
      </c>
      <c r="W36" s="1142" t="s">
        <v>1792</v>
      </c>
      <c r="X36" s="1382">
        <f>20000000-2000000</f>
        <v>18000000</v>
      </c>
      <c r="Y36" s="1364"/>
      <c r="Z36" s="1364"/>
      <c r="AA36" s="433" t="s">
        <v>1793</v>
      </c>
      <c r="AB36" s="1190">
        <v>20</v>
      </c>
      <c r="AC36" s="1179" t="s">
        <v>86</v>
      </c>
      <c r="AD36" s="2296"/>
      <c r="AE36" s="2296"/>
      <c r="AF36" s="2296"/>
      <c r="AG36" s="2296"/>
      <c r="AH36" s="2296"/>
      <c r="AI36" s="2296"/>
      <c r="AJ36" s="2296"/>
      <c r="AK36" s="2296"/>
      <c r="AL36" s="2296"/>
      <c r="AM36" s="2296"/>
      <c r="AN36" s="2296"/>
      <c r="AO36" s="2296"/>
      <c r="AP36" s="2296"/>
      <c r="AQ36" s="2296"/>
      <c r="AR36" s="2296"/>
      <c r="AS36" s="2296"/>
      <c r="AT36" s="2296"/>
      <c r="AU36" s="2296"/>
      <c r="AV36" s="2296"/>
      <c r="AW36" s="2296"/>
      <c r="AX36" s="2296"/>
      <c r="AY36" s="2296"/>
      <c r="AZ36" s="2296"/>
      <c r="BA36" s="2296"/>
      <c r="BB36" s="2296"/>
      <c r="BC36" s="2296"/>
      <c r="BD36" s="2296"/>
      <c r="BE36" s="2296"/>
      <c r="BF36" s="2296"/>
      <c r="BG36" s="2296"/>
      <c r="BH36" s="2296"/>
      <c r="BI36" s="2296"/>
      <c r="BJ36" s="2296"/>
      <c r="BK36" s="2296"/>
      <c r="BL36" s="2296"/>
      <c r="BM36" s="4465"/>
      <c r="BN36" s="2296"/>
      <c r="BO36" s="2296"/>
      <c r="BP36" s="2296"/>
      <c r="BQ36" s="2717"/>
      <c r="BR36" s="2717"/>
      <c r="BS36" s="2717"/>
      <c r="BT36" s="2717"/>
      <c r="BU36" s="2296"/>
    </row>
    <row r="37" spans="1:93" ht="102" customHeight="1" x14ac:dyDescent="0.25">
      <c r="A37" s="1187"/>
      <c r="B37" s="1132"/>
      <c r="C37" s="1154"/>
      <c r="D37" s="1165"/>
      <c r="E37" s="2483"/>
      <c r="F37" s="2483"/>
      <c r="G37" s="2470"/>
      <c r="H37" s="3150"/>
      <c r="I37" s="2274"/>
      <c r="J37" s="3150"/>
      <c r="K37" s="3256"/>
      <c r="L37" s="3150"/>
      <c r="M37" s="3256"/>
      <c r="N37" s="3154"/>
      <c r="O37" s="4462"/>
      <c r="P37" s="4462"/>
      <c r="Q37" s="4454"/>
      <c r="R37" s="4456"/>
      <c r="S37" s="3435"/>
      <c r="T37" s="4459"/>
      <c r="U37" s="2285"/>
      <c r="V37" s="4463"/>
      <c r="W37" s="1177" t="s">
        <v>1794</v>
      </c>
      <c r="X37" s="1383">
        <v>2000000</v>
      </c>
      <c r="Y37" s="1384"/>
      <c r="Z37" s="1384"/>
      <c r="AA37" s="1192" t="s">
        <v>1795</v>
      </c>
      <c r="AB37" s="1176">
        <v>20</v>
      </c>
      <c r="AC37" s="1178" t="s">
        <v>86</v>
      </c>
      <c r="AD37" s="4449"/>
      <c r="AE37" s="4449"/>
      <c r="AF37" s="4449"/>
      <c r="AG37" s="4449"/>
      <c r="AH37" s="4449"/>
      <c r="AI37" s="4449"/>
      <c r="AJ37" s="4449"/>
      <c r="AK37" s="4449"/>
      <c r="AL37" s="4449"/>
      <c r="AM37" s="4449"/>
      <c r="AN37" s="4449"/>
      <c r="AO37" s="4449"/>
      <c r="AP37" s="4449"/>
      <c r="AQ37" s="4449"/>
      <c r="AR37" s="4449"/>
      <c r="AS37" s="4449"/>
      <c r="AT37" s="4449"/>
      <c r="AU37" s="4449"/>
      <c r="AV37" s="4449"/>
      <c r="AW37" s="4449"/>
      <c r="AX37" s="4449"/>
      <c r="AY37" s="4449"/>
      <c r="AZ37" s="4449"/>
      <c r="BA37" s="4449"/>
      <c r="BB37" s="4449"/>
      <c r="BC37" s="4449"/>
      <c r="BD37" s="4449"/>
      <c r="BE37" s="4449"/>
      <c r="BF37" s="4449"/>
      <c r="BG37" s="4449"/>
      <c r="BH37" s="4449"/>
      <c r="BI37" s="4449"/>
      <c r="BJ37" s="4449"/>
      <c r="BK37" s="4449"/>
      <c r="BL37" s="4449"/>
      <c r="BM37" s="4466"/>
      <c r="BN37" s="4449"/>
      <c r="BO37" s="4449"/>
      <c r="BP37" s="4449"/>
      <c r="BQ37" s="2296"/>
      <c r="BR37" s="2296"/>
      <c r="BS37" s="2296"/>
      <c r="BT37" s="2296"/>
      <c r="BU37" s="2296"/>
    </row>
    <row r="38" spans="1:93" ht="108.75" customHeight="1" x14ac:dyDescent="0.25">
      <c r="A38" s="1187"/>
      <c r="B38" s="1132"/>
      <c r="C38" s="1154"/>
      <c r="D38" s="1165"/>
      <c r="E38" s="2483"/>
      <c r="F38" s="2483"/>
      <c r="G38" s="1193">
        <v>2302058</v>
      </c>
      <c r="H38" s="1152" t="s">
        <v>1796</v>
      </c>
      <c r="I38" s="1151">
        <v>2302058</v>
      </c>
      <c r="J38" s="1152" t="s">
        <v>1796</v>
      </c>
      <c r="K38" s="1385">
        <v>230205800</v>
      </c>
      <c r="L38" s="1152" t="s">
        <v>1797</v>
      </c>
      <c r="M38" s="1385">
        <v>230205800</v>
      </c>
      <c r="N38" s="1152" t="s">
        <v>1797</v>
      </c>
      <c r="O38" s="1169">
        <v>300</v>
      </c>
      <c r="P38" s="1169">
        <v>130</v>
      </c>
      <c r="Q38" s="4454"/>
      <c r="R38" s="4455"/>
      <c r="S38" s="1146">
        <f>X38/T35</f>
        <v>0.13698630136986301</v>
      </c>
      <c r="T38" s="4458"/>
      <c r="U38" s="2285"/>
      <c r="V38" s="1127" t="s">
        <v>1798</v>
      </c>
      <c r="W38" s="1143" t="s">
        <v>1799</v>
      </c>
      <c r="X38" s="1386">
        <v>20000000</v>
      </c>
      <c r="Y38" s="1364">
        <v>17310000</v>
      </c>
      <c r="Z38" s="1364">
        <v>5770000</v>
      </c>
      <c r="AA38" s="1192" t="s">
        <v>1800</v>
      </c>
      <c r="AB38" s="1176">
        <v>20</v>
      </c>
      <c r="AC38" s="1178" t="s">
        <v>86</v>
      </c>
      <c r="AD38" s="4449"/>
      <c r="AE38" s="4449"/>
      <c r="AF38" s="4449"/>
      <c r="AG38" s="4449"/>
      <c r="AH38" s="4449"/>
      <c r="AI38" s="4449"/>
      <c r="AJ38" s="4449"/>
      <c r="AK38" s="4449"/>
      <c r="AL38" s="4449"/>
      <c r="AM38" s="4449"/>
      <c r="AN38" s="4449"/>
      <c r="AO38" s="4449"/>
      <c r="AP38" s="4449"/>
      <c r="AQ38" s="4449"/>
      <c r="AR38" s="4449"/>
      <c r="AS38" s="4449"/>
      <c r="AT38" s="4449"/>
      <c r="AU38" s="4449"/>
      <c r="AV38" s="4449"/>
      <c r="AW38" s="4449"/>
      <c r="AX38" s="4449"/>
      <c r="AY38" s="4449"/>
      <c r="AZ38" s="4449"/>
      <c r="BA38" s="4449"/>
      <c r="BB38" s="4449"/>
      <c r="BC38" s="4449"/>
      <c r="BD38" s="4449"/>
      <c r="BE38" s="4449"/>
      <c r="BF38" s="4449"/>
      <c r="BG38" s="4449"/>
      <c r="BH38" s="4449"/>
      <c r="BI38" s="4449"/>
      <c r="BJ38" s="4449"/>
      <c r="BK38" s="4449"/>
      <c r="BL38" s="4449"/>
      <c r="BM38" s="4466"/>
      <c r="BN38" s="4449"/>
      <c r="BO38" s="4449"/>
      <c r="BP38" s="4449"/>
      <c r="BQ38" s="2296"/>
      <c r="BR38" s="2296"/>
      <c r="BS38" s="2296"/>
      <c r="BT38" s="2296"/>
      <c r="BU38" s="2296"/>
    </row>
    <row r="39" spans="1:93" ht="102.6" customHeight="1" x14ac:dyDescent="0.25">
      <c r="A39" s="1187"/>
      <c r="B39" s="1132"/>
      <c r="C39" s="1154"/>
      <c r="D39" s="1165"/>
      <c r="E39" s="2483"/>
      <c r="F39" s="2483"/>
      <c r="G39" s="1147">
        <v>2302021</v>
      </c>
      <c r="H39" s="1134" t="s">
        <v>1801</v>
      </c>
      <c r="I39" s="1126">
        <v>2302021</v>
      </c>
      <c r="J39" s="1134" t="s">
        <v>1801</v>
      </c>
      <c r="K39" s="1173">
        <v>230202100</v>
      </c>
      <c r="L39" s="1134" t="s">
        <v>1802</v>
      </c>
      <c r="M39" s="1173">
        <v>230202100</v>
      </c>
      <c r="N39" s="1134" t="s">
        <v>1802</v>
      </c>
      <c r="O39" s="1387">
        <v>8</v>
      </c>
      <c r="P39" s="1387">
        <v>8</v>
      </c>
      <c r="Q39" s="4454"/>
      <c r="R39" s="4455"/>
      <c r="S39" s="1186">
        <f>X39/T35</f>
        <v>0.34246575342465752</v>
      </c>
      <c r="T39" s="4458"/>
      <c r="U39" s="2285"/>
      <c r="V39" s="1127" t="s">
        <v>1803</v>
      </c>
      <c r="W39" s="1140" t="s">
        <v>1804</v>
      </c>
      <c r="X39" s="1363">
        <v>50000000</v>
      </c>
      <c r="Y39" s="1364">
        <v>41310000</v>
      </c>
      <c r="Z39" s="1364">
        <v>18885000</v>
      </c>
      <c r="AA39" s="1388" t="s">
        <v>1805</v>
      </c>
      <c r="AB39" s="1191">
        <v>20</v>
      </c>
      <c r="AC39" s="1185" t="s">
        <v>86</v>
      </c>
      <c r="AD39" s="2296"/>
      <c r="AE39" s="2296"/>
      <c r="AF39" s="2296"/>
      <c r="AG39" s="2296"/>
      <c r="AH39" s="2296"/>
      <c r="AI39" s="2296"/>
      <c r="AJ39" s="2296"/>
      <c r="AK39" s="2296"/>
      <c r="AL39" s="2296"/>
      <c r="AM39" s="2296"/>
      <c r="AN39" s="2296"/>
      <c r="AO39" s="2296"/>
      <c r="AP39" s="2296"/>
      <c r="AQ39" s="2296"/>
      <c r="AR39" s="2296"/>
      <c r="AS39" s="2296"/>
      <c r="AT39" s="2296"/>
      <c r="AU39" s="2296"/>
      <c r="AV39" s="2296"/>
      <c r="AW39" s="2296"/>
      <c r="AX39" s="2296"/>
      <c r="AY39" s="2296"/>
      <c r="AZ39" s="2296"/>
      <c r="BA39" s="2296"/>
      <c r="BB39" s="2296"/>
      <c r="BC39" s="2296"/>
      <c r="BD39" s="2296"/>
      <c r="BE39" s="2296"/>
      <c r="BF39" s="2296"/>
      <c r="BG39" s="2296"/>
      <c r="BH39" s="2296"/>
      <c r="BI39" s="2296"/>
      <c r="BJ39" s="2296"/>
      <c r="BK39" s="2296"/>
      <c r="BL39" s="2296"/>
      <c r="BM39" s="4465"/>
      <c r="BN39" s="2296"/>
      <c r="BO39" s="2296"/>
      <c r="BP39" s="2296"/>
      <c r="BQ39" s="2296"/>
      <c r="BR39" s="2296"/>
      <c r="BS39" s="2296"/>
      <c r="BT39" s="2296"/>
      <c r="BU39" s="2296"/>
    </row>
    <row r="40" spans="1:93" ht="81" customHeight="1" x14ac:dyDescent="0.25">
      <c r="A40" s="1188"/>
      <c r="B40" s="1164"/>
      <c r="C40" s="1155"/>
      <c r="D40" s="1389"/>
      <c r="E40" s="2483"/>
      <c r="F40" s="2483"/>
      <c r="G40" s="1390">
        <v>2302068</v>
      </c>
      <c r="H40" s="1391" t="s">
        <v>1806</v>
      </c>
      <c r="I40" s="1392">
        <v>2302068</v>
      </c>
      <c r="J40" s="1391" t="s">
        <v>1806</v>
      </c>
      <c r="K40" s="1393">
        <v>230206800</v>
      </c>
      <c r="L40" s="1135" t="s">
        <v>1807</v>
      </c>
      <c r="M40" s="1393">
        <v>230206800</v>
      </c>
      <c r="N40" s="1135" t="s">
        <v>1807</v>
      </c>
      <c r="O40" s="1166">
        <v>60</v>
      </c>
      <c r="P40" s="1129">
        <v>60</v>
      </c>
      <c r="Q40" s="4453"/>
      <c r="R40" s="4457"/>
      <c r="S40" s="1175">
        <f>X40/T35</f>
        <v>0.13698630136986301</v>
      </c>
      <c r="T40" s="4460"/>
      <c r="U40" s="2295"/>
      <c r="V40" s="1128" t="s">
        <v>1808</v>
      </c>
      <c r="W40" s="1142" t="s">
        <v>1809</v>
      </c>
      <c r="X40" s="1382">
        <v>20000000</v>
      </c>
      <c r="Y40" s="1364">
        <v>19810334</v>
      </c>
      <c r="Z40" s="1364">
        <v>17310000</v>
      </c>
      <c r="AA40" s="1192" t="s">
        <v>1810</v>
      </c>
      <c r="AB40" s="1190">
        <v>20</v>
      </c>
      <c r="AC40" s="1179" t="s">
        <v>86</v>
      </c>
      <c r="AD40" s="2297"/>
      <c r="AE40" s="2297"/>
      <c r="AF40" s="2297"/>
      <c r="AG40" s="2297"/>
      <c r="AH40" s="2297"/>
      <c r="AI40" s="2297"/>
      <c r="AJ40" s="2297"/>
      <c r="AK40" s="2297"/>
      <c r="AL40" s="2297"/>
      <c r="AM40" s="2297"/>
      <c r="AN40" s="2297"/>
      <c r="AO40" s="2297"/>
      <c r="AP40" s="2297"/>
      <c r="AQ40" s="2297"/>
      <c r="AR40" s="2297"/>
      <c r="AS40" s="2297"/>
      <c r="AT40" s="2297"/>
      <c r="AU40" s="2297"/>
      <c r="AV40" s="2297"/>
      <c r="AW40" s="2297"/>
      <c r="AX40" s="2297"/>
      <c r="AY40" s="2297"/>
      <c r="AZ40" s="2297"/>
      <c r="BA40" s="2297"/>
      <c r="BB40" s="2297"/>
      <c r="BC40" s="2297"/>
      <c r="BD40" s="2297"/>
      <c r="BE40" s="2297"/>
      <c r="BF40" s="2297"/>
      <c r="BG40" s="2297"/>
      <c r="BH40" s="2297"/>
      <c r="BI40" s="2297"/>
      <c r="BJ40" s="2297"/>
      <c r="BK40" s="2297"/>
      <c r="BL40" s="2297"/>
      <c r="BM40" s="4467"/>
      <c r="BN40" s="2297"/>
      <c r="BO40" s="2297"/>
      <c r="BP40" s="2297"/>
      <c r="BQ40" s="2297"/>
      <c r="BR40" s="2297"/>
      <c r="BS40" s="2297"/>
      <c r="BT40" s="2297"/>
      <c r="BU40" s="2297"/>
    </row>
    <row r="41" spans="1:93" ht="27" customHeight="1" x14ac:dyDescent="0.25">
      <c r="A41" s="1356">
        <v>4</v>
      </c>
      <c r="B41" s="4431" t="s">
        <v>1811</v>
      </c>
      <c r="C41" s="3373"/>
      <c r="D41" s="3373"/>
      <c r="E41" s="3373"/>
      <c r="F41" s="3373"/>
      <c r="G41" s="3373"/>
      <c r="H41" s="1357"/>
      <c r="I41" s="21"/>
      <c r="J41" s="1357"/>
      <c r="K41" s="377"/>
      <c r="L41" s="1394"/>
      <c r="M41" s="377"/>
      <c r="N41" s="1394"/>
      <c r="O41" s="377"/>
      <c r="P41" s="19"/>
      <c r="Q41" s="19"/>
      <c r="R41" s="1394"/>
      <c r="S41" s="629"/>
      <c r="T41" s="379"/>
      <c r="U41" s="1394"/>
      <c r="V41" s="1394"/>
      <c r="W41" s="1394"/>
      <c r="X41" s="1395"/>
      <c r="Y41" s="1396"/>
      <c r="Z41" s="1396"/>
      <c r="AA41" s="19"/>
      <c r="AB41" s="381"/>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703"/>
      <c r="BR41" s="703"/>
      <c r="BS41" s="703"/>
      <c r="BT41" s="703"/>
      <c r="BU41" s="704"/>
      <c r="BV41" s="2"/>
      <c r="BW41" s="2"/>
      <c r="BX41" s="2"/>
      <c r="BY41" s="2"/>
      <c r="BZ41" s="2"/>
      <c r="CA41" s="2"/>
      <c r="CB41" s="2"/>
      <c r="CC41" s="2"/>
      <c r="CD41" s="2"/>
      <c r="CE41" s="2"/>
      <c r="CF41" s="2"/>
      <c r="CG41" s="2"/>
      <c r="CH41" s="2"/>
      <c r="CI41" s="2"/>
      <c r="CJ41" s="2"/>
      <c r="CK41" s="2"/>
      <c r="CL41" s="2"/>
      <c r="CM41" s="2"/>
      <c r="CN41" s="2"/>
      <c r="CO41" s="2"/>
    </row>
    <row r="42" spans="1:93" s="70" customFormat="1" ht="27" customHeight="1" x14ac:dyDescent="0.25">
      <c r="A42" s="1359"/>
      <c r="B42" s="1163"/>
      <c r="C42" s="31">
        <v>23</v>
      </c>
      <c r="D42" s="2323" t="s">
        <v>1709</v>
      </c>
      <c r="E42" s="3198"/>
      <c r="F42" s="3198"/>
      <c r="G42" s="3198"/>
      <c r="H42" s="3198"/>
      <c r="I42" s="34"/>
      <c r="J42" s="1397"/>
      <c r="K42" s="33"/>
      <c r="L42" s="1397"/>
      <c r="M42" s="33"/>
      <c r="N42" s="1397"/>
      <c r="O42" s="33"/>
      <c r="P42" s="33"/>
      <c r="Q42" s="33"/>
      <c r="R42" s="1397"/>
      <c r="S42" s="1398"/>
      <c r="T42" s="37"/>
      <c r="U42" s="1361"/>
      <c r="V42" s="1361"/>
      <c r="W42" s="1361"/>
      <c r="X42" s="1399"/>
      <c r="Y42" s="1400"/>
      <c r="Z42" s="1400"/>
      <c r="AA42" s="632"/>
      <c r="AB42" s="631"/>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2"/>
      <c r="BD42" s="632"/>
      <c r="BE42" s="632"/>
      <c r="BF42" s="632"/>
      <c r="BG42" s="632"/>
      <c r="BH42" s="632"/>
      <c r="BI42" s="632"/>
      <c r="BJ42" s="632"/>
      <c r="BK42" s="632"/>
      <c r="BL42" s="632"/>
      <c r="BM42" s="632"/>
      <c r="BN42" s="632"/>
      <c r="BO42" s="632"/>
      <c r="BP42" s="632"/>
      <c r="BQ42" s="634"/>
      <c r="BR42" s="634"/>
      <c r="BS42" s="634"/>
      <c r="BT42" s="634"/>
      <c r="BU42" s="635"/>
    </row>
    <row r="43" spans="1:93" s="2" customFormat="1" ht="30" customHeight="1" x14ac:dyDescent="0.25">
      <c r="A43" s="1161"/>
      <c r="B43" s="1162"/>
      <c r="C43" s="1159"/>
      <c r="D43" s="1160"/>
      <c r="E43" s="88">
        <v>2302</v>
      </c>
      <c r="F43" s="4468" t="s">
        <v>1781</v>
      </c>
      <c r="G43" s="4469"/>
      <c r="H43" s="4469"/>
      <c r="I43" s="4469"/>
      <c r="J43" s="4469"/>
      <c r="K43" s="4469"/>
      <c r="L43" s="4469"/>
      <c r="M43" s="4469"/>
      <c r="N43" s="4469"/>
      <c r="O43" s="4469"/>
      <c r="P43" s="4469"/>
      <c r="Q43" s="4469"/>
      <c r="R43" s="4469"/>
      <c r="S43" s="4469"/>
      <c r="T43" s="4469"/>
      <c r="U43" s="1362"/>
      <c r="V43" s="1362"/>
      <c r="W43" s="1362"/>
      <c r="X43" s="1401"/>
      <c r="Y43" s="1374"/>
      <c r="Z43" s="1374"/>
      <c r="AA43" s="1107"/>
      <c r="AB43" s="1402"/>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42"/>
      <c r="BR43" s="642"/>
      <c r="BS43" s="642"/>
      <c r="BT43" s="642"/>
      <c r="BU43" s="643"/>
    </row>
    <row r="44" spans="1:93" s="541" customFormat="1" ht="57.75" customHeight="1" x14ac:dyDescent="0.25">
      <c r="A44" s="620"/>
      <c r="B44" s="1168"/>
      <c r="C44" s="1167"/>
      <c r="D44" s="1168"/>
      <c r="E44" s="2821"/>
      <c r="F44" s="2296"/>
      <c r="G44" s="4472">
        <v>2302003</v>
      </c>
      <c r="H44" s="3896" t="s">
        <v>1812</v>
      </c>
      <c r="I44" s="4472">
        <v>2302003</v>
      </c>
      <c r="J44" s="3896" t="s">
        <v>1812</v>
      </c>
      <c r="K44" s="2288">
        <v>230200300</v>
      </c>
      <c r="L44" s="3896" t="s">
        <v>1813</v>
      </c>
      <c r="M44" s="2288">
        <v>230200300</v>
      </c>
      <c r="N44" s="3896" t="s">
        <v>1813</v>
      </c>
      <c r="O44" s="2288">
        <v>2</v>
      </c>
      <c r="P44" s="2288">
        <v>0.5</v>
      </c>
      <c r="Q44" s="2392" t="s">
        <v>1814</v>
      </c>
      <c r="R44" s="2428" t="s">
        <v>1815</v>
      </c>
      <c r="S44" s="4474">
        <f>SUM(X44:X45)/T44</f>
        <v>0.40268456375838924</v>
      </c>
      <c r="T44" s="2709">
        <f>SUM(X44:X50)</f>
        <v>298000000</v>
      </c>
      <c r="U44" s="2428" t="s">
        <v>1816</v>
      </c>
      <c r="V44" s="3117" t="s">
        <v>1817</v>
      </c>
      <c r="W44" s="1140" t="s">
        <v>1818</v>
      </c>
      <c r="X44" s="1363">
        <v>50000000</v>
      </c>
      <c r="Y44" s="1364">
        <v>22673000</v>
      </c>
      <c r="Z44" s="1364">
        <v>11133000</v>
      </c>
      <c r="AA44" s="1192" t="s">
        <v>1819</v>
      </c>
      <c r="AB44" s="660">
        <v>20</v>
      </c>
      <c r="AC44" s="1180" t="s">
        <v>86</v>
      </c>
      <c r="AD44" s="2297">
        <v>295972</v>
      </c>
      <c r="AE44" s="2297">
        <v>295972</v>
      </c>
      <c r="AF44" s="2297">
        <v>294321</v>
      </c>
      <c r="AG44" s="2297">
        <v>294321</v>
      </c>
      <c r="AH44" s="2297">
        <v>132302</v>
      </c>
      <c r="AI44" s="2297">
        <v>132302</v>
      </c>
      <c r="AJ44" s="2297">
        <v>43426</v>
      </c>
      <c r="AK44" s="2297">
        <v>43426</v>
      </c>
      <c r="AL44" s="2297">
        <v>313940</v>
      </c>
      <c r="AM44" s="2297">
        <v>313940</v>
      </c>
      <c r="AN44" s="2297">
        <v>100625</v>
      </c>
      <c r="AO44" s="2297">
        <v>100625</v>
      </c>
      <c r="AP44" s="2297">
        <v>2145</v>
      </c>
      <c r="AQ44" s="2297">
        <v>2145</v>
      </c>
      <c r="AR44" s="2297">
        <v>12718</v>
      </c>
      <c r="AS44" s="2297">
        <v>12718</v>
      </c>
      <c r="AT44" s="2297">
        <v>36</v>
      </c>
      <c r="AU44" s="2297">
        <v>36</v>
      </c>
      <c r="AV44" s="2297">
        <v>0</v>
      </c>
      <c r="AW44" s="2297">
        <v>0</v>
      </c>
      <c r="AX44" s="2297">
        <v>0</v>
      </c>
      <c r="AY44" s="2297">
        <v>0</v>
      </c>
      <c r="AZ44" s="2297">
        <v>0</v>
      </c>
      <c r="BA44" s="2297">
        <v>0</v>
      </c>
      <c r="BB44" s="2297">
        <v>70</v>
      </c>
      <c r="BC44" s="2297">
        <v>70</v>
      </c>
      <c r="BD44" s="2297">
        <v>21944</v>
      </c>
      <c r="BE44" s="2297">
        <v>21944</v>
      </c>
      <c r="BF44" s="2297">
        <v>285</v>
      </c>
      <c r="BG44" s="2297">
        <v>285</v>
      </c>
      <c r="BH44" s="2297">
        <v>590293</v>
      </c>
      <c r="BI44" s="2297">
        <f>+AE44+AG44</f>
        <v>590293</v>
      </c>
      <c r="BJ44" s="2297">
        <v>8</v>
      </c>
      <c r="BK44" s="4476">
        <f>SUM(Y44:Y50)</f>
        <v>113780000</v>
      </c>
      <c r="BL44" s="4476">
        <f>SUM(Z44:Z50)</f>
        <v>63905000</v>
      </c>
      <c r="BM44" s="4467">
        <f>BL44/BK44</f>
        <v>0.56165406925645989</v>
      </c>
      <c r="BN44" s="2297">
        <v>20</v>
      </c>
      <c r="BO44" s="2297" t="s">
        <v>187</v>
      </c>
      <c r="BP44" s="2297" t="s">
        <v>1756</v>
      </c>
      <c r="BQ44" s="4481">
        <v>44197</v>
      </c>
      <c r="BR44" s="4481">
        <v>44235</v>
      </c>
      <c r="BS44" s="4481">
        <v>44561</v>
      </c>
      <c r="BT44" s="4481">
        <v>44426</v>
      </c>
      <c r="BU44" s="4481" t="s">
        <v>1720</v>
      </c>
    </row>
    <row r="45" spans="1:93" s="541" customFormat="1" ht="57.75" customHeight="1" x14ac:dyDescent="0.25">
      <c r="A45" s="620"/>
      <c r="B45" s="1168"/>
      <c r="C45" s="1167"/>
      <c r="D45" s="1168"/>
      <c r="E45" s="4449"/>
      <c r="F45" s="2296"/>
      <c r="G45" s="4473"/>
      <c r="H45" s="3129"/>
      <c r="I45" s="4473"/>
      <c r="J45" s="3129"/>
      <c r="K45" s="2273"/>
      <c r="L45" s="3129"/>
      <c r="M45" s="2273"/>
      <c r="N45" s="3129"/>
      <c r="O45" s="2273"/>
      <c r="P45" s="2273"/>
      <c r="Q45" s="2387"/>
      <c r="R45" s="2429"/>
      <c r="S45" s="4475"/>
      <c r="T45" s="2710"/>
      <c r="U45" s="2429"/>
      <c r="V45" s="3106"/>
      <c r="W45" s="1140" t="s">
        <v>1820</v>
      </c>
      <c r="X45" s="1363">
        <v>70000000</v>
      </c>
      <c r="Y45" s="1364"/>
      <c r="Z45" s="1364"/>
      <c r="AA45" s="1192" t="s">
        <v>1819</v>
      </c>
      <c r="AB45" s="660">
        <v>20</v>
      </c>
      <c r="AC45" s="1180" t="s">
        <v>86</v>
      </c>
      <c r="AD45" s="2448"/>
      <c r="AE45" s="2448"/>
      <c r="AF45" s="2448"/>
      <c r="AG45" s="2448"/>
      <c r="AH45" s="2448"/>
      <c r="AI45" s="2448"/>
      <c r="AJ45" s="2448"/>
      <c r="AK45" s="2448"/>
      <c r="AL45" s="2448"/>
      <c r="AM45" s="2448"/>
      <c r="AN45" s="2448"/>
      <c r="AO45" s="2448"/>
      <c r="AP45" s="2448"/>
      <c r="AQ45" s="2448"/>
      <c r="AR45" s="2448"/>
      <c r="AS45" s="2448"/>
      <c r="AT45" s="2448"/>
      <c r="AU45" s="2448"/>
      <c r="AV45" s="2448"/>
      <c r="AW45" s="2448"/>
      <c r="AX45" s="2448"/>
      <c r="AY45" s="2448"/>
      <c r="AZ45" s="2448"/>
      <c r="BA45" s="2448"/>
      <c r="BB45" s="2448"/>
      <c r="BC45" s="2448"/>
      <c r="BD45" s="2448"/>
      <c r="BE45" s="2448"/>
      <c r="BF45" s="2448"/>
      <c r="BG45" s="2448"/>
      <c r="BH45" s="2448"/>
      <c r="BI45" s="2448"/>
      <c r="BJ45" s="2448"/>
      <c r="BK45" s="2448"/>
      <c r="BL45" s="2448"/>
      <c r="BM45" s="4477"/>
      <c r="BN45" s="2448"/>
      <c r="BO45" s="2448"/>
      <c r="BP45" s="2448"/>
      <c r="BQ45" s="3488"/>
      <c r="BR45" s="3488"/>
      <c r="BS45" s="3488"/>
      <c r="BT45" s="3488"/>
      <c r="BU45" s="3488"/>
    </row>
    <row r="46" spans="1:93" s="541" customFormat="1" ht="79.5" customHeight="1" x14ac:dyDescent="0.25">
      <c r="A46" s="620"/>
      <c r="B46" s="1168"/>
      <c r="C46" s="1167"/>
      <c r="D46" s="1168"/>
      <c r="E46" s="4449"/>
      <c r="F46" s="2296"/>
      <c r="G46" s="1144">
        <v>2302033</v>
      </c>
      <c r="H46" s="1183" t="s">
        <v>1821</v>
      </c>
      <c r="I46" s="1144">
        <v>2302033</v>
      </c>
      <c r="J46" s="1183" t="s">
        <v>1821</v>
      </c>
      <c r="K46" s="1403">
        <v>230203300</v>
      </c>
      <c r="L46" s="1134" t="s">
        <v>1822</v>
      </c>
      <c r="M46" s="1403">
        <v>230203300</v>
      </c>
      <c r="N46" s="1134" t="s">
        <v>1822</v>
      </c>
      <c r="O46" s="1133">
        <v>100</v>
      </c>
      <c r="P46" s="1133">
        <v>48</v>
      </c>
      <c r="Q46" s="2387"/>
      <c r="R46" s="2429"/>
      <c r="S46" s="1131">
        <f>X46/T44</f>
        <v>0.16778523489932887</v>
      </c>
      <c r="T46" s="2710"/>
      <c r="U46" s="2429"/>
      <c r="V46" s="1124" t="s">
        <v>1823</v>
      </c>
      <c r="W46" s="1140" t="s">
        <v>1824</v>
      </c>
      <c r="X46" s="1363">
        <v>50000000</v>
      </c>
      <c r="Y46" s="1364">
        <v>16575000</v>
      </c>
      <c r="Z46" s="1364">
        <v>10805000</v>
      </c>
      <c r="AA46" s="1192" t="s">
        <v>1825</v>
      </c>
      <c r="AB46" s="660">
        <v>20</v>
      </c>
      <c r="AC46" s="1180" t="s">
        <v>86</v>
      </c>
      <c r="AD46" s="2448"/>
      <c r="AE46" s="2448"/>
      <c r="AF46" s="2448"/>
      <c r="AG46" s="2448"/>
      <c r="AH46" s="2448"/>
      <c r="AI46" s="2448"/>
      <c r="AJ46" s="2448"/>
      <c r="AK46" s="2448"/>
      <c r="AL46" s="2448"/>
      <c r="AM46" s="2448"/>
      <c r="AN46" s="2448"/>
      <c r="AO46" s="2448"/>
      <c r="AP46" s="2448"/>
      <c r="AQ46" s="2448"/>
      <c r="AR46" s="2448"/>
      <c r="AS46" s="2448"/>
      <c r="AT46" s="2448"/>
      <c r="AU46" s="2448"/>
      <c r="AV46" s="2448"/>
      <c r="AW46" s="2448"/>
      <c r="AX46" s="2448"/>
      <c r="AY46" s="2448"/>
      <c r="AZ46" s="2448"/>
      <c r="BA46" s="2448"/>
      <c r="BB46" s="2448"/>
      <c r="BC46" s="2448"/>
      <c r="BD46" s="2448"/>
      <c r="BE46" s="2448"/>
      <c r="BF46" s="2448"/>
      <c r="BG46" s="2448"/>
      <c r="BH46" s="2448"/>
      <c r="BI46" s="2448"/>
      <c r="BJ46" s="2448"/>
      <c r="BK46" s="2448"/>
      <c r="BL46" s="2448"/>
      <c r="BM46" s="4477"/>
      <c r="BN46" s="2448"/>
      <c r="BO46" s="2448"/>
      <c r="BP46" s="2448"/>
      <c r="BQ46" s="3488"/>
      <c r="BR46" s="3488"/>
      <c r="BS46" s="3488"/>
      <c r="BT46" s="3488"/>
      <c r="BU46" s="3488"/>
    </row>
    <row r="47" spans="1:93" s="541" customFormat="1" ht="80.45" customHeight="1" x14ac:dyDescent="0.25">
      <c r="A47" s="620"/>
      <c r="B47" s="1168"/>
      <c r="C47" s="1167"/>
      <c r="D47" s="1168"/>
      <c r="E47" s="4449"/>
      <c r="F47" s="2296"/>
      <c r="G47" s="1144">
        <v>2302066</v>
      </c>
      <c r="H47" s="1183" t="s">
        <v>1826</v>
      </c>
      <c r="I47" s="1144">
        <v>2302066</v>
      </c>
      <c r="J47" s="1183" t="s">
        <v>1826</v>
      </c>
      <c r="K47" s="1403">
        <v>230206600</v>
      </c>
      <c r="L47" s="1134" t="s">
        <v>1827</v>
      </c>
      <c r="M47" s="1403">
        <v>230206600</v>
      </c>
      <c r="N47" s="1134" t="s">
        <v>1827</v>
      </c>
      <c r="O47" s="1133">
        <v>50</v>
      </c>
      <c r="P47" s="1133">
        <v>37</v>
      </c>
      <c r="Q47" s="2387"/>
      <c r="R47" s="2429"/>
      <c r="S47" s="1131">
        <f>X47/T44</f>
        <v>0.20134228187919462</v>
      </c>
      <c r="T47" s="2710"/>
      <c r="U47" s="2429"/>
      <c r="V47" s="1125" t="s">
        <v>1828</v>
      </c>
      <c r="W47" s="1143" t="s">
        <v>1829</v>
      </c>
      <c r="X47" s="1363">
        <v>60000000</v>
      </c>
      <c r="Y47" s="1364">
        <v>45962500</v>
      </c>
      <c r="Z47" s="1364">
        <v>22712500</v>
      </c>
      <c r="AA47" s="1192" t="s">
        <v>1830</v>
      </c>
      <c r="AB47" s="660">
        <v>20</v>
      </c>
      <c r="AC47" s="1180" t="s">
        <v>86</v>
      </c>
      <c r="AD47" s="2448"/>
      <c r="AE47" s="2448"/>
      <c r="AF47" s="2448"/>
      <c r="AG47" s="2448"/>
      <c r="AH47" s="2448"/>
      <c r="AI47" s="2448"/>
      <c r="AJ47" s="2448"/>
      <c r="AK47" s="2448"/>
      <c r="AL47" s="2448"/>
      <c r="AM47" s="2448"/>
      <c r="AN47" s="2448"/>
      <c r="AO47" s="2448"/>
      <c r="AP47" s="2448"/>
      <c r="AQ47" s="2448"/>
      <c r="AR47" s="2448"/>
      <c r="AS47" s="2448"/>
      <c r="AT47" s="2448"/>
      <c r="AU47" s="2448"/>
      <c r="AV47" s="2448"/>
      <c r="AW47" s="2448"/>
      <c r="AX47" s="2448"/>
      <c r="AY47" s="2448"/>
      <c r="AZ47" s="2448"/>
      <c r="BA47" s="2448"/>
      <c r="BB47" s="2448"/>
      <c r="BC47" s="2448"/>
      <c r="BD47" s="2448"/>
      <c r="BE47" s="2448"/>
      <c r="BF47" s="2448"/>
      <c r="BG47" s="2448"/>
      <c r="BH47" s="2448"/>
      <c r="BI47" s="2448"/>
      <c r="BJ47" s="2448"/>
      <c r="BK47" s="2448"/>
      <c r="BL47" s="2448"/>
      <c r="BM47" s="4477"/>
      <c r="BN47" s="2448"/>
      <c r="BO47" s="2448"/>
      <c r="BP47" s="2448"/>
      <c r="BQ47" s="3488"/>
      <c r="BR47" s="3488"/>
      <c r="BS47" s="3488"/>
      <c r="BT47" s="3488"/>
      <c r="BU47" s="3488"/>
    </row>
    <row r="48" spans="1:93" s="541" customFormat="1" ht="102" customHeight="1" x14ac:dyDescent="0.25">
      <c r="A48" s="620"/>
      <c r="B48" s="1168"/>
      <c r="C48" s="1167"/>
      <c r="D48" s="1168"/>
      <c r="E48" s="4449"/>
      <c r="F48" s="2296"/>
      <c r="G48" s="1144">
        <v>2302004</v>
      </c>
      <c r="H48" s="1183" t="s">
        <v>1831</v>
      </c>
      <c r="I48" s="1144">
        <v>2302004</v>
      </c>
      <c r="J48" s="1183" t="s">
        <v>1831</v>
      </c>
      <c r="K48" s="1403">
        <v>230200403</v>
      </c>
      <c r="L48" s="1134" t="s">
        <v>1832</v>
      </c>
      <c r="M48" s="1403">
        <v>230200403</v>
      </c>
      <c r="N48" s="1134" t="s">
        <v>1832</v>
      </c>
      <c r="O48" s="1133">
        <v>1</v>
      </c>
      <c r="P48" s="1133">
        <v>0.5</v>
      </c>
      <c r="Q48" s="2387"/>
      <c r="R48" s="2429"/>
      <c r="S48" s="1131">
        <f>X48/T44</f>
        <v>8.3892617449664433E-2</v>
      </c>
      <c r="T48" s="2710"/>
      <c r="U48" s="2429"/>
      <c r="V48" s="1125" t="s">
        <v>1833</v>
      </c>
      <c r="W48" s="1143" t="s">
        <v>1834</v>
      </c>
      <c r="X48" s="1363">
        <v>25000000</v>
      </c>
      <c r="Y48" s="1364">
        <v>11540000</v>
      </c>
      <c r="Z48" s="1364">
        <v>2885000</v>
      </c>
      <c r="AA48" s="1192" t="s">
        <v>1835</v>
      </c>
      <c r="AB48" s="660">
        <v>20</v>
      </c>
      <c r="AC48" s="1180" t="s">
        <v>86</v>
      </c>
      <c r="AD48" s="2448"/>
      <c r="AE48" s="2448"/>
      <c r="AF48" s="2448"/>
      <c r="AG48" s="2448"/>
      <c r="AH48" s="2448"/>
      <c r="AI48" s="2448"/>
      <c r="AJ48" s="2448"/>
      <c r="AK48" s="2448"/>
      <c r="AL48" s="2448"/>
      <c r="AM48" s="2448"/>
      <c r="AN48" s="2448"/>
      <c r="AO48" s="2448"/>
      <c r="AP48" s="2448"/>
      <c r="AQ48" s="2448"/>
      <c r="AR48" s="2448"/>
      <c r="AS48" s="2448"/>
      <c r="AT48" s="2448"/>
      <c r="AU48" s="2448"/>
      <c r="AV48" s="2448"/>
      <c r="AW48" s="2448"/>
      <c r="AX48" s="2448"/>
      <c r="AY48" s="2448"/>
      <c r="AZ48" s="2448"/>
      <c r="BA48" s="2448"/>
      <c r="BB48" s="2448"/>
      <c r="BC48" s="2448"/>
      <c r="BD48" s="2448"/>
      <c r="BE48" s="2448"/>
      <c r="BF48" s="2448"/>
      <c r="BG48" s="2448"/>
      <c r="BH48" s="2448"/>
      <c r="BI48" s="2448"/>
      <c r="BJ48" s="2448"/>
      <c r="BK48" s="2448"/>
      <c r="BL48" s="2448"/>
      <c r="BM48" s="4477"/>
      <c r="BN48" s="2448"/>
      <c r="BO48" s="2448"/>
      <c r="BP48" s="2448"/>
      <c r="BQ48" s="3488"/>
      <c r="BR48" s="3488"/>
      <c r="BS48" s="3488"/>
      <c r="BT48" s="3488"/>
      <c r="BU48" s="3488"/>
    </row>
    <row r="49" spans="1:93" s="541" customFormat="1" ht="138" customHeight="1" x14ac:dyDescent="0.25">
      <c r="A49" s="620"/>
      <c r="B49" s="1168"/>
      <c r="C49" s="1167"/>
      <c r="D49" s="1168"/>
      <c r="E49" s="4449"/>
      <c r="F49" s="2296"/>
      <c r="G49" s="1144">
        <v>2302007</v>
      </c>
      <c r="H49" s="1183" t="s">
        <v>1836</v>
      </c>
      <c r="I49" s="1144">
        <v>2302007</v>
      </c>
      <c r="J49" s="1183" t="s">
        <v>1836</v>
      </c>
      <c r="K49" s="1403">
        <v>230200701</v>
      </c>
      <c r="L49" s="1134" t="s">
        <v>1837</v>
      </c>
      <c r="M49" s="1403">
        <v>230200701</v>
      </c>
      <c r="N49" s="1134" t="s">
        <v>1837</v>
      </c>
      <c r="O49" s="1133">
        <v>1</v>
      </c>
      <c r="P49" s="1133">
        <v>0.5</v>
      </c>
      <c r="Q49" s="2387"/>
      <c r="R49" s="2429"/>
      <c r="S49" s="1131">
        <f>X49/T44</f>
        <v>8.3892617449664433E-2</v>
      </c>
      <c r="T49" s="2710"/>
      <c r="U49" s="2429"/>
      <c r="V49" s="1125" t="s">
        <v>1838</v>
      </c>
      <c r="W49" s="1143" t="s">
        <v>1839</v>
      </c>
      <c r="X49" s="1363">
        <v>25000000</v>
      </c>
      <c r="Y49" s="1364">
        <v>7789500</v>
      </c>
      <c r="Z49" s="1364">
        <v>7789500</v>
      </c>
      <c r="AA49" s="1192" t="s">
        <v>1840</v>
      </c>
      <c r="AB49" s="660">
        <v>20</v>
      </c>
      <c r="AC49" s="1180" t="s">
        <v>86</v>
      </c>
      <c r="AD49" s="2448"/>
      <c r="AE49" s="2448"/>
      <c r="AF49" s="2448"/>
      <c r="AG49" s="2448"/>
      <c r="AH49" s="2448"/>
      <c r="AI49" s="2448"/>
      <c r="AJ49" s="2448"/>
      <c r="AK49" s="2448"/>
      <c r="AL49" s="2448"/>
      <c r="AM49" s="2448"/>
      <c r="AN49" s="2448"/>
      <c r="AO49" s="2448"/>
      <c r="AP49" s="2448"/>
      <c r="AQ49" s="2448"/>
      <c r="AR49" s="2448"/>
      <c r="AS49" s="2448"/>
      <c r="AT49" s="2448"/>
      <c r="AU49" s="2448"/>
      <c r="AV49" s="2448"/>
      <c r="AW49" s="2448"/>
      <c r="AX49" s="2448"/>
      <c r="AY49" s="2448"/>
      <c r="AZ49" s="2448"/>
      <c r="BA49" s="2448"/>
      <c r="BB49" s="2448"/>
      <c r="BC49" s="2448"/>
      <c r="BD49" s="2448"/>
      <c r="BE49" s="2448"/>
      <c r="BF49" s="2448"/>
      <c r="BG49" s="2448"/>
      <c r="BH49" s="2448"/>
      <c r="BI49" s="2448"/>
      <c r="BJ49" s="2448"/>
      <c r="BK49" s="2448"/>
      <c r="BL49" s="2448"/>
      <c r="BM49" s="4477"/>
      <c r="BN49" s="2448"/>
      <c r="BO49" s="2448"/>
      <c r="BP49" s="2448"/>
      <c r="BQ49" s="3488"/>
      <c r="BR49" s="3488"/>
      <c r="BS49" s="3488"/>
      <c r="BT49" s="3488"/>
      <c r="BU49" s="3488"/>
    </row>
    <row r="50" spans="1:93" s="541" customFormat="1" ht="111" customHeight="1" x14ac:dyDescent="0.25">
      <c r="A50" s="621"/>
      <c r="B50" s="1170"/>
      <c r="C50" s="1404"/>
      <c r="D50" s="1405"/>
      <c r="E50" s="4470"/>
      <c r="F50" s="4471"/>
      <c r="G50" s="1144">
        <v>2302083</v>
      </c>
      <c r="H50" s="1183" t="s">
        <v>197</v>
      </c>
      <c r="I50" s="1144">
        <v>2302083</v>
      </c>
      <c r="J50" s="1184" t="s">
        <v>197</v>
      </c>
      <c r="K50" s="1406">
        <v>230208300</v>
      </c>
      <c r="L50" s="1135" t="s">
        <v>862</v>
      </c>
      <c r="M50" s="1406">
        <v>230208300</v>
      </c>
      <c r="N50" s="1135" t="s">
        <v>862</v>
      </c>
      <c r="O50" s="1149">
        <v>1</v>
      </c>
      <c r="P50" s="1149">
        <v>0.5</v>
      </c>
      <c r="Q50" s="2387"/>
      <c r="R50" s="2429"/>
      <c r="S50" s="1136">
        <f>X50/T44</f>
        <v>6.0402684563758392E-2</v>
      </c>
      <c r="T50" s="2710"/>
      <c r="U50" s="2429"/>
      <c r="V50" s="1407" t="s">
        <v>1841</v>
      </c>
      <c r="W50" s="1142" t="s">
        <v>1842</v>
      </c>
      <c r="X50" s="1382">
        <v>18000000</v>
      </c>
      <c r="Y50" s="1364">
        <v>9240000</v>
      </c>
      <c r="Z50" s="1364">
        <v>8580000</v>
      </c>
      <c r="AA50" s="1192" t="s">
        <v>1843</v>
      </c>
      <c r="AB50" s="1190">
        <v>20</v>
      </c>
      <c r="AC50" s="1179" t="s">
        <v>86</v>
      </c>
      <c r="AD50" s="2448"/>
      <c r="AE50" s="2448"/>
      <c r="AF50" s="2448"/>
      <c r="AG50" s="2448"/>
      <c r="AH50" s="2448"/>
      <c r="AI50" s="2448"/>
      <c r="AJ50" s="2448"/>
      <c r="AK50" s="2448"/>
      <c r="AL50" s="2448"/>
      <c r="AM50" s="2448"/>
      <c r="AN50" s="2448"/>
      <c r="AO50" s="2448"/>
      <c r="AP50" s="2448"/>
      <c r="AQ50" s="2448"/>
      <c r="AR50" s="2448"/>
      <c r="AS50" s="2448"/>
      <c r="AT50" s="2448"/>
      <c r="AU50" s="2448"/>
      <c r="AV50" s="2448"/>
      <c r="AW50" s="2448"/>
      <c r="AX50" s="2448"/>
      <c r="AY50" s="2448"/>
      <c r="AZ50" s="2448"/>
      <c r="BA50" s="2448"/>
      <c r="BB50" s="2448"/>
      <c r="BC50" s="2448"/>
      <c r="BD50" s="2448"/>
      <c r="BE50" s="2448"/>
      <c r="BF50" s="2448"/>
      <c r="BG50" s="2448"/>
      <c r="BH50" s="2448"/>
      <c r="BI50" s="2448"/>
      <c r="BJ50" s="2448"/>
      <c r="BK50" s="2448"/>
      <c r="BL50" s="2448"/>
      <c r="BM50" s="4477"/>
      <c r="BN50" s="2448"/>
      <c r="BO50" s="2448"/>
      <c r="BP50" s="2448"/>
      <c r="BQ50" s="3488"/>
      <c r="BR50" s="3488"/>
      <c r="BS50" s="3488"/>
      <c r="BT50" s="3488"/>
      <c r="BU50" s="3488"/>
    </row>
    <row r="51" spans="1:93" ht="27" customHeight="1" x14ac:dyDescent="0.25">
      <c r="A51" s="1356">
        <v>2</v>
      </c>
      <c r="B51" s="4431" t="s">
        <v>723</v>
      </c>
      <c r="C51" s="3373"/>
      <c r="D51" s="3373"/>
      <c r="E51" s="3373"/>
      <c r="F51" s="3373"/>
      <c r="G51" s="3373"/>
      <c r="H51" s="1357"/>
      <c r="I51" s="21"/>
      <c r="J51" s="1394"/>
      <c r="K51" s="377"/>
      <c r="L51" s="1394"/>
      <c r="M51" s="377"/>
      <c r="N51" s="1394"/>
      <c r="O51" s="377"/>
      <c r="P51" s="377"/>
      <c r="Q51" s="377"/>
      <c r="R51" s="1394"/>
      <c r="S51" s="629"/>
      <c r="T51" s="379"/>
      <c r="U51" s="1394"/>
      <c r="V51" s="1394"/>
      <c r="W51" s="1394"/>
      <c r="X51" s="1395"/>
      <c r="Y51" s="1396"/>
      <c r="Z51" s="1396"/>
      <c r="AA51" s="19"/>
      <c r="AB51" s="381"/>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703"/>
      <c r="BR51" s="703"/>
      <c r="BS51" s="703"/>
      <c r="BT51" s="703"/>
      <c r="BU51" s="704"/>
      <c r="BV51" s="2"/>
      <c r="BW51" s="2"/>
      <c r="BX51" s="2"/>
      <c r="BY51" s="2"/>
      <c r="BZ51" s="2"/>
      <c r="CA51" s="2"/>
      <c r="CB51" s="2"/>
      <c r="CC51" s="2"/>
      <c r="CD51" s="2"/>
      <c r="CE51" s="2"/>
      <c r="CF51" s="2"/>
      <c r="CG51" s="2"/>
      <c r="CH51" s="2"/>
      <c r="CI51" s="2"/>
      <c r="CJ51" s="2"/>
      <c r="CK51" s="2"/>
      <c r="CL51" s="2"/>
      <c r="CM51" s="2"/>
      <c r="CN51" s="2"/>
      <c r="CO51" s="2"/>
    </row>
    <row r="52" spans="1:93" s="70" customFormat="1" ht="27" customHeight="1" x14ac:dyDescent="0.25">
      <c r="A52" s="1359"/>
      <c r="B52" s="1163"/>
      <c r="C52" s="31">
        <v>39</v>
      </c>
      <c r="D52" s="3077" t="s">
        <v>1844</v>
      </c>
      <c r="E52" s="2324"/>
      <c r="F52" s="3198"/>
      <c r="G52" s="3198"/>
      <c r="H52" s="3198"/>
      <c r="I52" s="3198"/>
      <c r="J52" s="3198"/>
      <c r="K52" s="33"/>
      <c r="L52" s="1397"/>
      <c r="M52" s="33"/>
      <c r="N52" s="1397"/>
      <c r="O52" s="632"/>
      <c r="P52" s="632"/>
      <c r="Q52" s="632"/>
      <c r="R52" s="1361"/>
      <c r="S52" s="633"/>
      <c r="T52" s="827"/>
      <c r="U52" s="1361"/>
      <c r="V52" s="1361"/>
      <c r="W52" s="1361"/>
      <c r="X52" s="1399"/>
      <c r="Y52" s="1400"/>
      <c r="Z52" s="1400"/>
      <c r="AA52" s="632"/>
      <c r="AB52" s="631"/>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632"/>
      <c r="BF52" s="632"/>
      <c r="BG52" s="632"/>
      <c r="BH52" s="632"/>
      <c r="BI52" s="632"/>
      <c r="BJ52" s="632"/>
      <c r="BK52" s="632"/>
      <c r="BL52" s="632"/>
      <c r="BM52" s="632"/>
      <c r="BN52" s="632"/>
      <c r="BO52" s="632"/>
      <c r="BP52" s="632"/>
      <c r="BQ52" s="634"/>
      <c r="BR52" s="634"/>
      <c r="BS52" s="634"/>
      <c r="BT52" s="634"/>
      <c r="BU52" s="635"/>
    </row>
    <row r="53" spans="1:93" s="2" customFormat="1" ht="45.6" customHeight="1" x14ac:dyDescent="0.25">
      <c r="A53" s="1161"/>
      <c r="B53" s="1162"/>
      <c r="C53" s="1159"/>
      <c r="D53" s="1162"/>
      <c r="E53" s="1408">
        <v>3903</v>
      </c>
      <c r="F53" s="3501" t="s">
        <v>1845</v>
      </c>
      <c r="G53" s="3502"/>
      <c r="H53" s="3502"/>
      <c r="I53" s="3502"/>
      <c r="J53" s="3502"/>
      <c r="K53" s="3502"/>
      <c r="L53" s="3502"/>
      <c r="M53" s="3502"/>
      <c r="N53" s="3502"/>
      <c r="O53" s="1107"/>
      <c r="P53" s="1107"/>
      <c r="Q53" s="1402"/>
      <c r="R53" s="1362"/>
      <c r="S53" s="1402"/>
      <c r="T53" s="1402"/>
      <c r="U53" s="1362"/>
      <c r="V53" s="1362"/>
      <c r="W53" s="1362"/>
      <c r="X53" s="1401"/>
      <c r="Y53" s="1374"/>
      <c r="Z53" s="1374"/>
      <c r="AA53" s="1107"/>
      <c r="AB53" s="1402"/>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42"/>
      <c r="BR53" s="642"/>
      <c r="BS53" s="642"/>
      <c r="BT53" s="642"/>
      <c r="BU53" s="643"/>
    </row>
    <row r="54" spans="1:93" ht="60.75" customHeight="1" x14ac:dyDescent="0.25">
      <c r="A54" s="1187"/>
      <c r="B54" s="1132"/>
      <c r="C54" s="1154"/>
      <c r="D54" s="1132"/>
      <c r="E54" s="2817"/>
      <c r="F54" s="2263"/>
      <c r="G54" s="4473">
        <v>3903005</v>
      </c>
      <c r="H54" s="3128" t="s">
        <v>1846</v>
      </c>
      <c r="I54" s="4473">
        <v>3903005</v>
      </c>
      <c r="J54" s="3128" t="s">
        <v>1846</v>
      </c>
      <c r="K54" s="1409">
        <v>390300501</v>
      </c>
      <c r="L54" s="1410" t="s">
        <v>1847</v>
      </c>
      <c r="M54" s="1409">
        <v>390300501</v>
      </c>
      <c r="N54" s="1410" t="s">
        <v>1847</v>
      </c>
      <c r="O54" s="1139">
        <v>1</v>
      </c>
      <c r="P54" s="1139">
        <v>0</v>
      </c>
      <c r="Q54" s="3596" t="s">
        <v>1848</v>
      </c>
      <c r="R54" s="2428" t="s">
        <v>1849</v>
      </c>
      <c r="S54" s="2389">
        <f>SUM(X54:X56)/T54</f>
        <v>1</v>
      </c>
      <c r="T54" s="4478">
        <f>SUM(X54:X56)</f>
        <v>60000000</v>
      </c>
      <c r="U54" s="2428" t="s">
        <v>1850</v>
      </c>
      <c r="V54" s="2428" t="s">
        <v>1851</v>
      </c>
      <c r="W54" s="1134" t="s">
        <v>1852</v>
      </c>
      <c r="X54" s="1363">
        <v>10000000</v>
      </c>
      <c r="Y54" s="1364"/>
      <c r="Z54" s="1364"/>
      <c r="AA54" s="1192" t="s">
        <v>1853</v>
      </c>
      <c r="AB54" s="1411">
        <v>20</v>
      </c>
      <c r="AC54" s="1129" t="s">
        <v>86</v>
      </c>
      <c r="AD54" s="2297">
        <v>295972</v>
      </c>
      <c r="AE54" s="2297">
        <v>295972</v>
      </c>
      <c r="AF54" s="2297">
        <v>294321</v>
      </c>
      <c r="AG54" s="2297">
        <v>294321</v>
      </c>
      <c r="AH54" s="2297">
        <v>132302</v>
      </c>
      <c r="AI54" s="2297">
        <v>132302</v>
      </c>
      <c r="AJ54" s="2297">
        <v>43426</v>
      </c>
      <c r="AK54" s="2297">
        <v>43426</v>
      </c>
      <c r="AL54" s="2297">
        <v>313940</v>
      </c>
      <c r="AM54" s="2297">
        <v>313940</v>
      </c>
      <c r="AN54" s="2297">
        <v>100625</v>
      </c>
      <c r="AO54" s="2297">
        <v>100625</v>
      </c>
      <c r="AP54" s="2297">
        <v>2145</v>
      </c>
      <c r="AQ54" s="2297">
        <v>2145</v>
      </c>
      <c r="AR54" s="2297">
        <v>12718</v>
      </c>
      <c r="AS54" s="2297">
        <v>12718</v>
      </c>
      <c r="AT54" s="2297">
        <v>36</v>
      </c>
      <c r="AU54" s="2297">
        <v>36</v>
      </c>
      <c r="AV54" s="2297">
        <v>0</v>
      </c>
      <c r="AW54" s="2297">
        <v>0</v>
      </c>
      <c r="AX54" s="2297">
        <v>0</v>
      </c>
      <c r="AY54" s="2297">
        <v>0</v>
      </c>
      <c r="AZ54" s="2297">
        <v>0</v>
      </c>
      <c r="BA54" s="2297">
        <v>0</v>
      </c>
      <c r="BB54" s="2297">
        <v>70</v>
      </c>
      <c r="BC54" s="2297">
        <v>70</v>
      </c>
      <c r="BD54" s="2297">
        <v>21944</v>
      </c>
      <c r="BE54" s="2297">
        <v>21944</v>
      </c>
      <c r="BF54" s="2297">
        <v>285</v>
      </c>
      <c r="BG54" s="2297">
        <v>285</v>
      </c>
      <c r="BH54" s="2297">
        <v>590293</v>
      </c>
      <c r="BI54" s="2297">
        <f>+AE54+AG54</f>
        <v>590293</v>
      </c>
      <c r="BJ54" s="2297">
        <v>4</v>
      </c>
      <c r="BK54" s="4476">
        <f>SUM(Y54:Y56)</f>
        <v>34523833</v>
      </c>
      <c r="BL54" s="4476">
        <f>SUM(Z54:Z56)</f>
        <v>17213833</v>
      </c>
      <c r="BM54" s="4467">
        <f>BL54/BK54</f>
        <v>0.49860723749880265</v>
      </c>
      <c r="BN54" s="2297">
        <v>20</v>
      </c>
      <c r="BO54" s="2297" t="s">
        <v>1854</v>
      </c>
      <c r="BP54" s="2297" t="s">
        <v>1719</v>
      </c>
      <c r="BQ54" s="4484">
        <v>44197</v>
      </c>
      <c r="BR54" s="4484">
        <v>44272</v>
      </c>
      <c r="BS54" s="4484">
        <v>44561</v>
      </c>
      <c r="BT54" s="4484">
        <v>44397</v>
      </c>
      <c r="BU54" s="4484" t="s">
        <v>1720</v>
      </c>
    </row>
    <row r="55" spans="1:93" ht="57.75" customHeight="1" x14ac:dyDescent="0.25">
      <c r="A55" s="1187"/>
      <c r="B55" s="1132"/>
      <c r="C55" s="1154"/>
      <c r="D55" s="1132"/>
      <c r="E55" s="2817"/>
      <c r="F55" s="2263"/>
      <c r="G55" s="2470"/>
      <c r="H55" s="3128"/>
      <c r="I55" s="2470"/>
      <c r="J55" s="3128"/>
      <c r="K55" s="1412">
        <v>390300507</v>
      </c>
      <c r="L55" s="1413" t="s">
        <v>1855</v>
      </c>
      <c r="M55" s="1412">
        <v>390300507</v>
      </c>
      <c r="N55" s="1413" t="s">
        <v>1855</v>
      </c>
      <c r="O55" s="1139">
        <v>50</v>
      </c>
      <c r="P55" s="1139">
        <v>18</v>
      </c>
      <c r="Q55" s="3598"/>
      <c r="R55" s="2429"/>
      <c r="S55" s="2390"/>
      <c r="T55" s="4479"/>
      <c r="U55" s="2429"/>
      <c r="V55" s="2429"/>
      <c r="W55" s="1134" t="s">
        <v>1856</v>
      </c>
      <c r="X55" s="1363">
        <v>30000000</v>
      </c>
      <c r="Y55" s="1364">
        <v>22983833</v>
      </c>
      <c r="Z55" s="1364">
        <v>8558833</v>
      </c>
      <c r="AA55" s="1192" t="s">
        <v>1853</v>
      </c>
      <c r="AB55" s="1411">
        <v>20</v>
      </c>
      <c r="AC55" s="1129" t="s">
        <v>86</v>
      </c>
      <c r="AD55" s="2448"/>
      <c r="AE55" s="2448"/>
      <c r="AF55" s="2448"/>
      <c r="AG55" s="2448"/>
      <c r="AH55" s="2448"/>
      <c r="AI55" s="2448"/>
      <c r="AJ55" s="2448"/>
      <c r="AK55" s="2448"/>
      <c r="AL55" s="2448"/>
      <c r="AM55" s="2448"/>
      <c r="AN55" s="2448"/>
      <c r="AO55" s="2448"/>
      <c r="AP55" s="2448"/>
      <c r="AQ55" s="2448"/>
      <c r="AR55" s="2448"/>
      <c r="AS55" s="2448"/>
      <c r="AT55" s="2448"/>
      <c r="AU55" s="2448"/>
      <c r="AV55" s="2448"/>
      <c r="AW55" s="2448"/>
      <c r="AX55" s="2448"/>
      <c r="AY55" s="2448"/>
      <c r="AZ55" s="2448"/>
      <c r="BA55" s="2448"/>
      <c r="BB55" s="2448"/>
      <c r="BC55" s="2448"/>
      <c r="BD55" s="2448"/>
      <c r="BE55" s="2448"/>
      <c r="BF55" s="2448"/>
      <c r="BG55" s="2448"/>
      <c r="BH55" s="2448"/>
      <c r="BI55" s="2448"/>
      <c r="BJ55" s="2448"/>
      <c r="BK55" s="2448"/>
      <c r="BL55" s="2448"/>
      <c r="BM55" s="4477"/>
      <c r="BN55" s="2448"/>
      <c r="BO55" s="2448"/>
      <c r="BP55" s="2448"/>
      <c r="BQ55" s="4485"/>
      <c r="BR55" s="4485"/>
      <c r="BS55" s="4485"/>
      <c r="BT55" s="4485"/>
      <c r="BU55" s="4485"/>
    </row>
    <row r="56" spans="1:93" ht="60.75" customHeight="1" x14ac:dyDescent="0.25">
      <c r="A56" s="1187"/>
      <c r="B56" s="1132"/>
      <c r="C56" s="1154"/>
      <c r="D56" s="1132"/>
      <c r="E56" s="4482"/>
      <c r="F56" s="4483"/>
      <c r="G56" s="2470"/>
      <c r="H56" s="3836"/>
      <c r="I56" s="2470"/>
      <c r="J56" s="3836"/>
      <c r="K56" s="1412">
        <v>390300511</v>
      </c>
      <c r="L56" s="1413" t="s">
        <v>1857</v>
      </c>
      <c r="M56" s="1412">
        <v>390300511</v>
      </c>
      <c r="N56" s="1413" t="s">
        <v>1857</v>
      </c>
      <c r="O56" s="1139">
        <v>50</v>
      </c>
      <c r="P56" s="1139">
        <v>33</v>
      </c>
      <c r="Q56" s="3600"/>
      <c r="R56" s="2430"/>
      <c r="S56" s="2391"/>
      <c r="T56" s="4480"/>
      <c r="U56" s="2430"/>
      <c r="V56" s="2430"/>
      <c r="W56" s="1134" t="s">
        <v>1858</v>
      </c>
      <c r="X56" s="1363">
        <v>20000000</v>
      </c>
      <c r="Y56" s="1364">
        <v>11540000</v>
      </c>
      <c r="Z56" s="1364">
        <v>8655000</v>
      </c>
      <c r="AA56" s="1192" t="s">
        <v>1859</v>
      </c>
      <c r="AB56" s="1411">
        <v>20</v>
      </c>
      <c r="AC56" s="1129" t="s">
        <v>86</v>
      </c>
      <c r="AD56" s="2449"/>
      <c r="AE56" s="2449"/>
      <c r="AF56" s="2449"/>
      <c r="AG56" s="2449"/>
      <c r="AH56" s="2449"/>
      <c r="AI56" s="2449"/>
      <c r="AJ56" s="2449"/>
      <c r="AK56" s="2449"/>
      <c r="AL56" s="2449"/>
      <c r="AM56" s="2449"/>
      <c r="AN56" s="2449"/>
      <c r="AO56" s="2449"/>
      <c r="AP56" s="2449"/>
      <c r="AQ56" s="2449"/>
      <c r="AR56" s="2449"/>
      <c r="AS56" s="2449"/>
      <c r="AT56" s="2449"/>
      <c r="AU56" s="2449"/>
      <c r="AV56" s="2449"/>
      <c r="AW56" s="2449"/>
      <c r="AX56" s="2449"/>
      <c r="AY56" s="2449"/>
      <c r="AZ56" s="2449"/>
      <c r="BA56" s="2449"/>
      <c r="BB56" s="2449"/>
      <c r="BC56" s="2449"/>
      <c r="BD56" s="2449"/>
      <c r="BE56" s="2449"/>
      <c r="BF56" s="2449"/>
      <c r="BG56" s="2449"/>
      <c r="BH56" s="2449"/>
      <c r="BI56" s="2449"/>
      <c r="BJ56" s="2449"/>
      <c r="BK56" s="2449"/>
      <c r="BL56" s="2449"/>
      <c r="BM56" s="4487"/>
      <c r="BN56" s="2449"/>
      <c r="BO56" s="2449"/>
      <c r="BP56" s="2449"/>
      <c r="BQ56" s="4486"/>
      <c r="BR56" s="4486"/>
      <c r="BS56" s="4486"/>
      <c r="BT56" s="4486"/>
      <c r="BU56" s="4486"/>
    </row>
    <row r="57" spans="1:93" s="2" customFormat="1" ht="25.9" customHeight="1" x14ac:dyDescent="0.25">
      <c r="A57" s="1161"/>
      <c r="B57" s="1162"/>
      <c r="C57" s="1161"/>
      <c r="D57" s="1162"/>
      <c r="E57" s="1408">
        <v>3904</v>
      </c>
      <c r="F57" s="4432" t="s">
        <v>1860</v>
      </c>
      <c r="G57" s="4434"/>
      <c r="H57" s="4434"/>
      <c r="I57" s="4434"/>
      <c r="J57" s="4434"/>
      <c r="K57" s="4434"/>
      <c r="L57" s="4434"/>
      <c r="M57" s="4434"/>
      <c r="N57" s="4434"/>
      <c r="O57" s="4434"/>
      <c r="P57" s="4434"/>
      <c r="Q57" s="4434"/>
      <c r="R57" s="1372"/>
      <c r="S57" s="1375"/>
      <c r="T57" s="1375"/>
      <c r="U57" s="1372"/>
      <c r="V57" s="1372"/>
      <c r="W57" s="1372"/>
      <c r="X57" s="1373"/>
      <c r="Y57" s="1374"/>
      <c r="Z57" s="1374"/>
      <c r="AA57" s="1107"/>
      <c r="AB57" s="1375"/>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39"/>
      <c r="AY57" s="639"/>
      <c r="AZ57" s="639"/>
      <c r="BA57" s="639"/>
      <c r="BB57" s="639"/>
      <c r="BC57" s="639"/>
      <c r="BD57" s="639"/>
      <c r="BE57" s="639"/>
      <c r="BF57" s="639"/>
      <c r="BG57" s="639"/>
      <c r="BH57" s="1414"/>
      <c r="BI57" s="1414"/>
      <c r="BJ57" s="1414"/>
      <c r="BK57" s="1414"/>
      <c r="BL57" s="1414"/>
      <c r="BM57" s="1414"/>
      <c r="BN57" s="1414"/>
      <c r="BO57" s="1414"/>
      <c r="BP57" s="1414"/>
      <c r="BQ57" s="642"/>
      <c r="BR57" s="642"/>
      <c r="BS57" s="642"/>
      <c r="BT57" s="642"/>
      <c r="BU57" s="643"/>
    </row>
    <row r="58" spans="1:93" ht="153" customHeight="1" x14ac:dyDescent="0.25">
      <c r="A58" s="1188"/>
      <c r="B58" s="1164"/>
      <c r="C58" s="1155"/>
      <c r="D58" s="1164"/>
      <c r="E58" s="2815"/>
      <c r="F58" s="2266"/>
      <c r="G58" s="1194">
        <v>3904018</v>
      </c>
      <c r="H58" s="1195" t="s">
        <v>1861</v>
      </c>
      <c r="I58" s="1194">
        <v>3904018</v>
      </c>
      <c r="J58" s="1195" t="s">
        <v>1861</v>
      </c>
      <c r="K58" s="1415">
        <v>390401809</v>
      </c>
      <c r="L58" s="1195" t="s">
        <v>1862</v>
      </c>
      <c r="M58" s="1415">
        <v>390401809</v>
      </c>
      <c r="N58" s="1195" t="s">
        <v>1862</v>
      </c>
      <c r="O58" s="1148">
        <v>6</v>
      </c>
      <c r="P58" s="1148">
        <v>0</v>
      </c>
      <c r="Q58" s="1150" t="s">
        <v>1863</v>
      </c>
      <c r="R58" s="1172" t="s">
        <v>1864</v>
      </c>
      <c r="S58" s="1131">
        <f>SUM(X58)/T58</f>
        <v>1</v>
      </c>
      <c r="T58" s="1174">
        <f>SUM(X58)</f>
        <v>18000000</v>
      </c>
      <c r="U58" s="1172" t="s">
        <v>1865</v>
      </c>
      <c r="V58" s="1172" t="s">
        <v>1866</v>
      </c>
      <c r="W58" s="1153" t="s">
        <v>1867</v>
      </c>
      <c r="X58" s="1416">
        <v>18000000</v>
      </c>
      <c r="Y58" s="1417"/>
      <c r="Z58" s="1417"/>
      <c r="AA58" s="1192" t="s">
        <v>1868</v>
      </c>
      <c r="AB58" s="649">
        <v>20</v>
      </c>
      <c r="AC58" s="1133" t="s">
        <v>86</v>
      </c>
      <c r="AD58" s="1129">
        <v>295972</v>
      </c>
      <c r="AE58" s="1129"/>
      <c r="AF58" s="1129">
        <v>294321</v>
      </c>
      <c r="AG58" s="1129"/>
      <c r="AH58" s="1129">
        <v>132302</v>
      </c>
      <c r="AI58" s="1129"/>
      <c r="AJ58" s="1129">
        <v>43426</v>
      </c>
      <c r="AK58" s="1129"/>
      <c r="AL58" s="1129">
        <v>313940</v>
      </c>
      <c r="AM58" s="1129"/>
      <c r="AN58" s="1129">
        <v>100625</v>
      </c>
      <c r="AO58" s="1129"/>
      <c r="AP58" s="1129">
        <v>2145</v>
      </c>
      <c r="AQ58" s="1129"/>
      <c r="AR58" s="1129">
        <v>12718</v>
      </c>
      <c r="AS58" s="1129"/>
      <c r="AT58" s="1129">
        <v>36</v>
      </c>
      <c r="AU58" s="1129"/>
      <c r="AV58" s="1129">
        <v>0</v>
      </c>
      <c r="AW58" s="1129"/>
      <c r="AX58" s="1129">
        <v>0</v>
      </c>
      <c r="AY58" s="1129"/>
      <c r="AZ58" s="1129">
        <v>0</v>
      </c>
      <c r="BA58" s="1129"/>
      <c r="BB58" s="1129">
        <v>70</v>
      </c>
      <c r="BC58" s="1129"/>
      <c r="BD58" s="1129">
        <v>21944</v>
      </c>
      <c r="BE58" s="1129"/>
      <c r="BF58" s="1129">
        <v>285</v>
      </c>
      <c r="BG58" s="1129"/>
      <c r="BH58" s="1129">
        <v>590293</v>
      </c>
      <c r="BI58" s="1129"/>
      <c r="BJ58" s="1129"/>
      <c r="BK58" s="1129"/>
      <c r="BL58" s="1129"/>
      <c r="BM58" s="1129"/>
      <c r="BN58" s="1129"/>
      <c r="BO58" s="1129"/>
      <c r="BP58" s="1129"/>
      <c r="BQ58" s="1418">
        <v>44197</v>
      </c>
      <c r="BR58" s="1418"/>
      <c r="BS58" s="1418">
        <v>44561</v>
      </c>
      <c r="BT58" s="1418"/>
      <c r="BU58" s="1129" t="s">
        <v>1720</v>
      </c>
    </row>
    <row r="59" spans="1:93" ht="48.75" customHeight="1" x14ac:dyDescent="0.25">
      <c r="A59" s="1419"/>
      <c r="B59" s="1420"/>
      <c r="C59" s="1420"/>
      <c r="D59" s="1420"/>
      <c r="E59" s="1421"/>
      <c r="F59" s="1421"/>
      <c r="G59" s="1421"/>
      <c r="H59" s="1422"/>
      <c r="I59" s="1423"/>
      <c r="J59" s="1422"/>
      <c r="K59" s="1421"/>
      <c r="L59" s="1422"/>
      <c r="M59" s="1421"/>
      <c r="N59" s="1422"/>
      <c r="O59" s="1421"/>
      <c r="P59" s="1421"/>
      <c r="Q59" s="1421"/>
      <c r="R59" s="1422"/>
      <c r="S59" s="1424"/>
      <c r="T59" s="1425">
        <f>SUM(T13:T58)</f>
        <v>1196000000</v>
      </c>
      <c r="U59" s="1422"/>
      <c r="V59" s="1422"/>
      <c r="W59" s="1426" t="s">
        <v>127</v>
      </c>
      <c r="X59" s="1427">
        <f>SUM(X13:X58)</f>
        <v>1196000000</v>
      </c>
      <c r="Y59" s="1427">
        <f>SUM(Y13:Y58)</f>
        <v>309489167</v>
      </c>
      <c r="Z59" s="1427">
        <f>SUM(Z13:Z58)</f>
        <v>182443833</v>
      </c>
      <c r="AA59" s="1428"/>
      <c r="AB59" s="1429"/>
      <c r="AC59" s="1421"/>
      <c r="AD59" s="1421"/>
      <c r="AE59" s="1421"/>
      <c r="AF59" s="1421"/>
      <c r="AG59" s="1421"/>
      <c r="AH59" s="1421"/>
      <c r="AI59" s="1421"/>
      <c r="AJ59" s="1421"/>
      <c r="AK59" s="1421"/>
      <c r="AL59" s="1421"/>
      <c r="AM59" s="1421"/>
      <c r="AN59" s="1421"/>
      <c r="AO59" s="1421"/>
      <c r="AP59" s="1421"/>
      <c r="AQ59" s="1421"/>
      <c r="AR59" s="1421"/>
      <c r="AS59" s="1421"/>
      <c r="AT59" s="1421"/>
      <c r="AU59" s="1421"/>
      <c r="AV59" s="1421"/>
      <c r="AW59" s="1421"/>
      <c r="AX59" s="1421"/>
      <c r="AY59" s="1421"/>
      <c r="AZ59" s="1421"/>
      <c r="BA59" s="1421"/>
      <c r="BB59" s="1421"/>
      <c r="BC59" s="1421"/>
      <c r="BD59" s="1421"/>
      <c r="BE59" s="1421"/>
      <c r="BF59" s="1421"/>
      <c r="BG59" s="1421"/>
      <c r="BH59" s="1421"/>
      <c r="BI59" s="1421"/>
      <c r="BJ59" s="1421"/>
      <c r="BK59" s="1430">
        <f>SUM(BK13:BK58)</f>
        <v>309489167</v>
      </c>
      <c r="BL59" s="1430">
        <f>SUM(BL13:BL58)</f>
        <v>182443833</v>
      </c>
      <c r="BM59" s="1421"/>
      <c r="BN59" s="1421"/>
      <c r="BO59" s="1421"/>
      <c r="BP59" s="1421"/>
      <c r="BQ59" s="1431"/>
      <c r="BR59" s="1431"/>
      <c r="BS59" s="1431"/>
      <c r="BT59" s="1431"/>
      <c r="BU59" s="1432"/>
    </row>
    <row r="61" spans="1:93" ht="27" customHeight="1" x14ac:dyDescent="0.25">
      <c r="BK61" s="1434"/>
      <c r="BL61" s="1434"/>
      <c r="BM61" s="1434"/>
    </row>
    <row r="63" spans="1:93" ht="27" customHeight="1" x14ac:dyDescent="0.25">
      <c r="BK63" s="1435"/>
      <c r="BL63" s="1435"/>
    </row>
  </sheetData>
  <sheetProtection algorithmName="SHA-512" hashValue="hIAKsQAZs6FhZJ7Dihr0jiVCkJW/o8roYKsk5eaXzK09iAhiUnnZtozEfPH+coKo/2zwsO9+8YxVTUcwFYOl1Q==" saltValue="u1W3Yni1x3Hrsh0fmIHnrQ==" spinCount="100000" sheet="1" objects="1" scenarios="1"/>
  <mergeCells count="412">
    <mergeCell ref="BU54:BU56"/>
    <mergeCell ref="F57:Q57"/>
    <mergeCell ref="E58:F58"/>
    <mergeCell ref="BO54:BO56"/>
    <mergeCell ref="BP54:BP56"/>
    <mergeCell ref="BQ54:BQ56"/>
    <mergeCell ref="BR54:BR56"/>
    <mergeCell ref="BS54:BS56"/>
    <mergeCell ref="BT54:BT56"/>
    <mergeCell ref="BI54:BI56"/>
    <mergeCell ref="BJ54:BJ56"/>
    <mergeCell ref="BK54:BK56"/>
    <mergeCell ref="BL54:BL56"/>
    <mergeCell ref="BM54:BM56"/>
    <mergeCell ref="BN54:BN56"/>
    <mergeCell ref="BC54:BC56"/>
    <mergeCell ref="BD54:BD56"/>
    <mergeCell ref="BE54:BE56"/>
    <mergeCell ref="BF54:BF56"/>
    <mergeCell ref="BG54:BG56"/>
    <mergeCell ref="BH54:BH56"/>
    <mergeCell ref="AW54:AW56"/>
    <mergeCell ref="AX54:AX56"/>
    <mergeCell ref="AY54:AY56"/>
    <mergeCell ref="AZ54:AZ56"/>
    <mergeCell ref="BA54:BA56"/>
    <mergeCell ref="BB54:BB56"/>
    <mergeCell ref="AQ54:AQ56"/>
    <mergeCell ref="AR54:AR56"/>
    <mergeCell ref="AS54:AS56"/>
    <mergeCell ref="AT54:AT56"/>
    <mergeCell ref="AU54:AU56"/>
    <mergeCell ref="AV54:AV56"/>
    <mergeCell ref="AK54:AK56"/>
    <mergeCell ref="AL54:AL56"/>
    <mergeCell ref="AM54:AM56"/>
    <mergeCell ref="AN54:AN56"/>
    <mergeCell ref="AO54:AO56"/>
    <mergeCell ref="AP54:AP56"/>
    <mergeCell ref="AE54:AE56"/>
    <mergeCell ref="AF54:AF56"/>
    <mergeCell ref="AG54:AG56"/>
    <mergeCell ref="AH54:AH56"/>
    <mergeCell ref="AI54:AI56"/>
    <mergeCell ref="AJ54:AJ56"/>
    <mergeCell ref="R54:R56"/>
    <mergeCell ref="S54:S56"/>
    <mergeCell ref="T54:T56"/>
    <mergeCell ref="U54:U56"/>
    <mergeCell ref="V54:V56"/>
    <mergeCell ref="AD54:AD56"/>
    <mergeCell ref="BU44:BU50"/>
    <mergeCell ref="B51:G51"/>
    <mergeCell ref="D52:J52"/>
    <mergeCell ref="F53:N53"/>
    <mergeCell ref="E54:F56"/>
    <mergeCell ref="G54:G56"/>
    <mergeCell ref="H54:H56"/>
    <mergeCell ref="I54:I56"/>
    <mergeCell ref="J54:J56"/>
    <mergeCell ref="Q54:Q56"/>
    <mergeCell ref="BO44:BO50"/>
    <mergeCell ref="BP44:BP50"/>
    <mergeCell ref="BQ44:BQ50"/>
    <mergeCell ref="BR44:BR50"/>
    <mergeCell ref="BS44:BS50"/>
    <mergeCell ref="BT44:BT50"/>
    <mergeCell ref="BI44:BI50"/>
    <mergeCell ref="BJ44:BJ50"/>
    <mergeCell ref="BK44:BK50"/>
    <mergeCell ref="BL44:BL50"/>
    <mergeCell ref="BM44:BM50"/>
    <mergeCell ref="BN44:BN50"/>
    <mergeCell ref="BC44:BC50"/>
    <mergeCell ref="BD44:BD50"/>
    <mergeCell ref="BE44:BE50"/>
    <mergeCell ref="BF44:BF50"/>
    <mergeCell ref="BG44:BG50"/>
    <mergeCell ref="BH44:BH50"/>
    <mergeCell ref="AW44:AW50"/>
    <mergeCell ref="AX44:AX50"/>
    <mergeCell ref="AY44:AY50"/>
    <mergeCell ref="AZ44:AZ50"/>
    <mergeCell ref="BA44:BA50"/>
    <mergeCell ref="BB44:BB50"/>
    <mergeCell ref="AQ44:AQ50"/>
    <mergeCell ref="AR44:AR50"/>
    <mergeCell ref="AS44:AS50"/>
    <mergeCell ref="AT44:AT50"/>
    <mergeCell ref="AU44:AU50"/>
    <mergeCell ref="AV44:AV50"/>
    <mergeCell ref="AK44:AK50"/>
    <mergeCell ref="AL44:AL50"/>
    <mergeCell ref="AM44:AM50"/>
    <mergeCell ref="AN44:AN50"/>
    <mergeCell ref="AO44:AO50"/>
    <mergeCell ref="AP44:AP50"/>
    <mergeCell ref="AE44:AE50"/>
    <mergeCell ref="AF44:AF50"/>
    <mergeCell ref="AG44:AG50"/>
    <mergeCell ref="AH44:AH50"/>
    <mergeCell ref="AI44:AI50"/>
    <mergeCell ref="AJ44:AJ50"/>
    <mergeCell ref="U44:U50"/>
    <mergeCell ref="V44:V45"/>
    <mergeCell ref="AD44:AD50"/>
    <mergeCell ref="L44:L45"/>
    <mergeCell ref="M44:M45"/>
    <mergeCell ref="N44:N45"/>
    <mergeCell ref="O44:O45"/>
    <mergeCell ref="P44:P45"/>
    <mergeCell ref="Q44:Q50"/>
    <mergeCell ref="B41:G41"/>
    <mergeCell ref="D42:H42"/>
    <mergeCell ref="F43:T43"/>
    <mergeCell ref="E44:F50"/>
    <mergeCell ref="G44:G45"/>
    <mergeCell ref="H44:H45"/>
    <mergeCell ref="I44:I45"/>
    <mergeCell ref="J44:J45"/>
    <mergeCell ref="K44:K45"/>
    <mergeCell ref="R44:R50"/>
    <mergeCell ref="S44:S45"/>
    <mergeCell ref="T44:T50"/>
    <mergeCell ref="BT35:BT40"/>
    <mergeCell ref="BU35:BU40"/>
    <mergeCell ref="G36:G37"/>
    <mergeCell ref="H36:H37"/>
    <mergeCell ref="I36:I37"/>
    <mergeCell ref="J36:J37"/>
    <mergeCell ref="K36:K37"/>
    <mergeCell ref="L36:L37"/>
    <mergeCell ref="M36:M37"/>
    <mergeCell ref="N36:N37"/>
    <mergeCell ref="BN35:BN40"/>
    <mergeCell ref="BO35:BO40"/>
    <mergeCell ref="BP35:BP40"/>
    <mergeCell ref="BQ35:BQ40"/>
    <mergeCell ref="BR35:BR40"/>
    <mergeCell ref="BS35:BS40"/>
    <mergeCell ref="BH35:BH40"/>
    <mergeCell ref="BI35:BI40"/>
    <mergeCell ref="BJ35:BJ40"/>
    <mergeCell ref="BK35:BK40"/>
    <mergeCell ref="BL35:BL40"/>
    <mergeCell ref="BM35:BM40"/>
    <mergeCell ref="BB35:BB40"/>
    <mergeCell ref="BC35:BC40"/>
    <mergeCell ref="BD35:BD40"/>
    <mergeCell ref="BE35:BE40"/>
    <mergeCell ref="BF35:BF40"/>
    <mergeCell ref="BG35:BG40"/>
    <mergeCell ref="AV35:AV40"/>
    <mergeCell ref="AW35:AW40"/>
    <mergeCell ref="AX35:AX40"/>
    <mergeCell ref="AY35:AY40"/>
    <mergeCell ref="AZ35:AZ40"/>
    <mergeCell ref="BA35:BA40"/>
    <mergeCell ref="AP35:AP40"/>
    <mergeCell ref="AQ35:AQ40"/>
    <mergeCell ref="AR35:AR40"/>
    <mergeCell ref="AS35:AS40"/>
    <mergeCell ref="AT35:AT40"/>
    <mergeCell ref="AU35:AU40"/>
    <mergeCell ref="AJ35:AJ40"/>
    <mergeCell ref="AK35:AK40"/>
    <mergeCell ref="AL35:AL40"/>
    <mergeCell ref="AM35:AM40"/>
    <mergeCell ref="AN35:AN40"/>
    <mergeCell ref="AO35:AO40"/>
    <mergeCell ref="AD35:AD40"/>
    <mergeCell ref="AE35:AE40"/>
    <mergeCell ref="AF35:AF40"/>
    <mergeCell ref="AG35:AG40"/>
    <mergeCell ref="AH35:AH40"/>
    <mergeCell ref="AI35:AI40"/>
    <mergeCell ref="F34:U34"/>
    <mergeCell ref="E35:F40"/>
    <mergeCell ref="Q35:Q40"/>
    <mergeCell ref="R35:R40"/>
    <mergeCell ref="T35:T40"/>
    <mergeCell ref="U35:U40"/>
    <mergeCell ref="O36:O37"/>
    <mergeCell ref="P36:P37"/>
    <mergeCell ref="S36:S37"/>
    <mergeCell ref="V36:V37"/>
    <mergeCell ref="M31:M33"/>
    <mergeCell ref="N31:N33"/>
    <mergeCell ref="O31:O33"/>
    <mergeCell ref="P31:P33"/>
    <mergeCell ref="S31:S33"/>
    <mergeCell ref="V31:V33"/>
    <mergeCell ref="G31:G33"/>
    <mergeCell ref="H31:H33"/>
    <mergeCell ref="I31:I33"/>
    <mergeCell ref="J31:J33"/>
    <mergeCell ref="K31:K33"/>
    <mergeCell ref="L31:L33"/>
    <mergeCell ref="M27:M29"/>
    <mergeCell ref="N27:N29"/>
    <mergeCell ref="O27:O29"/>
    <mergeCell ref="P27:P29"/>
    <mergeCell ref="S27:S29"/>
    <mergeCell ref="V27:V29"/>
    <mergeCell ref="G27:G29"/>
    <mergeCell ref="H27:H29"/>
    <mergeCell ref="I27:I29"/>
    <mergeCell ref="J27:J29"/>
    <mergeCell ref="K27:K29"/>
    <mergeCell ref="L27:L29"/>
    <mergeCell ref="BP25:BP33"/>
    <mergeCell ref="BQ25:BQ33"/>
    <mergeCell ref="BR25:BR33"/>
    <mergeCell ref="BS25:BS33"/>
    <mergeCell ref="BT25:BT33"/>
    <mergeCell ref="BU25:BU33"/>
    <mergeCell ref="BJ25:BJ33"/>
    <mergeCell ref="BK25:BK33"/>
    <mergeCell ref="BL25:BL33"/>
    <mergeCell ref="BM25:BM33"/>
    <mergeCell ref="BN25:BN33"/>
    <mergeCell ref="BO25:BO33"/>
    <mergeCell ref="BD25:BD33"/>
    <mergeCell ref="BE25:BE33"/>
    <mergeCell ref="BF25:BF33"/>
    <mergeCell ref="BG25:BG33"/>
    <mergeCell ref="BH25:BH33"/>
    <mergeCell ref="BI25:BI33"/>
    <mergeCell ref="AX25:AX33"/>
    <mergeCell ref="AY25:AY33"/>
    <mergeCell ref="AZ25:AZ33"/>
    <mergeCell ref="BA25:BA33"/>
    <mergeCell ref="BB25:BB33"/>
    <mergeCell ref="BC25:BC33"/>
    <mergeCell ref="AR25:AR33"/>
    <mergeCell ref="AS25:AS33"/>
    <mergeCell ref="AT25:AT33"/>
    <mergeCell ref="AU25:AU33"/>
    <mergeCell ref="AV25:AV33"/>
    <mergeCell ref="AW25:AW33"/>
    <mergeCell ref="AL25:AL33"/>
    <mergeCell ref="AM25:AM33"/>
    <mergeCell ref="AN25:AN33"/>
    <mergeCell ref="AO25:AO33"/>
    <mergeCell ref="AP25:AP33"/>
    <mergeCell ref="AQ25:AQ33"/>
    <mergeCell ref="AF25:AF33"/>
    <mergeCell ref="AG25:AG33"/>
    <mergeCell ref="AH25:AH33"/>
    <mergeCell ref="AI25:AI33"/>
    <mergeCell ref="AJ25:AJ33"/>
    <mergeCell ref="AK25:AK33"/>
    <mergeCell ref="Q25:Q33"/>
    <mergeCell ref="R25:R33"/>
    <mergeCell ref="T25:T33"/>
    <mergeCell ref="U25:U33"/>
    <mergeCell ref="AD25:AD33"/>
    <mergeCell ref="AE25:AE33"/>
    <mergeCell ref="W27:W28"/>
    <mergeCell ref="W32:W33"/>
    <mergeCell ref="M21:M23"/>
    <mergeCell ref="N21:N23"/>
    <mergeCell ref="O21:O23"/>
    <mergeCell ref="P21:P23"/>
    <mergeCell ref="S21:S23"/>
    <mergeCell ref="V21:V23"/>
    <mergeCell ref="G21:G23"/>
    <mergeCell ref="H21:H23"/>
    <mergeCell ref="I21:I23"/>
    <mergeCell ref="J21:J23"/>
    <mergeCell ref="K21:K23"/>
    <mergeCell ref="L21:L23"/>
    <mergeCell ref="BT13:BT24"/>
    <mergeCell ref="BU13:BU24"/>
    <mergeCell ref="K16:K20"/>
    <mergeCell ref="L16:L20"/>
    <mergeCell ref="M16:M20"/>
    <mergeCell ref="N16:N20"/>
    <mergeCell ref="O16:O20"/>
    <mergeCell ref="P16:P20"/>
    <mergeCell ref="W17:W18"/>
    <mergeCell ref="W19:W20"/>
    <mergeCell ref="BN13:BN24"/>
    <mergeCell ref="BO13:BO24"/>
    <mergeCell ref="BP13:BP24"/>
    <mergeCell ref="BQ13:BQ24"/>
    <mergeCell ref="BR13:BR24"/>
    <mergeCell ref="BS13:BS24"/>
    <mergeCell ref="BH13:BH24"/>
    <mergeCell ref="BI13:BI24"/>
    <mergeCell ref="BJ13:BJ24"/>
    <mergeCell ref="BK13:BK24"/>
    <mergeCell ref="BL13:BL24"/>
    <mergeCell ref="BM13:BM24"/>
    <mergeCell ref="BB13:BB24"/>
    <mergeCell ref="BC13:BC24"/>
    <mergeCell ref="BD13:BD24"/>
    <mergeCell ref="BE13:BE24"/>
    <mergeCell ref="BF13:BF24"/>
    <mergeCell ref="BG13:BG24"/>
    <mergeCell ref="AV13:AV24"/>
    <mergeCell ref="AW13:AW24"/>
    <mergeCell ref="AX13:AX24"/>
    <mergeCell ref="AY13:AY24"/>
    <mergeCell ref="AZ13:AZ24"/>
    <mergeCell ref="BA13:BA24"/>
    <mergeCell ref="AP13:AP24"/>
    <mergeCell ref="AQ13:AQ24"/>
    <mergeCell ref="AR13:AR24"/>
    <mergeCell ref="AS13:AS24"/>
    <mergeCell ref="AT13:AT24"/>
    <mergeCell ref="AU13:AU24"/>
    <mergeCell ref="AJ13:AJ24"/>
    <mergeCell ref="AK13:AK24"/>
    <mergeCell ref="AL13:AL24"/>
    <mergeCell ref="AM13:AM24"/>
    <mergeCell ref="AN13:AN24"/>
    <mergeCell ref="AO13:AO24"/>
    <mergeCell ref="AD13:AD24"/>
    <mergeCell ref="AE13:AE24"/>
    <mergeCell ref="AF13:AF24"/>
    <mergeCell ref="AG13:AG24"/>
    <mergeCell ref="AH13:AH24"/>
    <mergeCell ref="AI13:AI24"/>
    <mergeCell ref="Q13:Q24"/>
    <mergeCell ref="R13:R24"/>
    <mergeCell ref="S13:S20"/>
    <mergeCell ref="T13:T24"/>
    <mergeCell ref="U13:U24"/>
    <mergeCell ref="V13:V20"/>
    <mergeCell ref="K13:K15"/>
    <mergeCell ref="L13:L15"/>
    <mergeCell ref="M13:M15"/>
    <mergeCell ref="N13:N15"/>
    <mergeCell ref="O13:O15"/>
    <mergeCell ref="P13:P15"/>
    <mergeCell ref="BP8:BP9"/>
    <mergeCell ref="B10:L10"/>
    <mergeCell ref="D11:H11"/>
    <mergeCell ref="A12:B33"/>
    <mergeCell ref="F12:R12"/>
    <mergeCell ref="E13:F14"/>
    <mergeCell ref="G13:G20"/>
    <mergeCell ref="H13:H20"/>
    <mergeCell ref="I13:I20"/>
    <mergeCell ref="J13:J20"/>
    <mergeCell ref="BF8:BG8"/>
    <mergeCell ref="BJ8:BJ9"/>
    <mergeCell ref="BK8:BK9"/>
    <mergeCell ref="BL8:BL9"/>
    <mergeCell ref="BM8:BM9"/>
    <mergeCell ref="BN8:BO8"/>
    <mergeCell ref="AT8:AU8"/>
    <mergeCell ref="AV8:AW8"/>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J8:J9"/>
    <mergeCell ref="K8:K9"/>
    <mergeCell ref="L8:L9"/>
    <mergeCell ref="M8:M9"/>
    <mergeCell ref="N8:N9"/>
    <mergeCell ref="O8:P8"/>
    <mergeCell ref="AB8:AB9"/>
    <mergeCell ref="Q8:Q9"/>
    <mergeCell ref="R8:R9"/>
    <mergeCell ref="S8:S9"/>
    <mergeCell ref="A1:BS4"/>
    <mergeCell ref="A5:O6"/>
    <mergeCell ref="Q5:BU5"/>
    <mergeCell ref="AD6:BI6"/>
    <mergeCell ref="A7:B7"/>
    <mergeCell ref="C7:D7"/>
    <mergeCell ref="E7:F7"/>
    <mergeCell ref="G7:J7"/>
    <mergeCell ref="K7:N7"/>
    <mergeCell ref="O7:X7"/>
    <mergeCell ref="BU7:BU9"/>
    <mergeCell ref="A8:A9"/>
    <mergeCell ref="B8:B9"/>
    <mergeCell ref="C8:C9"/>
    <mergeCell ref="D8:D9"/>
    <mergeCell ref="E8:E9"/>
    <mergeCell ref="F8:F9"/>
    <mergeCell ref="AA7:AC7"/>
    <mergeCell ref="AD7:AG7"/>
    <mergeCell ref="AH7:AO7"/>
    <mergeCell ref="AP7:BA7"/>
    <mergeCell ref="G8:G9"/>
    <mergeCell ref="H8:H9"/>
    <mergeCell ref="I8:I9"/>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U94"/>
  <sheetViews>
    <sheetView showGridLines="0" tabSelected="1" topLeftCell="S1" zoomScale="55" zoomScaleNormal="55" workbookViewId="0">
      <selection activeCell="V13" sqref="V13:V23"/>
    </sheetView>
  </sheetViews>
  <sheetFormatPr baseColWidth="10" defaultRowHeight="15" x14ac:dyDescent="0.25"/>
  <cols>
    <col min="1" max="1" width="16.5703125" style="3" customWidth="1"/>
    <col min="2" max="2" width="14.42578125" style="3" customWidth="1"/>
    <col min="3" max="3" width="13.140625" style="3" customWidth="1"/>
    <col min="4" max="4" width="14.5703125" style="3" customWidth="1"/>
    <col min="5" max="5" width="15.28515625" style="3" customWidth="1"/>
    <col min="6" max="6" width="17.42578125" style="3" customWidth="1"/>
    <col min="7" max="7" width="13.85546875" style="3" customWidth="1"/>
    <col min="8" max="8" width="18.5703125" style="3" customWidth="1"/>
    <col min="9" max="9" width="16.7109375" style="3" customWidth="1"/>
    <col min="10" max="10" width="18.85546875" style="3" customWidth="1"/>
    <col min="11" max="11" width="19.42578125" style="3" customWidth="1"/>
    <col min="12" max="12" width="21.140625" style="3" customWidth="1"/>
    <col min="13" max="14" width="20.5703125" style="3" customWidth="1"/>
    <col min="15" max="16" width="22.85546875" style="3" customWidth="1"/>
    <col min="17" max="17" width="26.7109375" style="3" customWidth="1"/>
    <col min="18" max="18" width="21.7109375" style="3" customWidth="1"/>
    <col min="19" max="19" width="17.42578125" style="3" customWidth="1"/>
    <col min="20" max="20" width="27" style="3" customWidth="1"/>
    <col min="21" max="21" width="29.85546875" style="3" customWidth="1"/>
    <col min="22" max="22" width="29.140625" style="3" customWidth="1"/>
    <col min="23" max="23" width="42.7109375" style="3" customWidth="1"/>
    <col min="24" max="26" width="34.7109375" style="3" customWidth="1"/>
    <col min="27" max="27" width="40.5703125" style="3" customWidth="1"/>
    <col min="28" max="28" width="15.7109375" style="3" customWidth="1"/>
    <col min="29" max="29" width="21.140625" style="3" customWidth="1"/>
    <col min="30" max="33" width="9.140625" style="3" customWidth="1"/>
    <col min="34" max="35" width="10.7109375" style="3" customWidth="1"/>
    <col min="36" max="59" width="9.140625" style="3" customWidth="1"/>
    <col min="60" max="61" width="14.7109375" style="3" customWidth="1"/>
    <col min="62" max="62" width="18.5703125" style="3" customWidth="1"/>
    <col min="63" max="63" width="24.85546875" style="3" customWidth="1"/>
    <col min="64" max="64" width="22.42578125" style="3" customWidth="1"/>
    <col min="65" max="65" width="18.5703125" style="3" customWidth="1"/>
    <col min="66" max="66" width="36.140625" style="3" customWidth="1"/>
    <col min="67" max="67" width="18.5703125" style="3" customWidth="1"/>
    <col min="68" max="68" width="21.140625" style="3" customWidth="1"/>
    <col min="69" max="70" width="20.5703125" style="3" customWidth="1"/>
    <col min="71" max="72" width="19.85546875" style="3" customWidth="1"/>
    <col min="73" max="73" width="25.28515625" style="3" customWidth="1"/>
  </cols>
  <sheetData>
    <row r="1" spans="1:73" ht="15.75" x14ac:dyDescent="0.25">
      <c r="A1" s="2518" t="s">
        <v>3286</v>
      </c>
      <c r="B1" s="2519"/>
      <c r="C1" s="2519"/>
      <c r="D1" s="2519"/>
      <c r="E1" s="2519"/>
      <c r="F1" s="2519"/>
      <c r="G1" s="2519"/>
      <c r="H1" s="2519"/>
      <c r="I1" s="2519"/>
      <c r="J1" s="2519"/>
      <c r="K1" s="2519"/>
      <c r="L1" s="2519"/>
      <c r="M1" s="2519"/>
      <c r="N1" s="2519"/>
      <c r="O1" s="2519"/>
      <c r="P1" s="2519"/>
      <c r="Q1" s="2519"/>
      <c r="R1" s="2519"/>
      <c r="S1" s="2519"/>
      <c r="T1" s="2519"/>
      <c r="U1" s="2519"/>
      <c r="V1" s="2519"/>
      <c r="W1" s="2519"/>
      <c r="X1" s="2519"/>
      <c r="Y1" s="2519"/>
      <c r="Z1" s="2519"/>
      <c r="AA1" s="2519"/>
      <c r="AB1" s="2519"/>
      <c r="AC1" s="2519"/>
      <c r="AD1" s="2519"/>
      <c r="AE1" s="2519"/>
      <c r="AF1" s="2519"/>
      <c r="AG1" s="2519"/>
      <c r="AH1" s="2519"/>
      <c r="AI1" s="2519"/>
      <c r="AJ1" s="2519"/>
      <c r="AK1" s="2519"/>
      <c r="AL1" s="2519"/>
      <c r="AM1" s="2519"/>
      <c r="AN1" s="2519"/>
      <c r="AO1" s="2519"/>
      <c r="AP1" s="2519"/>
      <c r="AQ1" s="2519"/>
      <c r="AR1" s="2519"/>
      <c r="AS1" s="2519"/>
      <c r="AT1" s="2519"/>
      <c r="AU1" s="2519"/>
      <c r="AV1" s="2519"/>
      <c r="AW1" s="2519"/>
      <c r="AX1" s="2519"/>
      <c r="AY1" s="2519"/>
      <c r="AZ1" s="2519"/>
      <c r="BA1" s="2519"/>
      <c r="BB1" s="2519"/>
      <c r="BC1" s="2519"/>
      <c r="BD1" s="2519"/>
      <c r="BE1" s="2519"/>
      <c r="BF1" s="2519"/>
      <c r="BG1" s="2519"/>
      <c r="BH1" s="2519"/>
      <c r="BI1" s="2519"/>
      <c r="BJ1" s="2519"/>
      <c r="BK1" s="2519"/>
      <c r="BL1" s="2519"/>
      <c r="BM1" s="2519"/>
      <c r="BN1" s="2519"/>
      <c r="BO1" s="2519"/>
      <c r="BP1" s="2519"/>
      <c r="BQ1" s="2519"/>
      <c r="BR1" s="2519"/>
      <c r="BS1" s="2368"/>
      <c r="BT1" s="2203" t="s">
        <v>0</v>
      </c>
      <c r="BU1" s="4594" t="s">
        <v>1</v>
      </c>
    </row>
    <row r="2" spans="1:73" ht="15.75" x14ac:dyDescent="0.25">
      <c r="A2" s="2519"/>
      <c r="B2" s="2519"/>
      <c r="C2" s="2519"/>
      <c r="D2" s="2519"/>
      <c r="E2" s="2519"/>
      <c r="F2" s="2519"/>
      <c r="G2" s="2519"/>
      <c r="H2" s="2519"/>
      <c r="I2" s="2519"/>
      <c r="J2" s="2519"/>
      <c r="K2" s="2519"/>
      <c r="L2" s="2519"/>
      <c r="M2" s="2519"/>
      <c r="N2" s="2519"/>
      <c r="O2" s="2519"/>
      <c r="P2" s="2519"/>
      <c r="Q2" s="2519"/>
      <c r="R2" s="2519"/>
      <c r="S2" s="2519"/>
      <c r="T2" s="2519"/>
      <c r="U2" s="2519"/>
      <c r="V2" s="2519"/>
      <c r="W2" s="2519"/>
      <c r="X2" s="2519"/>
      <c r="Y2" s="2519"/>
      <c r="Z2" s="2519"/>
      <c r="AA2" s="2519"/>
      <c r="AB2" s="2519"/>
      <c r="AC2" s="2519"/>
      <c r="AD2" s="2519"/>
      <c r="AE2" s="2519"/>
      <c r="AF2" s="2519"/>
      <c r="AG2" s="2519"/>
      <c r="AH2" s="2519"/>
      <c r="AI2" s="2519"/>
      <c r="AJ2" s="2519"/>
      <c r="AK2" s="2519"/>
      <c r="AL2" s="2519"/>
      <c r="AM2" s="2519"/>
      <c r="AN2" s="2519"/>
      <c r="AO2" s="2519"/>
      <c r="AP2" s="2519"/>
      <c r="AQ2" s="2519"/>
      <c r="AR2" s="2519"/>
      <c r="AS2" s="2519"/>
      <c r="AT2" s="2519"/>
      <c r="AU2" s="2519"/>
      <c r="AV2" s="2519"/>
      <c r="AW2" s="2519"/>
      <c r="AX2" s="2519"/>
      <c r="AY2" s="2519"/>
      <c r="AZ2" s="2519"/>
      <c r="BA2" s="2519"/>
      <c r="BB2" s="2519"/>
      <c r="BC2" s="2519"/>
      <c r="BD2" s="2519"/>
      <c r="BE2" s="2519"/>
      <c r="BF2" s="2519"/>
      <c r="BG2" s="2519"/>
      <c r="BH2" s="2519"/>
      <c r="BI2" s="2519"/>
      <c r="BJ2" s="2519"/>
      <c r="BK2" s="2519"/>
      <c r="BL2" s="2519"/>
      <c r="BM2" s="2519"/>
      <c r="BN2" s="2519"/>
      <c r="BO2" s="2519"/>
      <c r="BP2" s="2519"/>
      <c r="BQ2" s="2519"/>
      <c r="BR2" s="2519"/>
      <c r="BS2" s="2368"/>
      <c r="BT2" s="2203" t="s">
        <v>2</v>
      </c>
      <c r="BU2" s="4595" t="s">
        <v>1073</v>
      </c>
    </row>
    <row r="3" spans="1:73" ht="15.75" x14ac:dyDescent="0.25">
      <c r="A3" s="2519"/>
      <c r="B3" s="2519"/>
      <c r="C3" s="2519"/>
      <c r="D3" s="2519"/>
      <c r="E3" s="2519"/>
      <c r="F3" s="2519"/>
      <c r="G3" s="2519"/>
      <c r="H3" s="2519"/>
      <c r="I3" s="2519"/>
      <c r="J3" s="2519"/>
      <c r="K3" s="2519"/>
      <c r="L3" s="2519"/>
      <c r="M3" s="2519"/>
      <c r="N3" s="2519"/>
      <c r="O3" s="2519"/>
      <c r="P3" s="2519"/>
      <c r="Q3" s="2519"/>
      <c r="R3" s="2519"/>
      <c r="S3" s="2519"/>
      <c r="T3" s="2519"/>
      <c r="U3" s="2519"/>
      <c r="V3" s="2519"/>
      <c r="W3" s="2519"/>
      <c r="X3" s="2519"/>
      <c r="Y3" s="2519"/>
      <c r="Z3" s="2519"/>
      <c r="AA3" s="2519"/>
      <c r="AB3" s="2519"/>
      <c r="AC3" s="2519"/>
      <c r="AD3" s="2519"/>
      <c r="AE3" s="2519"/>
      <c r="AF3" s="2519"/>
      <c r="AG3" s="2519"/>
      <c r="AH3" s="2519"/>
      <c r="AI3" s="2519"/>
      <c r="AJ3" s="2519"/>
      <c r="AK3" s="2519"/>
      <c r="AL3" s="2519"/>
      <c r="AM3" s="2519"/>
      <c r="AN3" s="2519"/>
      <c r="AO3" s="2519"/>
      <c r="AP3" s="2519"/>
      <c r="AQ3" s="2519"/>
      <c r="AR3" s="2519"/>
      <c r="AS3" s="2519"/>
      <c r="AT3" s="2519"/>
      <c r="AU3" s="2519"/>
      <c r="AV3" s="2519"/>
      <c r="AW3" s="2519"/>
      <c r="AX3" s="2519"/>
      <c r="AY3" s="2519"/>
      <c r="AZ3" s="2519"/>
      <c r="BA3" s="2519"/>
      <c r="BB3" s="2519"/>
      <c r="BC3" s="2519"/>
      <c r="BD3" s="2519"/>
      <c r="BE3" s="2519"/>
      <c r="BF3" s="2519"/>
      <c r="BG3" s="2519"/>
      <c r="BH3" s="2519"/>
      <c r="BI3" s="2519"/>
      <c r="BJ3" s="2519"/>
      <c r="BK3" s="2519"/>
      <c r="BL3" s="2519"/>
      <c r="BM3" s="2519"/>
      <c r="BN3" s="2519"/>
      <c r="BO3" s="2519"/>
      <c r="BP3" s="2519"/>
      <c r="BQ3" s="2519"/>
      <c r="BR3" s="2519"/>
      <c r="BS3" s="2368"/>
      <c r="BT3" s="2203" t="s">
        <v>4</v>
      </c>
      <c r="BU3" s="4596">
        <v>44266</v>
      </c>
    </row>
    <row r="4" spans="1:73" ht="15.75" x14ac:dyDescent="0.25">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9"/>
      <c r="BT4" s="2203" t="s">
        <v>5</v>
      </c>
      <c r="BU4" s="4597" t="s">
        <v>6</v>
      </c>
    </row>
    <row r="5" spans="1:73" ht="15.75" x14ac:dyDescent="0.25">
      <c r="A5" s="2362" t="s">
        <v>7</v>
      </c>
      <c r="B5" s="2363"/>
      <c r="C5" s="2363"/>
      <c r="D5" s="2363"/>
      <c r="E5" s="2363"/>
      <c r="F5" s="2363"/>
      <c r="G5" s="2363"/>
      <c r="H5" s="2363"/>
      <c r="I5" s="2363"/>
      <c r="J5" s="2363"/>
      <c r="K5" s="2363"/>
      <c r="L5" s="2363"/>
      <c r="M5" s="2363"/>
      <c r="N5" s="2363"/>
      <c r="O5" s="2363"/>
      <c r="P5" s="3352"/>
      <c r="Q5" s="3587"/>
      <c r="R5" s="3586"/>
      <c r="S5" s="3586"/>
      <c r="T5" s="3586"/>
      <c r="U5" s="3586"/>
      <c r="V5" s="3586"/>
      <c r="W5" s="3586"/>
      <c r="X5" s="3586"/>
      <c r="Y5" s="3587"/>
      <c r="Z5" s="3587"/>
      <c r="AA5" s="3587"/>
      <c r="AB5" s="3587"/>
      <c r="AC5" s="3586"/>
      <c r="AD5" s="3586"/>
      <c r="AE5" s="3586"/>
      <c r="AF5" s="3586"/>
      <c r="AG5" s="3586"/>
      <c r="AH5" s="3586"/>
      <c r="AI5" s="3586"/>
      <c r="AJ5" s="3586"/>
      <c r="AK5" s="3586"/>
      <c r="AL5" s="3586"/>
      <c r="AM5" s="3586"/>
      <c r="AN5" s="3586"/>
      <c r="AO5" s="3586"/>
      <c r="AP5" s="3586"/>
      <c r="AQ5" s="3586"/>
      <c r="AR5" s="3586"/>
      <c r="AS5" s="3586"/>
      <c r="AT5" s="3586"/>
      <c r="AU5" s="3586"/>
      <c r="AV5" s="3586"/>
      <c r="AW5" s="3586"/>
      <c r="AX5" s="3586"/>
      <c r="AY5" s="3586"/>
      <c r="AZ5" s="3586"/>
      <c r="BA5" s="3586"/>
      <c r="BB5" s="3586"/>
      <c r="BC5" s="3586"/>
      <c r="BD5" s="3586"/>
      <c r="BE5" s="3586"/>
      <c r="BF5" s="3586"/>
      <c r="BG5" s="3586"/>
      <c r="BH5" s="3586"/>
      <c r="BI5" s="3586"/>
      <c r="BJ5" s="3586"/>
      <c r="BK5" s="3586"/>
      <c r="BL5" s="3586"/>
      <c r="BM5" s="3586"/>
      <c r="BN5" s="3586"/>
      <c r="BO5" s="3586"/>
      <c r="BP5" s="3586"/>
      <c r="BQ5" s="3586"/>
      <c r="BR5" s="3586"/>
      <c r="BS5" s="3586"/>
      <c r="BT5" s="3586"/>
      <c r="BU5" s="3586"/>
    </row>
    <row r="6" spans="1:73" ht="15.75" x14ac:dyDescent="0.25">
      <c r="A6" s="2364"/>
      <c r="B6" s="2365"/>
      <c r="C6" s="2365"/>
      <c r="D6" s="2365"/>
      <c r="E6" s="2365"/>
      <c r="F6" s="2365"/>
      <c r="G6" s="2365"/>
      <c r="H6" s="2365"/>
      <c r="I6" s="2365"/>
      <c r="J6" s="2365"/>
      <c r="K6" s="2365"/>
      <c r="L6" s="2365"/>
      <c r="M6" s="2365"/>
      <c r="N6" s="2365"/>
      <c r="O6" s="2365"/>
      <c r="P6" s="2369"/>
      <c r="Q6" s="2202"/>
      <c r="R6" s="2202"/>
      <c r="S6" s="2202"/>
      <c r="T6" s="2202"/>
      <c r="U6" s="2202"/>
      <c r="V6" s="2202"/>
      <c r="W6" s="2202"/>
      <c r="X6" s="2202"/>
      <c r="Y6" s="2202"/>
      <c r="Z6" s="2202"/>
      <c r="AA6" s="2202"/>
      <c r="AB6" s="2202"/>
      <c r="AC6" s="2202"/>
      <c r="AD6" s="2202"/>
      <c r="AE6" s="2202"/>
      <c r="AF6" s="2202"/>
      <c r="AG6" s="2202"/>
      <c r="AH6" s="2371" t="s">
        <v>8</v>
      </c>
      <c r="AI6" s="2367"/>
      <c r="AJ6" s="2367"/>
      <c r="AK6" s="2367"/>
      <c r="AL6" s="2367"/>
      <c r="AM6" s="2367"/>
      <c r="AN6" s="2367"/>
      <c r="AO6" s="2367"/>
      <c r="AP6" s="2367"/>
      <c r="AQ6" s="2367"/>
      <c r="AR6" s="2367"/>
      <c r="AS6" s="2367"/>
      <c r="AT6" s="2367"/>
      <c r="AU6" s="2367"/>
      <c r="AV6" s="2367"/>
      <c r="AW6" s="2367"/>
      <c r="AX6" s="2367"/>
      <c r="AY6" s="2367"/>
      <c r="AZ6" s="2367"/>
      <c r="BA6" s="2367"/>
      <c r="BB6" s="2367"/>
      <c r="BC6" s="2367"/>
      <c r="BD6" s="2367"/>
      <c r="BE6" s="2367"/>
      <c r="BF6" s="2367"/>
      <c r="BG6" s="2367"/>
      <c r="BH6" s="2367"/>
      <c r="BI6" s="2367"/>
      <c r="BJ6" s="2367"/>
      <c r="BK6" s="2367"/>
      <c r="BL6" s="2367"/>
      <c r="BM6" s="2367"/>
      <c r="BN6" s="2367"/>
      <c r="BO6" s="2367"/>
      <c r="BP6" s="2367"/>
      <c r="BQ6" s="2368"/>
      <c r="BR6" s="2202"/>
      <c r="BS6" s="2202"/>
      <c r="BT6" s="2202"/>
      <c r="BU6" s="2211"/>
    </row>
    <row r="7" spans="1:73" ht="30" customHeight="1" x14ac:dyDescent="0.25">
      <c r="A7" s="4598" t="s">
        <v>9</v>
      </c>
      <c r="B7" s="4598"/>
      <c r="C7" s="4598" t="s">
        <v>10</v>
      </c>
      <c r="D7" s="4598"/>
      <c r="E7" s="4598" t="s">
        <v>11</v>
      </c>
      <c r="F7" s="4598"/>
      <c r="G7" s="2525" t="s">
        <v>12</v>
      </c>
      <c r="H7" s="4210"/>
      <c r="I7" s="4210"/>
      <c r="J7" s="4210"/>
      <c r="K7" s="2525" t="s">
        <v>13</v>
      </c>
      <c r="L7" s="4210"/>
      <c r="M7" s="4210"/>
      <c r="N7" s="4210"/>
      <c r="O7" s="2541" t="s">
        <v>14</v>
      </c>
      <c r="P7" s="2542"/>
      <c r="Q7" s="2542"/>
      <c r="R7" s="2542"/>
      <c r="S7" s="2542"/>
      <c r="T7" s="2542"/>
      <c r="U7" s="2542"/>
      <c r="V7" s="2542"/>
      <c r="W7" s="2542"/>
      <c r="X7" s="2542"/>
      <c r="Y7" s="2542"/>
      <c r="Z7" s="2543"/>
      <c r="AA7" s="2372" t="s">
        <v>15</v>
      </c>
      <c r="AB7" s="2372"/>
      <c r="AC7" s="2372"/>
      <c r="AD7" s="2349" t="s">
        <v>16</v>
      </c>
      <c r="AE7" s="2350"/>
      <c r="AF7" s="2350"/>
      <c r="AG7" s="2351"/>
      <c r="AH7" s="2352" t="s">
        <v>17</v>
      </c>
      <c r="AI7" s="2353"/>
      <c r="AJ7" s="2353"/>
      <c r="AK7" s="2353"/>
      <c r="AL7" s="2353"/>
      <c r="AM7" s="2353"/>
      <c r="AN7" s="2353"/>
      <c r="AO7" s="2354"/>
      <c r="AP7" s="2360" t="s">
        <v>18</v>
      </c>
      <c r="AQ7" s="2507"/>
      <c r="AR7" s="2507"/>
      <c r="AS7" s="2507"/>
      <c r="AT7" s="2507"/>
      <c r="AU7" s="2507"/>
      <c r="AV7" s="2507"/>
      <c r="AW7" s="2507"/>
      <c r="AX7" s="2507"/>
      <c r="AY7" s="2507"/>
      <c r="AZ7" s="2507"/>
      <c r="BA7" s="2361"/>
      <c r="BB7" s="2352" t="s">
        <v>19</v>
      </c>
      <c r="BC7" s="2353"/>
      <c r="BD7" s="2353"/>
      <c r="BE7" s="2353"/>
      <c r="BF7" s="2353"/>
      <c r="BG7" s="2354"/>
      <c r="BH7" s="2527" t="s">
        <v>20</v>
      </c>
      <c r="BI7" s="2528"/>
      <c r="BJ7" s="3358" t="s">
        <v>21</v>
      </c>
      <c r="BK7" s="3359"/>
      <c r="BL7" s="3359"/>
      <c r="BM7" s="3359"/>
      <c r="BN7" s="3359"/>
      <c r="BO7" s="3359"/>
      <c r="BP7" s="3360"/>
      <c r="BQ7" s="4213" t="s">
        <v>1031</v>
      </c>
      <c r="BR7" s="4214"/>
      <c r="BS7" s="4217" t="s">
        <v>1032</v>
      </c>
      <c r="BT7" s="4214"/>
      <c r="BU7" s="2639" t="s">
        <v>24</v>
      </c>
    </row>
    <row r="8" spans="1:73" ht="144.75" customHeight="1" x14ac:dyDescent="0.25">
      <c r="A8" s="2204" t="s">
        <v>25</v>
      </c>
      <c r="B8" s="2216" t="s">
        <v>26</v>
      </c>
      <c r="C8" s="2204" t="s">
        <v>25</v>
      </c>
      <c r="D8" s="2216" t="s">
        <v>26</v>
      </c>
      <c r="E8" s="2216" t="s">
        <v>25</v>
      </c>
      <c r="F8" s="2216" t="s">
        <v>26</v>
      </c>
      <c r="G8" s="2216" t="s">
        <v>27</v>
      </c>
      <c r="H8" s="2216" t="s">
        <v>28</v>
      </c>
      <c r="I8" s="2216" t="s">
        <v>29</v>
      </c>
      <c r="J8" s="2216" t="s">
        <v>131</v>
      </c>
      <c r="K8" s="2216" t="s">
        <v>27</v>
      </c>
      <c r="L8" s="2216" t="s">
        <v>31</v>
      </c>
      <c r="M8" s="2216" t="s">
        <v>32</v>
      </c>
      <c r="N8" s="2226" t="s">
        <v>33</v>
      </c>
      <c r="O8" s="4436" t="s">
        <v>130</v>
      </c>
      <c r="P8" s="4437"/>
      <c r="Q8" s="2216" t="s">
        <v>35</v>
      </c>
      <c r="R8" s="2216" t="s">
        <v>36</v>
      </c>
      <c r="S8" s="2217" t="s">
        <v>37</v>
      </c>
      <c r="T8" s="2218" t="s">
        <v>38</v>
      </c>
      <c r="U8" s="2216" t="s">
        <v>39</v>
      </c>
      <c r="V8" s="2216" t="s">
        <v>40</v>
      </c>
      <c r="W8" s="2216" t="s">
        <v>41</v>
      </c>
      <c r="X8" s="4554" t="s">
        <v>3287</v>
      </c>
      <c r="Y8" s="4555"/>
      <c r="Z8" s="4556"/>
      <c r="AA8" s="2216" t="s">
        <v>43</v>
      </c>
      <c r="AB8" s="2204" t="s">
        <v>44</v>
      </c>
      <c r="AC8" s="2216" t="s">
        <v>26</v>
      </c>
      <c r="AD8" s="2358" t="s">
        <v>45</v>
      </c>
      <c r="AE8" s="2359"/>
      <c r="AF8" s="2341" t="s">
        <v>46</v>
      </c>
      <c r="AG8" s="2342"/>
      <c r="AH8" s="2358" t="s">
        <v>47</v>
      </c>
      <c r="AI8" s="2359"/>
      <c r="AJ8" s="2358" t="s">
        <v>48</v>
      </c>
      <c r="AK8" s="2359"/>
      <c r="AL8" s="2358" t="s">
        <v>134</v>
      </c>
      <c r="AM8" s="2359"/>
      <c r="AN8" s="2358" t="s">
        <v>50</v>
      </c>
      <c r="AO8" s="2359"/>
      <c r="AP8" s="2358" t="s">
        <v>51</v>
      </c>
      <c r="AQ8" s="2359"/>
      <c r="AR8" s="2358" t="s">
        <v>52</v>
      </c>
      <c r="AS8" s="2359"/>
      <c r="AT8" s="2358" t="s">
        <v>53</v>
      </c>
      <c r="AU8" s="2359"/>
      <c r="AV8" s="2358" t="s">
        <v>54</v>
      </c>
      <c r="AW8" s="2359"/>
      <c r="AX8" s="2358" t="s">
        <v>55</v>
      </c>
      <c r="AY8" s="2359"/>
      <c r="AZ8" s="2358" t="s">
        <v>722</v>
      </c>
      <c r="BA8" s="2359"/>
      <c r="BB8" s="2358" t="s">
        <v>57</v>
      </c>
      <c r="BC8" s="2359"/>
      <c r="BD8" s="3368" t="s">
        <v>58</v>
      </c>
      <c r="BE8" s="3369"/>
      <c r="BF8" s="3368" t="s">
        <v>59</v>
      </c>
      <c r="BG8" s="3369"/>
      <c r="BH8" s="2529"/>
      <c r="BI8" s="2530"/>
      <c r="BJ8" s="2336" t="s">
        <v>60</v>
      </c>
      <c r="BK8" s="2499" t="s">
        <v>136</v>
      </c>
      <c r="BL8" s="2336" t="s">
        <v>137</v>
      </c>
      <c r="BM8" s="2501" t="s">
        <v>63</v>
      </c>
      <c r="BN8" s="2334" t="s">
        <v>64</v>
      </c>
      <c r="BO8" s="2335"/>
      <c r="BP8" s="2336" t="s">
        <v>65</v>
      </c>
      <c r="BQ8" s="4215"/>
      <c r="BR8" s="4216"/>
      <c r="BS8" s="4218"/>
      <c r="BT8" s="4216"/>
      <c r="BU8" s="2639"/>
    </row>
    <row r="9" spans="1:73" ht="21.75" customHeight="1" x14ac:dyDescent="0.25">
      <c r="A9" s="4599"/>
      <c r="B9" s="2228"/>
      <c r="C9" s="2228"/>
      <c r="D9" s="2228"/>
      <c r="E9" s="2228"/>
      <c r="F9" s="2228"/>
      <c r="G9" s="2228"/>
      <c r="H9" s="2228"/>
      <c r="I9" s="2228"/>
      <c r="J9" s="2228"/>
      <c r="K9" s="4600"/>
      <c r="L9" s="4600"/>
      <c r="M9" s="4600"/>
      <c r="N9" s="2228"/>
      <c r="O9" s="2216" t="s">
        <v>138</v>
      </c>
      <c r="P9" s="2227" t="s">
        <v>139</v>
      </c>
      <c r="Q9" s="2228"/>
      <c r="R9" s="2228"/>
      <c r="S9" s="4601"/>
      <c r="T9" s="4602"/>
      <c r="U9" s="2228"/>
      <c r="V9" s="2228"/>
      <c r="W9" s="2228"/>
      <c r="X9" s="2218" t="s">
        <v>3288</v>
      </c>
      <c r="Y9" s="2218" t="s">
        <v>1628</v>
      </c>
      <c r="Z9" s="2218" t="s">
        <v>141</v>
      </c>
      <c r="AA9" s="4602"/>
      <c r="AB9" s="4599"/>
      <c r="AC9" s="2228"/>
      <c r="AD9" s="4603"/>
      <c r="AE9" s="4603"/>
      <c r="AF9" s="4604"/>
      <c r="AG9" s="4604"/>
      <c r="AH9" s="4603"/>
      <c r="AI9" s="4603"/>
      <c r="AJ9" s="4603"/>
      <c r="AK9" s="4603"/>
      <c r="AL9" s="4603"/>
      <c r="AM9" s="4603"/>
      <c r="AN9" s="4603"/>
      <c r="AO9" s="4603"/>
      <c r="AP9" s="4603"/>
      <c r="AQ9" s="4603"/>
      <c r="AR9" s="4603"/>
      <c r="AS9" s="4603"/>
      <c r="AT9" s="4603"/>
      <c r="AU9" s="4603"/>
      <c r="AV9" s="4603"/>
      <c r="AW9" s="4603"/>
      <c r="AX9" s="4603"/>
      <c r="AY9" s="4603"/>
      <c r="AZ9" s="4603"/>
      <c r="BA9" s="4603"/>
      <c r="BB9" s="4603"/>
      <c r="BC9" s="4603"/>
      <c r="BD9" s="4603"/>
      <c r="BE9" s="4603"/>
      <c r="BF9" s="4603"/>
      <c r="BG9" s="4603"/>
      <c r="BH9" s="4603"/>
      <c r="BI9" s="4603"/>
      <c r="BJ9" s="2337"/>
      <c r="BK9" s="2500"/>
      <c r="BL9" s="2337"/>
      <c r="BM9" s="2502"/>
      <c r="BN9" s="15" t="s">
        <v>25</v>
      </c>
      <c r="BO9" s="2205" t="s">
        <v>26</v>
      </c>
      <c r="BP9" s="2337"/>
      <c r="BQ9" s="776" t="s">
        <v>66</v>
      </c>
      <c r="BR9" s="777" t="s">
        <v>67</v>
      </c>
      <c r="BS9" s="777" t="s">
        <v>66</v>
      </c>
      <c r="BT9" s="777" t="s">
        <v>67</v>
      </c>
      <c r="BU9" s="4605"/>
    </row>
    <row r="10" spans="1:73" ht="15.75" x14ac:dyDescent="0.25">
      <c r="A10" s="4606">
        <v>1</v>
      </c>
      <c r="B10" s="4607" t="s">
        <v>408</v>
      </c>
      <c r="C10" s="4607"/>
      <c r="D10" s="4607"/>
      <c r="E10" s="4607"/>
      <c r="F10" s="4607"/>
      <c r="G10" s="4607"/>
      <c r="H10" s="4607"/>
      <c r="I10" s="4607"/>
      <c r="J10" s="4608"/>
      <c r="K10" s="1205" t="s">
        <v>319</v>
      </c>
      <c r="L10" s="1205"/>
      <c r="M10" s="1205" t="s">
        <v>319</v>
      </c>
      <c r="N10" s="1205"/>
      <c r="O10" s="1205" t="s">
        <v>319</v>
      </c>
      <c r="P10" s="1205"/>
      <c r="Q10" s="1205" t="s">
        <v>319</v>
      </c>
      <c r="R10" s="1205" t="s">
        <v>319</v>
      </c>
      <c r="S10" s="1205" t="s">
        <v>319</v>
      </c>
      <c r="T10" s="1205" t="s">
        <v>319</v>
      </c>
      <c r="U10" s="1205" t="s">
        <v>319</v>
      </c>
      <c r="V10" s="1205" t="s">
        <v>319</v>
      </c>
      <c r="W10" s="1205" t="s">
        <v>319</v>
      </c>
      <c r="X10" s="1205" t="s">
        <v>319</v>
      </c>
      <c r="Y10" s="1205"/>
      <c r="Z10" s="1205"/>
      <c r="AA10" s="1205" t="s">
        <v>319</v>
      </c>
      <c r="AB10" s="1205" t="s">
        <v>319</v>
      </c>
      <c r="AC10" s="1205" t="s">
        <v>319</v>
      </c>
      <c r="AD10" s="1205" t="s">
        <v>319</v>
      </c>
      <c r="AE10" s="1205"/>
      <c r="AF10" s="1205" t="s">
        <v>319</v>
      </c>
      <c r="AG10" s="1205"/>
      <c r="AH10" s="1205" t="s">
        <v>319</v>
      </c>
      <c r="AI10" s="1205"/>
      <c r="AJ10" s="1205" t="s">
        <v>319</v>
      </c>
      <c r="AK10" s="1205"/>
      <c r="AL10" s="1205" t="s">
        <v>319</v>
      </c>
      <c r="AM10" s="1205"/>
      <c r="AN10" s="1205" t="s">
        <v>319</v>
      </c>
      <c r="AO10" s="1205"/>
      <c r="AP10" s="1205" t="s">
        <v>319</v>
      </c>
      <c r="AQ10" s="1205"/>
      <c r="AR10" s="1205" t="s">
        <v>319</v>
      </c>
      <c r="AS10" s="1205"/>
      <c r="AT10" s="1205" t="s">
        <v>319</v>
      </c>
      <c r="AU10" s="1205"/>
      <c r="AV10" s="1205" t="s">
        <v>319</v>
      </c>
      <c r="AW10" s="1205"/>
      <c r="AX10" s="1205" t="s">
        <v>319</v>
      </c>
      <c r="AY10" s="1205"/>
      <c r="AZ10" s="1205" t="s">
        <v>319</v>
      </c>
      <c r="BA10" s="1205"/>
      <c r="BB10" s="1205" t="s">
        <v>319</v>
      </c>
      <c r="BC10" s="1205"/>
      <c r="BD10" s="1205" t="s">
        <v>319</v>
      </c>
      <c r="BE10" s="1205"/>
      <c r="BF10" s="1205" t="s">
        <v>319</v>
      </c>
      <c r="BG10" s="1205"/>
      <c r="BH10" s="1205" t="s">
        <v>319</v>
      </c>
      <c r="BI10" s="1205"/>
      <c r="BJ10" s="1205"/>
      <c r="BK10" s="1205"/>
      <c r="BL10" s="1205"/>
      <c r="BM10" s="1205"/>
      <c r="BN10" s="1205"/>
      <c r="BO10" s="1205"/>
      <c r="BP10" s="1205"/>
      <c r="BQ10" s="1205" t="s">
        <v>319</v>
      </c>
      <c r="BR10" s="1205"/>
      <c r="BS10" s="1205" t="s">
        <v>319</v>
      </c>
      <c r="BT10" s="1205"/>
      <c r="BU10" s="4609" t="s">
        <v>319</v>
      </c>
    </row>
    <row r="11" spans="1:73" ht="15.75" x14ac:dyDescent="0.25">
      <c r="A11" s="1359"/>
      <c r="B11" s="4610"/>
      <c r="C11" s="1748">
        <v>43</v>
      </c>
      <c r="D11" s="4192" t="s">
        <v>493</v>
      </c>
      <c r="E11" s="2775"/>
      <c r="F11" s="2775"/>
      <c r="G11" s="2775"/>
      <c r="H11" s="2775"/>
      <c r="I11" s="2775"/>
      <c r="J11" s="2775"/>
      <c r="K11" s="2775"/>
      <c r="L11" s="2775"/>
      <c r="M11" s="2775"/>
      <c r="N11" s="2214"/>
      <c r="O11" s="4611"/>
      <c r="P11" s="4611"/>
      <c r="Q11" s="4611"/>
      <c r="R11" s="4611"/>
      <c r="S11" s="4611"/>
      <c r="T11" s="4611"/>
      <c r="U11" s="4611"/>
      <c r="V11" s="4611"/>
      <c r="W11" s="4611"/>
      <c r="X11" s="4611"/>
      <c r="Y11" s="4611"/>
      <c r="Z11" s="4611"/>
      <c r="AA11" s="4611"/>
      <c r="AB11" s="4611"/>
      <c r="AC11" s="4611"/>
      <c r="AD11" s="4611"/>
      <c r="AE11" s="4611"/>
      <c r="AF11" s="4611"/>
      <c r="AG11" s="4611"/>
      <c r="AH11" s="4611"/>
      <c r="AI11" s="4611"/>
      <c r="AJ11" s="4611"/>
      <c r="AK11" s="4611"/>
      <c r="AL11" s="4611"/>
      <c r="AM11" s="4611"/>
      <c r="AN11" s="4611"/>
      <c r="AO11" s="4611"/>
      <c r="AP11" s="4611"/>
      <c r="AQ11" s="4611"/>
      <c r="AR11" s="4611"/>
      <c r="AS11" s="4611"/>
      <c r="AT11" s="4611"/>
      <c r="AU11" s="4611"/>
      <c r="AV11" s="4611"/>
      <c r="AW11" s="4611"/>
      <c r="AX11" s="4611"/>
      <c r="AY11" s="4611"/>
      <c r="AZ11" s="4611"/>
      <c r="BA11" s="4611"/>
      <c r="BB11" s="4611"/>
      <c r="BC11" s="4611"/>
      <c r="BD11" s="4611"/>
      <c r="BE11" s="4611"/>
      <c r="BF11" s="4611"/>
      <c r="BG11" s="4611"/>
      <c r="BH11" s="4611"/>
      <c r="BI11" s="4611"/>
      <c r="BJ11" s="4611"/>
      <c r="BK11" s="4611"/>
      <c r="BL11" s="4611"/>
      <c r="BM11" s="4611"/>
      <c r="BN11" s="4611"/>
      <c r="BO11" s="4611"/>
      <c r="BP11" s="4611"/>
      <c r="BQ11" s="4611"/>
      <c r="BR11" s="4611"/>
      <c r="BS11" s="4611"/>
      <c r="BT11" s="4611"/>
      <c r="BU11" s="4612"/>
    </row>
    <row r="12" spans="1:73" ht="15.75" x14ac:dyDescent="0.25">
      <c r="A12" s="2213"/>
      <c r="B12" s="4613" t="s">
        <v>319</v>
      </c>
      <c r="C12" s="4614"/>
      <c r="D12" s="4613"/>
      <c r="E12" s="47">
        <v>4301</v>
      </c>
      <c r="F12" s="4615" t="s">
        <v>494</v>
      </c>
      <c r="G12" s="4616"/>
      <c r="H12" s="4616"/>
      <c r="I12" s="4616"/>
      <c r="J12" s="4616"/>
      <c r="K12" s="4616"/>
      <c r="L12" s="4616"/>
      <c r="M12" s="4616"/>
      <c r="N12" s="4616"/>
      <c r="O12" s="4616"/>
      <c r="P12" s="4616"/>
      <c r="Q12" s="4616"/>
      <c r="R12" s="4616"/>
      <c r="S12" s="4616"/>
      <c r="T12" s="4616"/>
      <c r="U12" s="4616"/>
      <c r="V12" s="4617" t="s">
        <v>319</v>
      </c>
      <c r="W12" s="4617" t="s">
        <v>319</v>
      </c>
      <c r="X12" s="4617" t="s">
        <v>319</v>
      </c>
      <c r="Y12" s="4617"/>
      <c r="Z12" s="4617"/>
      <c r="AA12" s="4617" t="s">
        <v>319</v>
      </c>
      <c r="AB12" s="4617" t="s">
        <v>319</v>
      </c>
      <c r="AC12" s="4617" t="s">
        <v>319</v>
      </c>
      <c r="AD12" s="4618" t="s">
        <v>319</v>
      </c>
      <c r="AE12" s="4618"/>
      <c r="AF12" s="4618" t="s">
        <v>319</v>
      </c>
      <c r="AG12" s="4618"/>
      <c r="AH12" s="4618" t="s">
        <v>319</v>
      </c>
      <c r="AI12" s="4618"/>
      <c r="AJ12" s="4618" t="s">
        <v>319</v>
      </c>
      <c r="AK12" s="4618"/>
      <c r="AL12" s="4618" t="s">
        <v>319</v>
      </c>
      <c r="AM12" s="4618"/>
      <c r="AN12" s="4618" t="s">
        <v>319</v>
      </c>
      <c r="AO12" s="4618"/>
      <c r="AP12" s="4618" t="s">
        <v>319</v>
      </c>
      <c r="AQ12" s="4618"/>
      <c r="AR12" s="4618" t="s">
        <v>319</v>
      </c>
      <c r="AS12" s="4618"/>
      <c r="AT12" s="4618" t="s">
        <v>319</v>
      </c>
      <c r="AU12" s="4618"/>
      <c r="AV12" s="4618" t="s">
        <v>319</v>
      </c>
      <c r="AW12" s="4618"/>
      <c r="AX12" s="4618" t="s">
        <v>319</v>
      </c>
      <c r="AY12" s="4618"/>
      <c r="AZ12" s="4618" t="s">
        <v>319</v>
      </c>
      <c r="BA12" s="4618"/>
      <c r="BB12" s="4618" t="s">
        <v>319</v>
      </c>
      <c r="BC12" s="4618"/>
      <c r="BD12" s="4618" t="s">
        <v>319</v>
      </c>
      <c r="BE12" s="4618"/>
      <c r="BF12" s="4618" t="s">
        <v>319</v>
      </c>
      <c r="BG12" s="4618"/>
      <c r="BH12" s="4618" t="s">
        <v>319</v>
      </c>
      <c r="BI12" s="4618"/>
      <c r="BJ12" s="4618"/>
      <c r="BK12" s="4618"/>
      <c r="BL12" s="4618"/>
      <c r="BM12" s="4618"/>
      <c r="BN12" s="4618"/>
      <c r="BO12" s="4618"/>
      <c r="BP12" s="4618"/>
      <c r="BQ12" s="4618" t="s">
        <v>319</v>
      </c>
      <c r="BR12" s="4618"/>
      <c r="BS12" s="4618" t="s">
        <v>319</v>
      </c>
      <c r="BT12" s="4618"/>
      <c r="BU12" s="4619" t="s">
        <v>319</v>
      </c>
    </row>
    <row r="13" spans="1:73" s="4642" customFormat="1" ht="37.5" customHeight="1" x14ac:dyDescent="0.25">
      <c r="A13" s="4620"/>
      <c r="B13" s="4621"/>
      <c r="C13" s="4622"/>
      <c r="D13" s="4623"/>
      <c r="E13" s="4624" t="s">
        <v>319</v>
      </c>
      <c r="F13" s="4624" t="s">
        <v>319</v>
      </c>
      <c r="G13" s="4625">
        <v>4301007</v>
      </c>
      <c r="H13" s="4626" t="s">
        <v>3289</v>
      </c>
      <c r="I13" s="4625">
        <v>4301007</v>
      </c>
      <c r="J13" s="4626" t="s">
        <v>3289</v>
      </c>
      <c r="K13" s="4625">
        <v>430100701</v>
      </c>
      <c r="L13" s="4626" t="s">
        <v>3290</v>
      </c>
      <c r="M13" s="4625">
        <v>430100701</v>
      </c>
      <c r="N13" s="4626" t="s">
        <v>3290</v>
      </c>
      <c r="O13" s="4627">
        <v>12</v>
      </c>
      <c r="P13" s="4627">
        <v>0</v>
      </c>
      <c r="Q13" s="4628">
        <v>2020003630009</v>
      </c>
      <c r="R13" s="4627" t="s">
        <v>3291</v>
      </c>
      <c r="S13" s="4629">
        <f>SUM(X13:X23)/T13</f>
        <v>0.50864044185503643</v>
      </c>
      <c r="T13" s="4630">
        <f>SUM(X13:X51)</f>
        <v>5232666192.1399994</v>
      </c>
      <c r="U13" s="4631" t="s">
        <v>3292</v>
      </c>
      <c r="V13" s="4631" t="s">
        <v>3293</v>
      </c>
      <c r="W13" s="4632" t="s">
        <v>3294</v>
      </c>
      <c r="X13" s="4633">
        <v>745120983.30999994</v>
      </c>
      <c r="Y13" s="4634">
        <v>349158161.13999999</v>
      </c>
      <c r="Z13" s="4634">
        <v>349158161.13999999</v>
      </c>
      <c r="AA13" s="2225" t="s">
        <v>3295</v>
      </c>
      <c r="AB13" s="2225">
        <v>5</v>
      </c>
      <c r="AC13" s="2225" t="s">
        <v>3296</v>
      </c>
      <c r="AD13" s="4635">
        <v>6.9909999999999997</v>
      </c>
      <c r="AE13" s="4636">
        <v>986</v>
      </c>
      <c r="AF13" s="4151">
        <v>6.4530000000000003</v>
      </c>
      <c r="AG13" s="4636">
        <v>16</v>
      </c>
      <c r="AH13" s="2242">
        <v>3.52</v>
      </c>
      <c r="AI13" s="4636">
        <v>61</v>
      </c>
      <c r="AJ13" s="4151">
        <v>4.3780000000000001</v>
      </c>
      <c r="AK13" s="4636">
        <v>78</v>
      </c>
      <c r="AL13" s="4151">
        <v>4.202</v>
      </c>
      <c r="AM13" s="4636">
        <v>616</v>
      </c>
      <c r="AN13" s="4151">
        <v>1.3440000000000001</v>
      </c>
      <c r="AO13" s="4636">
        <v>247</v>
      </c>
      <c r="AP13" s="4151" t="s">
        <v>319</v>
      </c>
      <c r="AQ13" s="4636"/>
      <c r="AR13" s="4151" t="s">
        <v>319</v>
      </c>
      <c r="AS13" s="4636"/>
      <c r="AT13" s="4151" t="s">
        <v>319</v>
      </c>
      <c r="AU13" s="4636"/>
      <c r="AV13" s="4151" t="s">
        <v>319</v>
      </c>
      <c r="AW13" s="4636"/>
      <c r="AX13" s="4151" t="s">
        <v>319</v>
      </c>
      <c r="AY13" s="4636"/>
      <c r="AZ13" s="4151" t="s">
        <v>319</v>
      </c>
      <c r="BA13" s="4636"/>
      <c r="BB13" s="4151" t="s">
        <v>319</v>
      </c>
      <c r="BC13" s="4636"/>
      <c r="BD13" s="4151" t="s">
        <v>319</v>
      </c>
      <c r="BE13" s="4636"/>
      <c r="BF13" s="4151" t="s">
        <v>319</v>
      </c>
      <c r="BG13" s="4636"/>
      <c r="BH13" s="4151">
        <v>13.444000000000001</v>
      </c>
      <c r="BI13" s="4636">
        <f>+AE13+AG13</f>
        <v>1002</v>
      </c>
      <c r="BJ13" s="4635">
        <v>11</v>
      </c>
      <c r="BK13" s="4637">
        <f>SUM(Y13:Y51)</f>
        <v>1351894166.7800002</v>
      </c>
      <c r="BL13" s="4637">
        <f>SUM(Z13:Z51)</f>
        <v>842376000.77999997</v>
      </c>
      <c r="BM13" s="4638">
        <f>BL13/BK13</f>
        <v>0.62310794844718309</v>
      </c>
      <c r="BN13" s="2219"/>
      <c r="BO13" s="4639"/>
      <c r="BP13" s="4635"/>
      <c r="BQ13" s="4640">
        <v>44200</v>
      </c>
      <c r="BR13" s="4640">
        <v>44228</v>
      </c>
      <c r="BS13" s="4640">
        <v>44560</v>
      </c>
      <c r="BT13" s="4640">
        <v>44346</v>
      </c>
      <c r="BU13" s="4641" t="s">
        <v>3297</v>
      </c>
    </row>
    <row r="14" spans="1:73" s="4642" customFormat="1" ht="37.5" customHeight="1" x14ac:dyDescent="0.25">
      <c r="A14" s="4620"/>
      <c r="B14" s="4621"/>
      <c r="C14" s="4622"/>
      <c r="D14" s="4623"/>
      <c r="E14" s="4624"/>
      <c r="F14" s="4624"/>
      <c r="G14" s="4625"/>
      <c r="H14" s="4643"/>
      <c r="I14" s="4625"/>
      <c r="J14" s="4643"/>
      <c r="K14" s="4625"/>
      <c r="L14" s="4643"/>
      <c r="M14" s="4625"/>
      <c r="N14" s="4643"/>
      <c r="O14" s="4627"/>
      <c r="P14" s="4627"/>
      <c r="Q14" s="4628"/>
      <c r="R14" s="4627"/>
      <c r="S14" s="4629"/>
      <c r="T14" s="4630"/>
      <c r="U14" s="4631"/>
      <c r="V14" s="4631"/>
      <c r="W14" s="4644"/>
      <c r="X14" s="4645">
        <v>460056673.81</v>
      </c>
      <c r="Y14" s="4646">
        <v>384285339.6400001</v>
      </c>
      <c r="Z14" s="4646">
        <v>384285339.63999999</v>
      </c>
      <c r="AA14" s="2221" t="s">
        <v>3298</v>
      </c>
      <c r="AB14" s="2221">
        <v>25</v>
      </c>
      <c r="AC14" s="2221" t="s">
        <v>3299</v>
      </c>
      <c r="AD14" s="4635"/>
      <c r="AE14" s="4636"/>
      <c r="AF14" s="4151"/>
      <c r="AG14" s="4636"/>
      <c r="AH14" s="2242"/>
      <c r="AI14" s="4636"/>
      <c r="AJ14" s="4151"/>
      <c r="AK14" s="4636"/>
      <c r="AL14" s="4151"/>
      <c r="AM14" s="4636"/>
      <c r="AN14" s="4151"/>
      <c r="AO14" s="4636"/>
      <c r="AP14" s="4151"/>
      <c r="AQ14" s="4636"/>
      <c r="AR14" s="4151"/>
      <c r="AS14" s="4636"/>
      <c r="AT14" s="4151"/>
      <c r="AU14" s="4636"/>
      <c r="AV14" s="4151"/>
      <c r="AW14" s="4636"/>
      <c r="AX14" s="4151"/>
      <c r="AY14" s="4636"/>
      <c r="AZ14" s="4151"/>
      <c r="BA14" s="4636"/>
      <c r="BB14" s="4151"/>
      <c r="BC14" s="4636"/>
      <c r="BD14" s="4151"/>
      <c r="BE14" s="4636"/>
      <c r="BF14" s="4151"/>
      <c r="BG14" s="4636"/>
      <c r="BH14" s="4151"/>
      <c r="BI14" s="4636"/>
      <c r="BJ14" s="4635"/>
      <c r="BK14" s="4635"/>
      <c r="BL14" s="4635"/>
      <c r="BM14" s="4638"/>
      <c r="BN14" s="2215"/>
      <c r="BO14" s="2212"/>
      <c r="BP14" s="4635"/>
      <c r="BQ14" s="2250"/>
      <c r="BR14" s="2250"/>
      <c r="BS14" s="2250"/>
      <c r="BT14" s="2250"/>
      <c r="BU14" s="2242"/>
    </row>
    <row r="15" spans="1:73" s="4642" customFormat="1" ht="67.5" customHeight="1" x14ac:dyDescent="0.25">
      <c r="A15" s="4620"/>
      <c r="B15" s="4621"/>
      <c r="C15" s="4622"/>
      <c r="D15" s="4623"/>
      <c r="E15" s="4624"/>
      <c r="F15" s="4624"/>
      <c r="G15" s="4625"/>
      <c r="H15" s="4643"/>
      <c r="I15" s="4625"/>
      <c r="J15" s="4643"/>
      <c r="K15" s="4625"/>
      <c r="L15" s="4643"/>
      <c r="M15" s="4625"/>
      <c r="N15" s="4643"/>
      <c r="O15" s="4627"/>
      <c r="P15" s="4627"/>
      <c r="Q15" s="4628"/>
      <c r="R15" s="4627"/>
      <c r="S15" s="4629"/>
      <c r="T15" s="4630"/>
      <c r="U15" s="4631"/>
      <c r="V15" s="4631"/>
      <c r="W15" s="4647" t="s">
        <v>3300</v>
      </c>
      <c r="X15" s="4648">
        <v>302703853</v>
      </c>
      <c r="Y15" s="4646"/>
      <c r="Z15" s="4646"/>
      <c r="AA15" s="2221" t="s">
        <v>3301</v>
      </c>
      <c r="AB15" s="2221">
        <v>28</v>
      </c>
      <c r="AC15" s="2221" t="s">
        <v>3302</v>
      </c>
      <c r="AD15" s="4635"/>
      <c r="AE15" s="4636"/>
      <c r="AF15" s="4151"/>
      <c r="AG15" s="4636"/>
      <c r="AH15" s="2242"/>
      <c r="AI15" s="4636"/>
      <c r="AJ15" s="4151"/>
      <c r="AK15" s="4636"/>
      <c r="AL15" s="4151"/>
      <c r="AM15" s="4636"/>
      <c r="AN15" s="4151"/>
      <c r="AO15" s="4636"/>
      <c r="AP15" s="4151"/>
      <c r="AQ15" s="4636"/>
      <c r="AR15" s="4151"/>
      <c r="AS15" s="4636"/>
      <c r="AT15" s="4151"/>
      <c r="AU15" s="4636"/>
      <c r="AV15" s="4151"/>
      <c r="AW15" s="4636"/>
      <c r="AX15" s="4151"/>
      <c r="AY15" s="4636"/>
      <c r="AZ15" s="4151"/>
      <c r="BA15" s="4636"/>
      <c r="BB15" s="4151"/>
      <c r="BC15" s="4636"/>
      <c r="BD15" s="4151"/>
      <c r="BE15" s="4636"/>
      <c r="BF15" s="4151"/>
      <c r="BG15" s="4636"/>
      <c r="BH15" s="4151"/>
      <c r="BI15" s="4636"/>
      <c r="BJ15" s="4635"/>
      <c r="BK15" s="4635"/>
      <c r="BL15" s="4635"/>
      <c r="BM15" s="4638"/>
      <c r="BN15" s="2215"/>
      <c r="BO15" s="2212"/>
      <c r="BP15" s="4635"/>
      <c r="BQ15" s="2250"/>
      <c r="BR15" s="2250"/>
      <c r="BS15" s="2250"/>
      <c r="BT15" s="2250"/>
      <c r="BU15" s="2242"/>
    </row>
    <row r="16" spans="1:73" s="4642" customFormat="1" ht="74.25" customHeight="1" x14ac:dyDescent="0.25">
      <c r="A16" s="4620"/>
      <c r="B16" s="4621"/>
      <c r="C16" s="4622"/>
      <c r="D16" s="4623"/>
      <c r="E16" s="4624"/>
      <c r="F16" s="4624"/>
      <c r="G16" s="4625"/>
      <c r="H16" s="4643"/>
      <c r="I16" s="4625"/>
      <c r="J16" s="4643"/>
      <c r="K16" s="4625"/>
      <c r="L16" s="4643"/>
      <c r="M16" s="4625"/>
      <c r="N16" s="4643"/>
      <c r="O16" s="4627"/>
      <c r="P16" s="4627"/>
      <c r="Q16" s="4628"/>
      <c r="R16" s="4627"/>
      <c r="S16" s="4629"/>
      <c r="T16" s="4630"/>
      <c r="U16" s="4631"/>
      <c r="V16" s="4631"/>
      <c r="W16" s="4631" t="s">
        <v>3303</v>
      </c>
      <c r="X16" s="4646">
        <v>145384615</v>
      </c>
      <c r="Y16" s="4646">
        <v>110533332</v>
      </c>
      <c r="Z16" s="4646">
        <v>0</v>
      </c>
      <c r="AA16" s="2221" t="s">
        <v>3304</v>
      </c>
      <c r="AB16" s="2221">
        <v>7</v>
      </c>
      <c r="AC16" s="2221" t="s">
        <v>3305</v>
      </c>
      <c r="AD16" s="4635"/>
      <c r="AE16" s="4636"/>
      <c r="AF16" s="4151"/>
      <c r="AG16" s="4636"/>
      <c r="AH16" s="2242"/>
      <c r="AI16" s="4636"/>
      <c r="AJ16" s="4151"/>
      <c r="AK16" s="4636"/>
      <c r="AL16" s="4151"/>
      <c r="AM16" s="4636"/>
      <c r="AN16" s="4151"/>
      <c r="AO16" s="4636"/>
      <c r="AP16" s="4151"/>
      <c r="AQ16" s="4636"/>
      <c r="AR16" s="4151"/>
      <c r="AS16" s="4636"/>
      <c r="AT16" s="4151"/>
      <c r="AU16" s="4636"/>
      <c r="AV16" s="4151"/>
      <c r="AW16" s="4636"/>
      <c r="AX16" s="4151"/>
      <c r="AY16" s="4636"/>
      <c r="AZ16" s="4151"/>
      <c r="BA16" s="4636"/>
      <c r="BB16" s="4151"/>
      <c r="BC16" s="4636"/>
      <c r="BD16" s="4151"/>
      <c r="BE16" s="4636"/>
      <c r="BF16" s="4151"/>
      <c r="BG16" s="4636"/>
      <c r="BH16" s="4151"/>
      <c r="BI16" s="4636"/>
      <c r="BJ16" s="4635"/>
      <c r="BK16" s="4635"/>
      <c r="BL16" s="4635"/>
      <c r="BM16" s="4638"/>
      <c r="BN16" s="2215"/>
      <c r="BO16" s="2212"/>
      <c r="BP16" s="4635"/>
      <c r="BQ16" s="2250"/>
      <c r="BR16" s="2250"/>
      <c r="BS16" s="2250"/>
      <c r="BT16" s="2250"/>
      <c r="BU16" s="2242"/>
    </row>
    <row r="17" spans="1:73" s="4642" customFormat="1" ht="48" customHeight="1" x14ac:dyDescent="0.25">
      <c r="A17" s="4620"/>
      <c r="B17" s="4621"/>
      <c r="C17" s="4622"/>
      <c r="D17" s="4623"/>
      <c r="E17" s="4624"/>
      <c r="F17" s="4624"/>
      <c r="G17" s="4625"/>
      <c r="H17" s="4643"/>
      <c r="I17" s="4625"/>
      <c r="J17" s="4643"/>
      <c r="K17" s="4625"/>
      <c r="L17" s="4643"/>
      <c r="M17" s="4625"/>
      <c r="N17" s="4643"/>
      <c r="O17" s="4627"/>
      <c r="P17" s="4627"/>
      <c r="Q17" s="4628"/>
      <c r="R17" s="4627"/>
      <c r="S17" s="4629"/>
      <c r="T17" s="4630"/>
      <c r="U17" s="4631"/>
      <c r="V17" s="4631"/>
      <c r="W17" s="4631"/>
      <c r="X17" s="4646">
        <v>229425464</v>
      </c>
      <c r="Y17" s="4646"/>
      <c r="Z17" s="4646"/>
      <c r="AA17" s="2221" t="s">
        <v>3306</v>
      </c>
      <c r="AB17" s="2221">
        <v>28</v>
      </c>
      <c r="AC17" s="2221" t="s">
        <v>3302</v>
      </c>
      <c r="AD17" s="4635"/>
      <c r="AE17" s="4636"/>
      <c r="AF17" s="4151"/>
      <c r="AG17" s="4636"/>
      <c r="AH17" s="2242"/>
      <c r="AI17" s="4636"/>
      <c r="AJ17" s="4151"/>
      <c r="AK17" s="4636"/>
      <c r="AL17" s="4151"/>
      <c r="AM17" s="4636"/>
      <c r="AN17" s="4151"/>
      <c r="AO17" s="4636"/>
      <c r="AP17" s="4151"/>
      <c r="AQ17" s="4636"/>
      <c r="AR17" s="4151"/>
      <c r="AS17" s="4636"/>
      <c r="AT17" s="4151"/>
      <c r="AU17" s="4636"/>
      <c r="AV17" s="4151"/>
      <c r="AW17" s="4636"/>
      <c r="AX17" s="4151"/>
      <c r="AY17" s="4636"/>
      <c r="AZ17" s="4151"/>
      <c r="BA17" s="4636"/>
      <c r="BB17" s="4151"/>
      <c r="BC17" s="4636"/>
      <c r="BD17" s="4151"/>
      <c r="BE17" s="4636"/>
      <c r="BF17" s="4151"/>
      <c r="BG17" s="4636"/>
      <c r="BH17" s="4151"/>
      <c r="BI17" s="4636"/>
      <c r="BJ17" s="4635"/>
      <c r="BK17" s="4635"/>
      <c r="BL17" s="4635"/>
      <c r="BM17" s="4638"/>
      <c r="BN17" s="2215"/>
      <c r="BO17" s="2212"/>
      <c r="BP17" s="4635"/>
      <c r="BQ17" s="2250"/>
      <c r="BR17" s="2250"/>
      <c r="BS17" s="2250"/>
      <c r="BT17" s="2250"/>
      <c r="BU17" s="2242"/>
    </row>
    <row r="18" spans="1:73" s="4642" customFormat="1" ht="74.25" customHeight="1" x14ac:dyDescent="0.25">
      <c r="A18" s="4620"/>
      <c r="B18" s="4621" t="s">
        <v>319</v>
      </c>
      <c r="C18" s="4622"/>
      <c r="D18" s="4623"/>
      <c r="E18" s="4624"/>
      <c r="F18" s="4624"/>
      <c r="G18" s="4625"/>
      <c r="H18" s="4643"/>
      <c r="I18" s="4625"/>
      <c r="J18" s="4643"/>
      <c r="K18" s="4625"/>
      <c r="L18" s="4643"/>
      <c r="M18" s="4625"/>
      <c r="N18" s="4643"/>
      <c r="O18" s="4627"/>
      <c r="P18" s="4627"/>
      <c r="Q18" s="4628"/>
      <c r="R18" s="4627"/>
      <c r="S18" s="4629"/>
      <c r="T18" s="4630"/>
      <c r="U18" s="4631"/>
      <c r="V18" s="4631"/>
      <c r="W18" s="4631"/>
      <c r="X18" s="4646">
        <v>60000000</v>
      </c>
      <c r="Y18" s="4646">
        <v>21000000</v>
      </c>
      <c r="Z18" s="4646">
        <v>0</v>
      </c>
      <c r="AA18" s="2221" t="s">
        <v>3307</v>
      </c>
      <c r="AB18" s="2221">
        <v>12</v>
      </c>
      <c r="AC18" s="2221" t="s">
        <v>3308</v>
      </c>
      <c r="AD18" s="4635"/>
      <c r="AE18" s="4636"/>
      <c r="AF18" s="4151"/>
      <c r="AG18" s="4636"/>
      <c r="AH18" s="2242"/>
      <c r="AI18" s="4636"/>
      <c r="AJ18" s="4151"/>
      <c r="AK18" s="4636"/>
      <c r="AL18" s="4151"/>
      <c r="AM18" s="4636"/>
      <c r="AN18" s="4151"/>
      <c r="AO18" s="4636"/>
      <c r="AP18" s="4151"/>
      <c r="AQ18" s="4636"/>
      <c r="AR18" s="4151"/>
      <c r="AS18" s="4636"/>
      <c r="AT18" s="4151"/>
      <c r="AU18" s="4636"/>
      <c r="AV18" s="4151"/>
      <c r="AW18" s="4636"/>
      <c r="AX18" s="4151"/>
      <c r="AY18" s="4636"/>
      <c r="AZ18" s="4151"/>
      <c r="BA18" s="4636"/>
      <c r="BB18" s="4151"/>
      <c r="BC18" s="4636"/>
      <c r="BD18" s="4151"/>
      <c r="BE18" s="4636"/>
      <c r="BF18" s="4151"/>
      <c r="BG18" s="4636"/>
      <c r="BH18" s="4151"/>
      <c r="BI18" s="4636"/>
      <c r="BJ18" s="4635"/>
      <c r="BK18" s="4635"/>
      <c r="BL18" s="4635"/>
      <c r="BM18" s="4638"/>
      <c r="BN18" s="2215"/>
      <c r="BO18" s="2212"/>
      <c r="BP18" s="4635"/>
      <c r="BQ18" s="2250"/>
      <c r="BR18" s="2250"/>
      <c r="BS18" s="2250"/>
      <c r="BT18" s="2250"/>
      <c r="BU18" s="2242"/>
    </row>
    <row r="19" spans="1:73" s="4642" customFormat="1" ht="37.5" customHeight="1" x14ac:dyDescent="0.25">
      <c r="A19" s="4620"/>
      <c r="B19" s="4621"/>
      <c r="C19" s="4622"/>
      <c r="D19" s="4623"/>
      <c r="E19" s="4624"/>
      <c r="F19" s="4624"/>
      <c r="G19" s="4625"/>
      <c r="H19" s="4643"/>
      <c r="I19" s="4625"/>
      <c r="J19" s="4643"/>
      <c r="K19" s="4625"/>
      <c r="L19" s="4643"/>
      <c r="M19" s="4625"/>
      <c r="N19" s="4643"/>
      <c r="O19" s="4627"/>
      <c r="P19" s="4627"/>
      <c r="Q19" s="4628"/>
      <c r="R19" s="4627"/>
      <c r="S19" s="4629"/>
      <c r="T19" s="4630"/>
      <c r="U19" s="4631"/>
      <c r="V19" s="4631"/>
      <c r="W19" s="4631" t="s">
        <v>3309</v>
      </c>
      <c r="X19" s="4646">
        <v>38625517.93</v>
      </c>
      <c r="Y19" s="4649">
        <v>0</v>
      </c>
      <c r="Z19" s="4649">
        <v>0</v>
      </c>
      <c r="AA19" s="2221" t="s">
        <v>3310</v>
      </c>
      <c r="AB19" s="2221">
        <v>12</v>
      </c>
      <c r="AC19" s="2221" t="s">
        <v>3308</v>
      </c>
      <c r="AD19" s="4635"/>
      <c r="AE19" s="4636"/>
      <c r="AF19" s="4151"/>
      <c r="AG19" s="4636"/>
      <c r="AH19" s="2242"/>
      <c r="AI19" s="4636"/>
      <c r="AJ19" s="4151"/>
      <c r="AK19" s="4636"/>
      <c r="AL19" s="4151"/>
      <c r="AM19" s="4636"/>
      <c r="AN19" s="4151"/>
      <c r="AO19" s="4636"/>
      <c r="AP19" s="4151"/>
      <c r="AQ19" s="4636"/>
      <c r="AR19" s="4151"/>
      <c r="AS19" s="4636"/>
      <c r="AT19" s="4151"/>
      <c r="AU19" s="4636"/>
      <c r="AV19" s="4151"/>
      <c r="AW19" s="4636"/>
      <c r="AX19" s="4151"/>
      <c r="AY19" s="4636"/>
      <c r="AZ19" s="4151"/>
      <c r="BA19" s="4636"/>
      <c r="BB19" s="4151"/>
      <c r="BC19" s="4636"/>
      <c r="BD19" s="4151"/>
      <c r="BE19" s="4636"/>
      <c r="BF19" s="4151"/>
      <c r="BG19" s="4636"/>
      <c r="BH19" s="4151"/>
      <c r="BI19" s="4636"/>
      <c r="BJ19" s="4635"/>
      <c r="BK19" s="4635"/>
      <c r="BL19" s="4635"/>
      <c r="BM19" s="4638"/>
      <c r="BN19" s="2215"/>
      <c r="BO19" s="2212"/>
      <c r="BP19" s="4635"/>
      <c r="BQ19" s="2250"/>
      <c r="BR19" s="2250"/>
      <c r="BS19" s="2250"/>
      <c r="BT19" s="2250"/>
      <c r="BU19" s="2242"/>
    </row>
    <row r="20" spans="1:73" s="4642" customFormat="1" ht="37.5" customHeight="1" x14ac:dyDescent="0.25">
      <c r="A20" s="4620"/>
      <c r="B20" s="4621"/>
      <c r="C20" s="4622"/>
      <c r="D20" s="4623"/>
      <c r="E20" s="4650"/>
      <c r="F20" s="4650"/>
      <c r="G20" s="4625"/>
      <c r="H20" s="4643"/>
      <c r="I20" s="4625"/>
      <c r="J20" s="4643"/>
      <c r="K20" s="4625"/>
      <c r="L20" s="4643"/>
      <c r="M20" s="4625"/>
      <c r="N20" s="4643"/>
      <c r="O20" s="4627"/>
      <c r="P20" s="4627"/>
      <c r="Q20" s="4628"/>
      <c r="R20" s="4627"/>
      <c r="S20" s="4629"/>
      <c r="T20" s="4630"/>
      <c r="U20" s="4631"/>
      <c r="V20" s="4631"/>
      <c r="W20" s="4631"/>
      <c r="X20" s="4646">
        <v>285613152</v>
      </c>
      <c r="Y20" s="4649"/>
      <c r="Z20" s="4649"/>
      <c r="AA20" s="2221" t="s">
        <v>3311</v>
      </c>
      <c r="AB20" s="2221">
        <v>28</v>
      </c>
      <c r="AC20" s="2221" t="s">
        <v>3302</v>
      </c>
      <c r="AD20" s="4635"/>
      <c r="AE20" s="4636"/>
      <c r="AF20" s="4151"/>
      <c r="AG20" s="4636"/>
      <c r="AH20" s="2242"/>
      <c r="AI20" s="4636"/>
      <c r="AJ20" s="4151"/>
      <c r="AK20" s="4636"/>
      <c r="AL20" s="4151"/>
      <c r="AM20" s="4636"/>
      <c r="AN20" s="4151"/>
      <c r="AO20" s="4636"/>
      <c r="AP20" s="4151"/>
      <c r="AQ20" s="4636"/>
      <c r="AR20" s="4151"/>
      <c r="AS20" s="4636"/>
      <c r="AT20" s="4151"/>
      <c r="AU20" s="4636"/>
      <c r="AV20" s="4151"/>
      <c r="AW20" s="4636"/>
      <c r="AX20" s="4151"/>
      <c r="AY20" s="4636"/>
      <c r="AZ20" s="4151"/>
      <c r="BA20" s="4636"/>
      <c r="BB20" s="4151"/>
      <c r="BC20" s="4636"/>
      <c r="BD20" s="4151"/>
      <c r="BE20" s="4636"/>
      <c r="BF20" s="4151"/>
      <c r="BG20" s="4636"/>
      <c r="BH20" s="4151"/>
      <c r="BI20" s="4636"/>
      <c r="BJ20" s="4635"/>
      <c r="BK20" s="4635"/>
      <c r="BL20" s="4635"/>
      <c r="BM20" s="4638"/>
      <c r="BN20" s="2215"/>
      <c r="BO20" s="2212"/>
      <c r="BP20" s="4635"/>
      <c r="BQ20" s="2250"/>
      <c r="BR20" s="2250"/>
      <c r="BS20" s="2250"/>
      <c r="BT20" s="2250"/>
      <c r="BU20" s="2242"/>
    </row>
    <row r="21" spans="1:73" s="4642" customFormat="1" ht="37.5" customHeight="1" x14ac:dyDescent="0.25">
      <c r="A21" s="4620"/>
      <c r="B21" s="4621"/>
      <c r="C21" s="4622"/>
      <c r="D21" s="4623"/>
      <c r="E21" s="4650"/>
      <c r="F21" s="4650"/>
      <c r="G21" s="4625"/>
      <c r="H21" s="4643"/>
      <c r="I21" s="4625"/>
      <c r="J21" s="4643"/>
      <c r="K21" s="4625"/>
      <c r="L21" s="4643"/>
      <c r="M21" s="4625"/>
      <c r="N21" s="4643"/>
      <c r="O21" s="4627"/>
      <c r="P21" s="4627"/>
      <c r="Q21" s="4628"/>
      <c r="R21" s="4627"/>
      <c r="S21" s="4629"/>
      <c r="T21" s="4630"/>
      <c r="U21" s="4631"/>
      <c r="V21" s="4631"/>
      <c r="W21" s="4631"/>
      <c r="X21" s="4646">
        <v>300000000</v>
      </c>
      <c r="Y21" s="4649"/>
      <c r="Z21" s="4649"/>
      <c r="AA21" s="2221" t="s">
        <v>3306</v>
      </c>
      <c r="AB21" s="2221">
        <v>28</v>
      </c>
      <c r="AC21" s="2221" t="s">
        <v>3302</v>
      </c>
      <c r="AD21" s="4635"/>
      <c r="AE21" s="4636"/>
      <c r="AF21" s="4151"/>
      <c r="AG21" s="4636"/>
      <c r="AH21" s="2242"/>
      <c r="AI21" s="4636"/>
      <c r="AJ21" s="4151"/>
      <c r="AK21" s="4636"/>
      <c r="AL21" s="4151"/>
      <c r="AM21" s="4636"/>
      <c r="AN21" s="4151"/>
      <c r="AO21" s="4636"/>
      <c r="AP21" s="4151"/>
      <c r="AQ21" s="4636"/>
      <c r="AR21" s="4151"/>
      <c r="AS21" s="4636"/>
      <c r="AT21" s="4151"/>
      <c r="AU21" s="4636"/>
      <c r="AV21" s="4151"/>
      <c r="AW21" s="4636"/>
      <c r="AX21" s="4151"/>
      <c r="AY21" s="4636"/>
      <c r="AZ21" s="4151"/>
      <c r="BA21" s="4636"/>
      <c r="BB21" s="4151"/>
      <c r="BC21" s="4636"/>
      <c r="BD21" s="4151"/>
      <c r="BE21" s="4636"/>
      <c r="BF21" s="4151"/>
      <c r="BG21" s="4636"/>
      <c r="BH21" s="4151"/>
      <c r="BI21" s="4636"/>
      <c r="BJ21" s="4635"/>
      <c r="BK21" s="4635"/>
      <c r="BL21" s="4635"/>
      <c r="BM21" s="4638"/>
      <c r="BN21" s="2215"/>
      <c r="BO21" s="2212"/>
      <c r="BP21" s="4635"/>
      <c r="BQ21" s="2250"/>
      <c r="BR21" s="2250"/>
      <c r="BS21" s="2250"/>
      <c r="BT21" s="2250"/>
      <c r="BU21" s="2242"/>
    </row>
    <row r="22" spans="1:73" s="4642" customFormat="1" ht="37.5" customHeight="1" x14ac:dyDescent="0.25">
      <c r="A22" s="4620"/>
      <c r="B22" s="4621"/>
      <c r="C22" s="4622"/>
      <c r="D22" s="4623"/>
      <c r="E22" s="4651" t="s">
        <v>319</v>
      </c>
      <c r="F22" s="4651" t="s">
        <v>319</v>
      </c>
      <c r="G22" s="4625"/>
      <c r="H22" s="4643"/>
      <c r="I22" s="4625"/>
      <c r="J22" s="4643"/>
      <c r="K22" s="4625"/>
      <c r="L22" s="4643"/>
      <c r="M22" s="4625"/>
      <c r="N22" s="4643"/>
      <c r="O22" s="4627"/>
      <c r="P22" s="4627"/>
      <c r="Q22" s="4628"/>
      <c r="R22" s="4627"/>
      <c r="S22" s="4629"/>
      <c r="T22" s="4630"/>
      <c r="U22" s="4631"/>
      <c r="V22" s="4631"/>
      <c r="W22" s="4631"/>
      <c r="X22" s="4646">
        <v>70000000</v>
      </c>
      <c r="Y22" s="4649">
        <v>0</v>
      </c>
      <c r="Z22" s="4649">
        <v>0</v>
      </c>
      <c r="AA22" s="2221" t="s">
        <v>3312</v>
      </c>
      <c r="AB22" s="2221">
        <v>7</v>
      </c>
      <c r="AC22" s="2221" t="s">
        <v>3305</v>
      </c>
      <c r="AD22" s="4635"/>
      <c r="AE22" s="4636"/>
      <c r="AF22" s="4151"/>
      <c r="AG22" s="4636"/>
      <c r="AH22" s="2242"/>
      <c r="AI22" s="4636"/>
      <c r="AJ22" s="4151"/>
      <c r="AK22" s="4636"/>
      <c r="AL22" s="4151"/>
      <c r="AM22" s="4636"/>
      <c r="AN22" s="4151"/>
      <c r="AO22" s="4636"/>
      <c r="AP22" s="4151"/>
      <c r="AQ22" s="4636"/>
      <c r="AR22" s="4151"/>
      <c r="AS22" s="4636"/>
      <c r="AT22" s="4151"/>
      <c r="AU22" s="4636"/>
      <c r="AV22" s="4151"/>
      <c r="AW22" s="4636"/>
      <c r="AX22" s="4151"/>
      <c r="AY22" s="4636"/>
      <c r="AZ22" s="4151"/>
      <c r="BA22" s="4636"/>
      <c r="BB22" s="4151"/>
      <c r="BC22" s="4636"/>
      <c r="BD22" s="4151"/>
      <c r="BE22" s="4636"/>
      <c r="BF22" s="4151"/>
      <c r="BG22" s="4636"/>
      <c r="BH22" s="4151"/>
      <c r="BI22" s="4636"/>
      <c r="BJ22" s="4635"/>
      <c r="BK22" s="4635"/>
      <c r="BL22" s="4635"/>
      <c r="BM22" s="4638"/>
      <c r="BN22" s="2215"/>
      <c r="BO22" s="2212"/>
      <c r="BP22" s="4635"/>
      <c r="BQ22" s="2250"/>
      <c r="BR22" s="2250"/>
      <c r="BS22" s="2250"/>
      <c r="BT22" s="2250"/>
      <c r="BU22" s="2242"/>
    </row>
    <row r="23" spans="1:73" s="4642" customFormat="1" ht="37.5" customHeight="1" x14ac:dyDescent="0.25">
      <c r="A23" s="4652"/>
      <c r="B23" s="4653"/>
      <c r="C23" s="4652"/>
      <c r="D23" s="4653"/>
      <c r="E23" s="2210"/>
      <c r="F23" s="2210"/>
      <c r="G23" s="4625"/>
      <c r="H23" s="4654"/>
      <c r="I23" s="4625"/>
      <c r="J23" s="4654"/>
      <c r="K23" s="4625"/>
      <c r="L23" s="4654"/>
      <c r="M23" s="4625"/>
      <c r="N23" s="4654"/>
      <c r="O23" s="4627"/>
      <c r="P23" s="4627"/>
      <c r="Q23" s="4628"/>
      <c r="R23" s="4627"/>
      <c r="S23" s="4629"/>
      <c r="T23" s="4630"/>
      <c r="U23" s="4631"/>
      <c r="V23" s="4631"/>
      <c r="W23" s="4631"/>
      <c r="X23" s="4646">
        <f>70000000-45384615</f>
        <v>24615385</v>
      </c>
      <c r="Y23" s="4649">
        <v>0</v>
      </c>
      <c r="Z23" s="4649">
        <v>0</v>
      </c>
      <c r="AA23" s="2221" t="s">
        <v>3313</v>
      </c>
      <c r="AB23" s="2221">
        <v>7</v>
      </c>
      <c r="AC23" s="2221" t="s">
        <v>3305</v>
      </c>
      <c r="AD23" s="4635"/>
      <c r="AE23" s="4636"/>
      <c r="AF23" s="4151"/>
      <c r="AG23" s="4636"/>
      <c r="AH23" s="2242"/>
      <c r="AI23" s="4636"/>
      <c r="AJ23" s="4151"/>
      <c r="AK23" s="4636"/>
      <c r="AL23" s="4151"/>
      <c r="AM23" s="4636"/>
      <c r="AN23" s="4151"/>
      <c r="AO23" s="4636"/>
      <c r="AP23" s="4151"/>
      <c r="AQ23" s="4636"/>
      <c r="AR23" s="4151"/>
      <c r="AS23" s="4636"/>
      <c r="AT23" s="4151"/>
      <c r="AU23" s="4636"/>
      <c r="AV23" s="4151"/>
      <c r="AW23" s="4636"/>
      <c r="AX23" s="4151"/>
      <c r="AY23" s="4636"/>
      <c r="AZ23" s="4151"/>
      <c r="BA23" s="4636"/>
      <c r="BB23" s="4151"/>
      <c r="BC23" s="4636"/>
      <c r="BD23" s="4151"/>
      <c r="BE23" s="4636"/>
      <c r="BF23" s="4151"/>
      <c r="BG23" s="4636"/>
      <c r="BH23" s="4151"/>
      <c r="BI23" s="4636"/>
      <c r="BJ23" s="4635"/>
      <c r="BK23" s="4635"/>
      <c r="BL23" s="4635"/>
      <c r="BM23" s="4638"/>
      <c r="BN23" s="2215"/>
      <c r="BO23" s="2212"/>
      <c r="BP23" s="4635"/>
      <c r="BQ23" s="2250"/>
      <c r="BR23" s="2250"/>
      <c r="BS23" s="2250"/>
      <c r="BT23" s="2250"/>
      <c r="BU23" s="2242"/>
    </row>
    <row r="24" spans="1:73" s="4642" customFormat="1" ht="37.5" customHeight="1" x14ac:dyDescent="0.25">
      <c r="A24" s="4652"/>
      <c r="B24" s="4653"/>
      <c r="C24" s="4652"/>
      <c r="D24" s="4653"/>
      <c r="E24" s="2"/>
      <c r="F24" s="2"/>
      <c r="G24" s="4655">
        <v>4301037</v>
      </c>
      <c r="H24" s="2281" t="s">
        <v>3314</v>
      </c>
      <c r="I24" s="4655">
        <v>4301037</v>
      </c>
      <c r="J24" s="2281" t="s">
        <v>3314</v>
      </c>
      <c r="K24" s="4625">
        <v>430103701</v>
      </c>
      <c r="L24" s="4656" t="s">
        <v>3315</v>
      </c>
      <c r="M24" s="4625">
        <v>430103701</v>
      </c>
      <c r="N24" s="4656" t="s">
        <v>3315</v>
      </c>
      <c r="O24" s="4627">
        <v>12</v>
      </c>
      <c r="P24" s="4627">
        <v>0</v>
      </c>
      <c r="Q24" s="4628"/>
      <c r="R24" s="4627"/>
      <c r="S24" s="4629">
        <f>SUM(X24:X32)/T13</f>
        <v>7.2968549106673927E-2</v>
      </c>
      <c r="T24" s="4630"/>
      <c r="U24" s="4631"/>
      <c r="V24" s="4631" t="s">
        <v>3316</v>
      </c>
      <c r="W24" s="4631" t="s">
        <v>3317</v>
      </c>
      <c r="X24" s="4645">
        <v>40820060</v>
      </c>
      <c r="Y24" s="4646">
        <f>9000000-5000000</f>
        <v>4000000</v>
      </c>
      <c r="Z24" s="4646">
        <v>3000000</v>
      </c>
      <c r="AA24" s="2221" t="s">
        <v>3318</v>
      </c>
      <c r="AB24" s="2221">
        <v>12</v>
      </c>
      <c r="AC24" s="2221" t="s">
        <v>3308</v>
      </c>
      <c r="AD24" s="4635"/>
      <c r="AE24" s="4636"/>
      <c r="AF24" s="4151"/>
      <c r="AG24" s="4636"/>
      <c r="AH24" s="2242"/>
      <c r="AI24" s="4636"/>
      <c r="AJ24" s="4151"/>
      <c r="AK24" s="4636"/>
      <c r="AL24" s="4151"/>
      <c r="AM24" s="4636"/>
      <c r="AN24" s="4151"/>
      <c r="AO24" s="4636"/>
      <c r="AP24" s="4151"/>
      <c r="AQ24" s="4636"/>
      <c r="AR24" s="4151"/>
      <c r="AS24" s="4636"/>
      <c r="AT24" s="4151"/>
      <c r="AU24" s="4636"/>
      <c r="AV24" s="4151"/>
      <c r="AW24" s="4636"/>
      <c r="AX24" s="4151"/>
      <c r="AY24" s="4636"/>
      <c r="AZ24" s="4151"/>
      <c r="BA24" s="4636"/>
      <c r="BB24" s="4151"/>
      <c r="BC24" s="4636"/>
      <c r="BD24" s="4151"/>
      <c r="BE24" s="4636"/>
      <c r="BF24" s="4151"/>
      <c r="BG24" s="4636"/>
      <c r="BH24" s="4151"/>
      <c r="BI24" s="4636"/>
      <c r="BJ24" s="4635"/>
      <c r="BK24" s="4635"/>
      <c r="BL24" s="4635"/>
      <c r="BM24" s="4638"/>
      <c r="BN24" s="4657">
        <v>12</v>
      </c>
      <c r="BO24" s="4657" t="s">
        <v>3308</v>
      </c>
      <c r="BP24" s="4635"/>
      <c r="BQ24" s="2250"/>
      <c r="BR24" s="2250"/>
      <c r="BS24" s="2250"/>
      <c r="BT24" s="2250"/>
      <c r="BU24" s="2242"/>
    </row>
    <row r="25" spans="1:73" s="4642" customFormat="1" ht="37.5" customHeight="1" x14ac:dyDescent="0.25">
      <c r="A25" s="4652"/>
      <c r="B25" s="4653"/>
      <c r="C25" s="4652"/>
      <c r="D25" s="4653"/>
      <c r="E25" s="2"/>
      <c r="F25" s="2"/>
      <c r="G25" s="4655"/>
      <c r="H25" s="2282"/>
      <c r="I25" s="4655"/>
      <c r="J25" s="2282"/>
      <c r="K25" s="4625"/>
      <c r="L25" s="4656"/>
      <c r="M25" s="4625"/>
      <c r="N25" s="4656"/>
      <c r="O25" s="4627"/>
      <c r="P25" s="4627"/>
      <c r="Q25" s="4628"/>
      <c r="R25" s="4627"/>
      <c r="S25" s="4629"/>
      <c r="T25" s="4630"/>
      <c r="U25" s="4631"/>
      <c r="V25" s="4631"/>
      <c r="W25" s="4631"/>
      <c r="X25" s="4645">
        <v>40000000</v>
      </c>
      <c r="Y25" s="4649">
        <v>40000000</v>
      </c>
      <c r="Z25" s="4649">
        <f>20000000+3500000</f>
        <v>23500000</v>
      </c>
      <c r="AA25" s="2221" t="s">
        <v>3319</v>
      </c>
      <c r="AB25" s="2221">
        <v>24</v>
      </c>
      <c r="AC25" s="2222" t="s">
        <v>3320</v>
      </c>
      <c r="AD25" s="4635"/>
      <c r="AE25" s="4636"/>
      <c r="AF25" s="4151"/>
      <c r="AG25" s="4636"/>
      <c r="AH25" s="2242"/>
      <c r="AI25" s="4636"/>
      <c r="AJ25" s="4151"/>
      <c r="AK25" s="4636"/>
      <c r="AL25" s="4151"/>
      <c r="AM25" s="4636"/>
      <c r="AN25" s="4151"/>
      <c r="AO25" s="4636"/>
      <c r="AP25" s="4151"/>
      <c r="AQ25" s="4636"/>
      <c r="AR25" s="4151"/>
      <c r="AS25" s="4636"/>
      <c r="AT25" s="4151"/>
      <c r="AU25" s="4636"/>
      <c r="AV25" s="4151"/>
      <c r="AW25" s="4636"/>
      <c r="AX25" s="4151"/>
      <c r="AY25" s="4636"/>
      <c r="AZ25" s="4151"/>
      <c r="BA25" s="4636"/>
      <c r="BB25" s="4151"/>
      <c r="BC25" s="4636"/>
      <c r="BD25" s="4151"/>
      <c r="BE25" s="4636"/>
      <c r="BF25" s="4151"/>
      <c r="BG25" s="4636"/>
      <c r="BH25" s="4151"/>
      <c r="BI25" s="4636"/>
      <c r="BJ25" s="4635"/>
      <c r="BK25" s="4635"/>
      <c r="BL25" s="4635"/>
      <c r="BM25" s="4638"/>
      <c r="BN25" s="2215">
        <v>24</v>
      </c>
      <c r="BO25" s="4658" t="s">
        <v>3320</v>
      </c>
      <c r="BP25" s="4635"/>
      <c r="BQ25" s="2250"/>
      <c r="BR25" s="2250"/>
      <c r="BS25" s="2250"/>
      <c r="BT25" s="2250"/>
      <c r="BU25" s="2242"/>
    </row>
    <row r="26" spans="1:73" s="4642" customFormat="1" ht="37.5" customHeight="1" x14ac:dyDescent="0.25">
      <c r="A26" s="4652"/>
      <c r="B26" s="4653"/>
      <c r="C26" s="4652"/>
      <c r="D26" s="4653"/>
      <c r="E26" s="2"/>
      <c r="F26" s="2"/>
      <c r="G26" s="4655"/>
      <c r="H26" s="2282"/>
      <c r="I26" s="4655"/>
      <c r="J26" s="2282"/>
      <c r="K26" s="4625"/>
      <c r="L26" s="4656"/>
      <c r="M26" s="4625"/>
      <c r="N26" s="4656"/>
      <c r="O26" s="4627"/>
      <c r="P26" s="4627"/>
      <c r="Q26" s="4628"/>
      <c r="R26" s="4627"/>
      <c r="S26" s="4629"/>
      <c r="T26" s="4630"/>
      <c r="U26" s="4631"/>
      <c r="V26" s="4631"/>
      <c r="W26" s="4631"/>
      <c r="X26" s="4633">
        <v>75000000</v>
      </c>
      <c r="Y26" s="4659">
        <v>0</v>
      </c>
      <c r="Z26" s="4659">
        <v>0</v>
      </c>
      <c r="AA26" s="2225" t="s">
        <v>3321</v>
      </c>
      <c r="AB26" s="2225">
        <v>7</v>
      </c>
      <c r="AC26" s="2225" t="s">
        <v>3305</v>
      </c>
      <c r="AD26" s="4635"/>
      <c r="AE26" s="4636"/>
      <c r="AF26" s="4151"/>
      <c r="AG26" s="4636"/>
      <c r="AH26" s="2242"/>
      <c r="AI26" s="4636"/>
      <c r="AJ26" s="4151"/>
      <c r="AK26" s="4636"/>
      <c r="AL26" s="4151"/>
      <c r="AM26" s="4636"/>
      <c r="AN26" s="4151"/>
      <c r="AO26" s="4636"/>
      <c r="AP26" s="4151"/>
      <c r="AQ26" s="4636"/>
      <c r="AR26" s="4151"/>
      <c r="AS26" s="4636"/>
      <c r="AT26" s="4151"/>
      <c r="AU26" s="4636"/>
      <c r="AV26" s="4151"/>
      <c r="AW26" s="4636"/>
      <c r="AX26" s="4151"/>
      <c r="AY26" s="4636"/>
      <c r="AZ26" s="4151"/>
      <c r="BA26" s="4636"/>
      <c r="BB26" s="4151"/>
      <c r="BC26" s="4636"/>
      <c r="BD26" s="4151"/>
      <c r="BE26" s="4636"/>
      <c r="BF26" s="4151"/>
      <c r="BG26" s="4636"/>
      <c r="BH26" s="4151"/>
      <c r="BI26" s="4636"/>
      <c r="BJ26" s="4635"/>
      <c r="BK26" s="4635"/>
      <c r="BL26" s="4635"/>
      <c r="BM26" s="4638"/>
      <c r="BN26" s="4657"/>
      <c r="BO26" s="4657"/>
      <c r="BP26" s="4635"/>
      <c r="BQ26" s="2250"/>
      <c r="BR26" s="2250"/>
      <c r="BS26" s="2250"/>
      <c r="BT26" s="2250"/>
      <c r="BU26" s="2242"/>
    </row>
    <row r="27" spans="1:73" s="4642" customFormat="1" ht="37.5" customHeight="1" x14ac:dyDescent="0.25">
      <c r="A27" s="4652"/>
      <c r="B27" s="4653"/>
      <c r="C27" s="4652"/>
      <c r="D27" s="4653"/>
      <c r="E27" s="2"/>
      <c r="F27" s="2"/>
      <c r="G27" s="4655"/>
      <c r="H27" s="2282"/>
      <c r="I27" s="4655"/>
      <c r="J27" s="2282"/>
      <c r="K27" s="4625"/>
      <c r="L27" s="4656"/>
      <c r="M27" s="4625"/>
      <c r="N27" s="4656"/>
      <c r="O27" s="4627"/>
      <c r="P27" s="4627"/>
      <c r="Q27" s="4628"/>
      <c r="R27" s="4627"/>
      <c r="S27" s="4629"/>
      <c r="T27" s="4630"/>
      <c r="U27" s="4631"/>
      <c r="V27" s="4631"/>
      <c r="W27" s="4631" t="s">
        <v>3322</v>
      </c>
      <c r="X27" s="4633">
        <v>31000000</v>
      </c>
      <c r="Y27" s="4660">
        <v>0</v>
      </c>
      <c r="Z27" s="4660">
        <v>0</v>
      </c>
      <c r="AA27" s="2225" t="s">
        <v>3323</v>
      </c>
      <c r="AB27" s="2225">
        <v>12</v>
      </c>
      <c r="AC27" s="2225" t="s">
        <v>3308</v>
      </c>
      <c r="AD27" s="4635"/>
      <c r="AE27" s="4636"/>
      <c r="AF27" s="4151"/>
      <c r="AG27" s="4636"/>
      <c r="AH27" s="2242"/>
      <c r="AI27" s="4636"/>
      <c r="AJ27" s="4151"/>
      <c r="AK27" s="4636"/>
      <c r="AL27" s="4151"/>
      <c r="AM27" s="4636"/>
      <c r="AN27" s="4151"/>
      <c r="AO27" s="4636"/>
      <c r="AP27" s="4151"/>
      <c r="AQ27" s="4636"/>
      <c r="AR27" s="4151"/>
      <c r="AS27" s="4636"/>
      <c r="AT27" s="4151"/>
      <c r="AU27" s="4636"/>
      <c r="AV27" s="4151"/>
      <c r="AW27" s="4636"/>
      <c r="AX27" s="4151"/>
      <c r="AY27" s="4636"/>
      <c r="AZ27" s="4151"/>
      <c r="BA27" s="4636"/>
      <c r="BB27" s="4151"/>
      <c r="BC27" s="4636"/>
      <c r="BD27" s="4151"/>
      <c r="BE27" s="4636"/>
      <c r="BF27" s="4151"/>
      <c r="BG27" s="4636"/>
      <c r="BH27" s="4151"/>
      <c r="BI27" s="4636"/>
      <c r="BJ27" s="4635"/>
      <c r="BK27" s="4635"/>
      <c r="BL27" s="4635"/>
      <c r="BM27" s="4638"/>
      <c r="BN27" s="4657"/>
      <c r="BO27" s="4657"/>
      <c r="BP27" s="4635"/>
      <c r="BQ27" s="2250"/>
      <c r="BR27" s="2250"/>
      <c r="BS27" s="2250"/>
      <c r="BT27" s="2250"/>
      <c r="BU27" s="2242"/>
    </row>
    <row r="28" spans="1:73" s="4642" customFormat="1" ht="37.5" customHeight="1" x14ac:dyDescent="0.25">
      <c r="A28" s="4652"/>
      <c r="B28" s="4653"/>
      <c r="C28" s="4652"/>
      <c r="D28" s="4653"/>
      <c r="E28" s="2"/>
      <c r="F28" s="2"/>
      <c r="G28" s="4655"/>
      <c r="H28" s="2282"/>
      <c r="I28" s="4655"/>
      <c r="J28" s="2282"/>
      <c r="K28" s="4625"/>
      <c r="L28" s="4656"/>
      <c r="M28" s="4625"/>
      <c r="N28" s="4656"/>
      <c r="O28" s="4627"/>
      <c r="P28" s="4627"/>
      <c r="Q28" s="4628"/>
      <c r="R28" s="4627"/>
      <c r="S28" s="4629"/>
      <c r="T28" s="4630"/>
      <c r="U28" s="4631"/>
      <c r="V28" s="4631"/>
      <c r="W28" s="4631"/>
      <c r="X28" s="4633">
        <v>25000000</v>
      </c>
      <c r="Y28" s="4660">
        <v>5000000</v>
      </c>
      <c r="Z28" s="4660">
        <v>0</v>
      </c>
      <c r="AA28" s="2225" t="s">
        <v>3318</v>
      </c>
      <c r="AB28" s="2225">
        <v>12</v>
      </c>
      <c r="AC28" s="2225" t="s">
        <v>3308</v>
      </c>
      <c r="AD28" s="4635"/>
      <c r="AE28" s="4636"/>
      <c r="AF28" s="4151"/>
      <c r="AG28" s="4636"/>
      <c r="AH28" s="2242"/>
      <c r="AI28" s="4636"/>
      <c r="AJ28" s="4151"/>
      <c r="AK28" s="4636"/>
      <c r="AL28" s="4151"/>
      <c r="AM28" s="4636"/>
      <c r="AN28" s="4151"/>
      <c r="AO28" s="4636"/>
      <c r="AP28" s="4151"/>
      <c r="AQ28" s="4636"/>
      <c r="AR28" s="4151"/>
      <c r="AS28" s="4636"/>
      <c r="AT28" s="4151"/>
      <c r="AU28" s="4636"/>
      <c r="AV28" s="4151"/>
      <c r="AW28" s="4636"/>
      <c r="AX28" s="4151"/>
      <c r="AY28" s="4636"/>
      <c r="AZ28" s="4151"/>
      <c r="BA28" s="4636"/>
      <c r="BB28" s="4151"/>
      <c r="BC28" s="4636"/>
      <c r="BD28" s="4151"/>
      <c r="BE28" s="4636"/>
      <c r="BF28" s="4151"/>
      <c r="BG28" s="4636"/>
      <c r="BH28" s="4151"/>
      <c r="BI28" s="4636"/>
      <c r="BJ28" s="4635"/>
      <c r="BK28" s="4635"/>
      <c r="BL28" s="4635"/>
      <c r="BM28" s="4638"/>
      <c r="BN28" s="4657"/>
      <c r="BO28" s="4657"/>
      <c r="BP28" s="4635"/>
      <c r="BQ28" s="2250"/>
      <c r="BR28" s="2250"/>
      <c r="BS28" s="2250"/>
      <c r="BT28" s="2250"/>
      <c r="BU28" s="2242"/>
    </row>
    <row r="29" spans="1:73" s="4642" customFormat="1" ht="37.5" customHeight="1" x14ac:dyDescent="0.25">
      <c r="A29" s="4652"/>
      <c r="B29" s="4653"/>
      <c r="C29" s="4652"/>
      <c r="D29" s="4653"/>
      <c r="E29" s="2"/>
      <c r="F29" s="2"/>
      <c r="G29" s="4655"/>
      <c r="H29" s="2282"/>
      <c r="I29" s="4655"/>
      <c r="J29" s="2282"/>
      <c r="K29" s="4625"/>
      <c r="L29" s="4656"/>
      <c r="M29" s="4625"/>
      <c r="N29" s="4656"/>
      <c r="O29" s="4627"/>
      <c r="P29" s="4627"/>
      <c r="Q29" s="4628"/>
      <c r="R29" s="4627"/>
      <c r="S29" s="4629"/>
      <c r="T29" s="4630"/>
      <c r="U29" s="4631"/>
      <c r="V29" s="4631"/>
      <c r="W29" s="4631"/>
      <c r="X29" s="4633">
        <v>50000000</v>
      </c>
      <c r="Y29" s="4660">
        <v>0</v>
      </c>
      <c r="Z29" s="4660">
        <v>0</v>
      </c>
      <c r="AA29" s="2225" t="s">
        <v>3321</v>
      </c>
      <c r="AB29" s="2225">
        <v>7</v>
      </c>
      <c r="AC29" s="2225" t="s">
        <v>3305</v>
      </c>
      <c r="AD29" s="4635"/>
      <c r="AE29" s="4636"/>
      <c r="AF29" s="4151"/>
      <c r="AG29" s="4636"/>
      <c r="AH29" s="2242"/>
      <c r="AI29" s="4636"/>
      <c r="AJ29" s="4151"/>
      <c r="AK29" s="4636"/>
      <c r="AL29" s="4151"/>
      <c r="AM29" s="4636"/>
      <c r="AN29" s="4151"/>
      <c r="AO29" s="4636"/>
      <c r="AP29" s="4151"/>
      <c r="AQ29" s="4636"/>
      <c r="AR29" s="4151"/>
      <c r="AS29" s="4636"/>
      <c r="AT29" s="4151"/>
      <c r="AU29" s="4636"/>
      <c r="AV29" s="4151"/>
      <c r="AW29" s="4636"/>
      <c r="AX29" s="4151"/>
      <c r="AY29" s="4636"/>
      <c r="AZ29" s="4151"/>
      <c r="BA29" s="4636"/>
      <c r="BB29" s="4151"/>
      <c r="BC29" s="4636"/>
      <c r="BD29" s="4151"/>
      <c r="BE29" s="4636"/>
      <c r="BF29" s="4151"/>
      <c r="BG29" s="4636"/>
      <c r="BH29" s="4151"/>
      <c r="BI29" s="4636"/>
      <c r="BJ29" s="4635"/>
      <c r="BK29" s="4635"/>
      <c r="BL29" s="4635"/>
      <c r="BM29" s="4638"/>
      <c r="BN29" s="4657"/>
      <c r="BO29" s="4657"/>
      <c r="BP29" s="4635"/>
      <c r="BQ29" s="2250"/>
      <c r="BR29" s="2250"/>
      <c r="BS29" s="2250"/>
      <c r="BT29" s="2250"/>
      <c r="BU29" s="2242"/>
    </row>
    <row r="30" spans="1:73" s="4642" customFormat="1" ht="37.5" customHeight="1" x14ac:dyDescent="0.25">
      <c r="A30" s="4652"/>
      <c r="B30" s="4653"/>
      <c r="C30" s="4652"/>
      <c r="D30" s="4653"/>
      <c r="E30" s="2"/>
      <c r="F30" s="2"/>
      <c r="G30" s="4655"/>
      <c r="H30" s="2282"/>
      <c r="I30" s="4655"/>
      <c r="J30" s="2282"/>
      <c r="K30" s="4625"/>
      <c r="L30" s="4656"/>
      <c r="M30" s="4625"/>
      <c r="N30" s="4656"/>
      <c r="O30" s="4627"/>
      <c r="P30" s="4627"/>
      <c r="Q30" s="4628"/>
      <c r="R30" s="4627"/>
      <c r="S30" s="4629"/>
      <c r="T30" s="4630"/>
      <c r="U30" s="4631"/>
      <c r="V30" s="4631"/>
      <c r="W30" s="4631"/>
      <c r="X30" s="4633">
        <v>20000000</v>
      </c>
      <c r="Y30" s="4660">
        <v>0</v>
      </c>
      <c r="Z30" s="4660">
        <v>0</v>
      </c>
      <c r="AA30" s="2225" t="s">
        <v>3324</v>
      </c>
      <c r="AB30" s="2225">
        <v>7</v>
      </c>
      <c r="AC30" s="2225" t="s">
        <v>3305</v>
      </c>
      <c r="AD30" s="4635"/>
      <c r="AE30" s="4636"/>
      <c r="AF30" s="4151"/>
      <c r="AG30" s="4636"/>
      <c r="AH30" s="2242"/>
      <c r="AI30" s="4636"/>
      <c r="AJ30" s="4151"/>
      <c r="AK30" s="4636"/>
      <c r="AL30" s="4151"/>
      <c r="AM30" s="4636"/>
      <c r="AN30" s="4151"/>
      <c r="AO30" s="4636"/>
      <c r="AP30" s="4151"/>
      <c r="AQ30" s="4636"/>
      <c r="AR30" s="4151"/>
      <c r="AS30" s="4636"/>
      <c r="AT30" s="4151"/>
      <c r="AU30" s="4636"/>
      <c r="AV30" s="4151"/>
      <c r="AW30" s="4636"/>
      <c r="AX30" s="4151"/>
      <c r="AY30" s="4636"/>
      <c r="AZ30" s="4151"/>
      <c r="BA30" s="4636"/>
      <c r="BB30" s="4151"/>
      <c r="BC30" s="4636"/>
      <c r="BD30" s="4151"/>
      <c r="BE30" s="4636"/>
      <c r="BF30" s="4151"/>
      <c r="BG30" s="4636"/>
      <c r="BH30" s="4151"/>
      <c r="BI30" s="4636"/>
      <c r="BJ30" s="4635"/>
      <c r="BK30" s="4635"/>
      <c r="BL30" s="4635"/>
      <c r="BM30" s="4638"/>
      <c r="BN30" s="4657"/>
      <c r="BO30" s="4657"/>
      <c r="BP30" s="4635"/>
      <c r="BQ30" s="2250"/>
      <c r="BR30" s="2250"/>
      <c r="BS30" s="2250"/>
      <c r="BT30" s="2250"/>
      <c r="BU30" s="2242"/>
    </row>
    <row r="31" spans="1:73" s="4642" customFormat="1" ht="37.5" customHeight="1" x14ac:dyDescent="0.25">
      <c r="A31" s="4652"/>
      <c r="B31" s="4653"/>
      <c r="C31" s="4652"/>
      <c r="D31" s="4653"/>
      <c r="E31" s="2"/>
      <c r="F31" s="2"/>
      <c r="G31" s="4655"/>
      <c r="H31" s="2282"/>
      <c r="I31" s="4655"/>
      <c r="J31" s="2282"/>
      <c r="K31" s="4625"/>
      <c r="L31" s="4656"/>
      <c r="M31" s="4625"/>
      <c r="N31" s="4656"/>
      <c r="O31" s="4627"/>
      <c r="P31" s="4627"/>
      <c r="Q31" s="4628"/>
      <c r="R31" s="4627"/>
      <c r="S31" s="4629"/>
      <c r="T31" s="4630"/>
      <c r="U31" s="4631"/>
      <c r="V31" s="4631"/>
      <c r="W31" s="4631" t="s">
        <v>3325</v>
      </c>
      <c r="X31" s="4633">
        <v>80000000</v>
      </c>
      <c r="Y31" s="4659">
        <v>0</v>
      </c>
      <c r="Z31" s="4659">
        <v>0</v>
      </c>
      <c r="AA31" s="2225" t="s">
        <v>3323</v>
      </c>
      <c r="AB31" s="2225">
        <v>12</v>
      </c>
      <c r="AC31" s="2225" t="s">
        <v>3308</v>
      </c>
      <c r="AD31" s="4635"/>
      <c r="AE31" s="4636"/>
      <c r="AF31" s="4151"/>
      <c r="AG31" s="4636"/>
      <c r="AH31" s="2242"/>
      <c r="AI31" s="4636"/>
      <c r="AJ31" s="4151"/>
      <c r="AK31" s="4636"/>
      <c r="AL31" s="4151"/>
      <c r="AM31" s="4636"/>
      <c r="AN31" s="4151"/>
      <c r="AO31" s="4636"/>
      <c r="AP31" s="4151"/>
      <c r="AQ31" s="4636"/>
      <c r="AR31" s="4151"/>
      <c r="AS31" s="4636"/>
      <c r="AT31" s="4151"/>
      <c r="AU31" s="4636"/>
      <c r="AV31" s="4151"/>
      <c r="AW31" s="4636"/>
      <c r="AX31" s="4151"/>
      <c r="AY31" s="4636"/>
      <c r="AZ31" s="4151"/>
      <c r="BA31" s="4636"/>
      <c r="BB31" s="4151"/>
      <c r="BC31" s="4636"/>
      <c r="BD31" s="4151"/>
      <c r="BE31" s="4636"/>
      <c r="BF31" s="4151"/>
      <c r="BG31" s="4636"/>
      <c r="BH31" s="4151"/>
      <c r="BI31" s="4636"/>
      <c r="BJ31" s="4635"/>
      <c r="BK31" s="4635"/>
      <c r="BL31" s="4635"/>
      <c r="BM31" s="4638"/>
      <c r="BN31" s="4657"/>
      <c r="BO31" s="4657"/>
      <c r="BP31" s="4635"/>
      <c r="BQ31" s="2250"/>
      <c r="BR31" s="2250"/>
      <c r="BS31" s="2250"/>
      <c r="BT31" s="2250"/>
      <c r="BU31" s="2242"/>
    </row>
    <row r="32" spans="1:73" s="4642" customFormat="1" ht="37.5" customHeight="1" x14ac:dyDescent="0.25">
      <c r="A32" s="4652"/>
      <c r="B32" s="4653"/>
      <c r="C32" s="4652"/>
      <c r="D32" s="4653"/>
      <c r="E32" s="2"/>
      <c r="F32" s="2"/>
      <c r="G32" s="4655"/>
      <c r="H32" s="2282"/>
      <c r="I32" s="4655"/>
      <c r="J32" s="2282"/>
      <c r="K32" s="4625"/>
      <c r="L32" s="4656"/>
      <c r="M32" s="4625"/>
      <c r="N32" s="4656"/>
      <c r="O32" s="4627"/>
      <c r="P32" s="4627"/>
      <c r="Q32" s="4628"/>
      <c r="R32" s="4627"/>
      <c r="S32" s="4629"/>
      <c r="T32" s="4630"/>
      <c r="U32" s="4631"/>
      <c r="V32" s="4631"/>
      <c r="W32" s="4631"/>
      <c r="X32" s="4633">
        <v>20000000</v>
      </c>
      <c r="Y32" s="4659">
        <v>0</v>
      </c>
      <c r="Z32" s="4659">
        <v>0</v>
      </c>
      <c r="AA32" s="2225" t="s">
        <v>3326</v>
      </c>
      <c r="AB32" s="2225">
        <v>7</v>
      </c>
      <c r="AC32" s="2225" t="s">
        <v>3305</v>
      </c>
      <c r="AD32" s="4635"/>
      <c r="AE32" s="4636"/>
      <c r="AF32" s="4151"/>
      <c r="AG32" s="4636"/>
      <c r="AH32" s="2242"/>
      <c r="AI32" s="4636"/>
      <c r="AJ32" s="4151"/>
      <c r="AK32" s="4636"/>
      <c r="AL32" s="4151"/>
      <c r="AM32" s="4636"/>
      <c r="AN32" s="4151"/>
      <c r="AO32" s="4636"/>
      <c r="AP32" s="4151"/>
      <c r="AQ32" s="4636"/>
      <c r="AR32" s="4151"/>
      <c r="AS32" s="4636"/>
      <c r="AT32" s="4151"/>
      <c r="AU32" s="4636"/>
      <c r="AV32" s="4151"/>
      <c r="AW32" s="4636"/>
      <c r="AX32" s="4151"/>
      <c r="AY32" s="4636"/>
      <c r="AZ32" s="4151"/>
      <c r="BA32" s="4636"/>
      <c r="BB32" s="4151"/>
      <c r="BC32" s="4636"/>
      <c r="BD32" s="4151"/>
      <c r="BE32" s="4636"/>
      <c r="BF32" s="4151"/>
      <c r="BG32" s="4636"/>
      <c r="BH32" s="4151"/>
      <c r="BI32" s="4636"/>
      <c r="BJ32" s="4635"/>
      <c r="BK32" s="4635"/>
      <c r="BL32" s="4635"/>
      <c r="BM32" s="4638"/>
      <c r="BN32" s="4657"/>
      <c r="BO32" s="4657"/>
      <c r="BP32" s="4635"/>
      <c r="BQ32" s="2250"/>
      <c r="BR32" s="2250"/>
      <c r="BS32" s="2250"/>
      <c r="BT32" s="2250"/>
      <c r="BU32" s="2242"/>
    </row>
    <row r="33" spans="1:73" s="4642" customFormat="1" ht="37.5" customHeight="1" x14ac:dyDescent="0.25">
      <c r="A33" s="4652"/>
      <c r="B33" s="4653"/>
      <c r="C33" s="4652"/>
      <c r="D33" s="4653"/>
      <c r="E33" s="2"/>
      <c r="F33" s="2"/>
      <c r="G33" s="4655"/>
      <c r="H33" s="2282"/>
      <c r="I33" s="4655"/>
      <c r="J33" s="2282"/>
      <c r="K33" s="4625">
        <v>430103704</v>
      </c>
      <c r="L33" s="4656" t="s">
        <v>3327</v>
      </c>
      <c r="M33" s="4625">
        <v>430103704</v>
      </c>
      <c r="N33" s="4656" t="s">
        <v>3327</v>
      </c>
      <c r="O33" s="4627">
        <v>12</v>
      </c>
      <c r="P33" s="4627">
        <v>6</v>
      </c>
      <c r="Q33" s="4628"/>
      <c r="R33" s="4627"/>
      <c r="S33" s="4629">
        <f>SUM(X33:X48)/T13</f>
        <v>0.40383282317609448</v>
      </c>
      <c r="T33" s="4630"/>
      <c r="U33" s="4631"/>
      <c r="V33" s="4631" t="s">
        <v>3328</v>
      </c>
      <c r="W33" s="4631" t="s">
        <v>3329</v>
      </c>
      <c r="X33" s="4633">
        <v>136127636</v>
      </c>
      <c r="Y33" s="4634">
        <v>84599231</v>
      </c>
      <c r="Z33" s="4634">
        <v>9800000</v>
      </c>
      <c r="AA33" s="2225" t="s">
        <v>3330</v>
      </c>
      <c r="AB33" s="2225">
        <v>4</v>
      </c>
      <c r="AC33" s="2225" t="s">
        <v>3331</v>
      </c>
      <c r="AD33" s="4635"/>
      <c r="AE33" s="4636"/>
      <c r="AF33" s="4151"/>
      <c r="AG33" s="4636"/>
      <c r="AH33" s="2242"/>
      <c r="AI33" s="4636"/>
      <c r="AJ33" s="4151"/>
      <c r="AK33" s="4636"/>
      <c r="AL33" s="4151"/>
      <c r="AM33" s="4636"/>
      <c r="AN33" s="4151"/>
      <c r="AO33" s="4636"/>
      <c r="AP33" s="4151"/>
      <c r="AQ33" s="4636"/>
      <c r="AR33" s="4151"/>
      <c r="AS33" s="4636"/>
      <c r="AT33" s="4151"/>
      <c r="AU33" s="4636"/>
      <c r="AV33" s="4151"/>
      <c r="AW33" s="4636"/>
      <c r="AX33" s="4151"/>
      <c r="AY33" s="4636"/>
      <c r="AZ33" s="4151"/>
      <c r="BA33" s="4636"/>
      <c r="BB33" s="4151"/>
      <c r="BC33" s="4636"/>
      <c r="BD33" s="4151"/>
      <c r="BE33" s="4636"/>
      <c r="BF33" s="4151"/>
      <c r="BG33" s="4636"/>
      <c r="BH33" s="4151"/>
      <c r="BI33" s="4636"/>
      <c r="BJ33" s="4635"/>
      <c r="BK33" s="4635"/>
      <c r="BL33" s="4635"/>
      <c r="BM33" s="4638"/>
      <c r="BN33" s="2215">
        <v>4</v>
      </c>
      <c r="BO33" s="2212" t="s">
        <v>3331</v>
      </c>
      <c r="BP33" s="4635"/>
      <c r="BQ33" s="2250"/>
      <c r="BR33" s="2250"/>
      <c r="BS33" s="2250"/>
      <c r="BT33" s="2250"/>
      <c r="BU33" s="2242"/>
    </row>
    <row r="34" spans="1:73" s="4642" customFormat="1" ht="37.5" customHeight="1" x14ac:dyDescent="0.25">
      <c r="A34" s="4652"/>
      <c r="B34" s="4653"/>
      <c r="C34" s="4652"/>
      <c r="D34" s="4653"/>
      <c r="E34" s="2"/>
      <c r="F34" s="2"/>
      <c r="G34" s="4655"/>
      <c r="H34" s="2282"/>
      <c r="I34" s="4655"/>
      <c r="J34" s="2282"/>
      <c r="K34" s="4625"/>
      <c r="L34" s="4656"/>
      <c r="M34" s="4625"/>
      <c r="N34" s="4656"/>
      <c r="O34" s="4627"/>
      <c r="P34" s="4627"/>
      <c r="Q34" s="4628"/>
      <c r="R34" s="4627"/>
      <c r="S34" s="4629"/>
      <c r="T34" s="4630"/>
      <c r="U34" s="4631"/>
      <c r="V34" s="4631"/>
      <c r="W34" s="4631"/>
      <c r="X34" s="4645">
        <v>600000000</v>
      </c>
      <c r="Y34" s="4646"/>
      <c r="Z34" s="4646"/>
      <c r="AA34" s="2221" t="s">
        <v>3332</v>
      </c>
      <c r="AB34" s="2221">
        <v>28</v>
      </c>
      <c r="AC34" s="2222" t="s">
        <v>3302</v>
      </c>
      <c r="AD34" s="4635"/>
      <c r="AE34" s="4636"/>
      <c r="AF34" s="4151"/>
      <c r="AG34" s="4636"/>
      <c r="AH34" s="2242"/>
      <c r="AI34" s="4636"/>
      <c r="AJ34" s="4151"/>
      <c r="AK34" s="4636"/>
      <c r="AL34" s="4151"/>
      <c r="AM34" s="4636"/>
      <c r="AN34" s="4151"/>
      <c r="AO34" s="4636"/>
      <c r="AP34" s="4151"/>
      <c r="AQ34" s="4636"/>
      <c r="AR34" s="4151"/>
      <c r="AS34" s="4636"/>
      <c r="AT34" s="4151"/>
      <c r="AU34" s="4636"/>
      <c r="AV34" s="4151"/>
      <c r="AW34" s="4636"/>
      <c r="AX34" s="4151"/>
      <c r="AY34" s="4636"/>
      <c r="AZ34" s="4151"/>
      <c r="BA34" s="4636"/>
      <c r="BB34" s="4151"/>
      <c r="BC34" s="4636"/>
      <c r="BD34" s="4151"/>
      <c r="BE34" s="4636"/>
      <c r="BF34" s="4151"/>
      <c r="BG34" s="4636"/>
      <c r="BH34" s="4151"/>
      <c r="BI34" s="4636"/>
      <c r="BJ34" s="4635"/>
      <c r="BK34" s="4635"/>
      <c r="BL34" s="4635"/>
      <c r="BM34" s="4638"/>
      <c r="BN34" s="2215"/>
      <c r="BO34" s="2212"/>
      <c r="BP34" s="4635"/>
      <c r="BQ34" s="2250"/>
      <c r="BR34" s="2250"/>
      <c r="BS34" s="2250"/>
      <c r="BT34" s="2250"/>
      <c r="BU34" s="2242"/>
    </row>
    <row r="35" spans="1:73" s="4642" customFormat="1" ht="37.5" customHeight="1" x14ac:dyDescent="0.25">
      <c r="A35" s="4652"/>
      <c r="B35" s="4653"/>
      <c r="C35" s="4652"/>
      <c r="D35" s="4653"/>
      <c r="E35" s="2"/>
      <c r="F35" s="2"/>
      <c r="G35" s="4655"/>
      <c r="H35" s="2282"/>
      <c r="I35" s="4655"/>
      <c r="J35" s="2282"/>
      <c r="K35" s="4625"/>
      <c r="L35" s="4656"/>
      <c r="M35" s="4625"/>
      <c r="N35" s="4656"/>
      <c r="O35" s="4627"/>
      <c r="P35" s="4627"/>
      <c r="Q35" s="4628"/>
      <c r="R35" s="4627"/>
      <c r="S35" s="4629"/>
      <c r="T35" s="4630"/>
      <c r="U35" s="4631"/>
      <c r="V35" s="4631"/>
      <c r="W35" s="4631"/>
      <c r="X35" s="4645">
        <v>70000000</v>
      </c>
      <c r="Y35" s="4661">
        <f>109050000-Y25</f>
        <v>69050000</v>
      </c>
      <c r="Z35" s="4661">
        <v>50500000</v>
      </c>
      <c r="AA35" s="2221" t="s">
        <v>3319</v>
      </c>
      <c r="AB35" s="2221">
        <v>24</v>
      </c>
      <c r="AC35" s="2222" t="s">
        <v>3320</v>
      </c>
      <c r="AD35" s="4635"/>
      <c r="AE35" s="4636"/>
      <c r="AF35" s="4151"/>
      <c r="AG35" s="4636"/>
      <c r="AH35" s="2242"/>
      <c r="AI35" s="4636"/>
      <c r="AJ35" s="4151"/>
      <c r="AK35" s="4636"/>
      <c r="AL35" s="4151"/>
      <c r="AM35" s="4636"/>
      <c r="AN35" s="4151"/>
      <c r="AO35" s="4636"/>
      <c r="AP35" s="4151"/>
      <c r="AQ35" s="4636"/>
      <c r="AR35" s="4151"/>
      <c r="AS35" s="4636"/>
      <c r="AT35" s="4151"/>
      <c r="AU35" s="4636"/>
      <c r="AV35" s="4151"/>
      <c r="AW35" s="4636"/>
      <c r="AX35" s="4151"/>
      <c r="AY35" s="4636"/>
      <c r="AZ35" s="4151"/>
      <c r="BA35" s="4636"/>
      <c r="BB35" s="4151"/>
      <c r="BC35" s="4636"/>
      <c r="BD35" s="4151"/>
      <c r="BE35" s="4636"/>
      <c r="BF35" s="4151"/>
      <c r="BG35" s="4636"/>
      <c r="BH35" s="4151"/>
      <c r="BI35" s="4636"/>
      <c r="BJ35" s="4635"/>
      <c r="BK35" s="4635"/>
      <c r="BL35" s="4635"/>
      <c r="BM35" s="4638"/>
      <c r="BN35" s="2215">
        <v>24</v>
      </c>
      <c r="BO35" s="4658" t="s">
        <v>3320</v>
      </c>
      <c r="BP35" s="4635"/>
      <c r="BQ35" s="2250"/>
      <c r="BR35" s="2250"/>
      <c r="BS35" s="2250"/>
      <c r="BT35" s="2250"/>
      <c r="BU35" s="2242"/>
    </row>
    <row r="36" spans="1:73" s="4642" customFormat="1" ht="37.5" customHeight="1" x14ac:dyDescent="0.25">
      <c r="A36" s="4652"/>
      <c r="B36" s="4653"/>
      <c r="C36" s="4652"/>
      <c r="D36" s="4653"/>
      <c r="E36" s="2"/>
      <c r="F36" s="2"/>
      <c r="G36" s="4655"/>
      <c r="H36" s="2282"/>
      <c r="I36" s="4655"/>
      <c r="J36" s="2282"/>
      <c r="K36" s="4625"/>
      <c r="L36" s="4656"/>
      <c r="M36" s="4625"/>
      <c r="N36" s="4656"/>
      <c r="O36" s="4627"/>
      <c r="P36" s="4627"/>
      <c r="Q36" s="4628"/>
      <c r="R36" s="4627"/>
      <c r="S36" s="4629"/>
      <c r="T36" s="4630"/>
      <c r="U36" s="4631"/>
      <c r="V36" s="4631"/>
      <c r="W36" s="4631"/>
      <c r="X36" s="4645">
        <v>58617531.109999999</v>
      </c>
      <c r="Y36" s="4646">
        <v>50220000</v>
      </c>
      <c r="Z36" s="4646">
        <v>13882500</v>
      </c>
      <c r="AA36" s="2221" t="s">
        <v>3333</v>
      </c>
      <c r="AB36" s="2221">
        <v>21</v>
      </c>
      <c r="AC36" s="2221" t="s">
        <v>3334</v>
      </c>
      <c r="AD36" s="4635"/>
      <c r="AE36" s="4636"/>
      <c r="AF36" s="4151"/>
      <c r="AG36" s="4636"/>
      <c r="AH36" s="2242"/>
      <c r="AI36" s="4636"/>
      <c r="AJ36" s="4151"/>
      <c r="AK36" s="4636"/>
      <c r="AL36" s="4151"/>
      <c r="AM36" s="4636"/>
      <c r="AN36" s="4151"/>
      <c r="AO36" s="4636"/>
      <c r="AP36" s="4151"/>
      <c r="AQ36" s="4636"/>
      <c r="AR36" s="4151"/>
      <c r="AS36" s="4636"/>
      <c r="AT36" s="4151"/>
      <c r="AU36" s="4636"/>
      <c r="AV36" s="4151"/>
      <c r="AW36" s="4636"/>
      <c r="AX36" s="4151"/>
      <c r="AY36" s="4636"/>
      <c r="AZ36" s="4151"/>
      <c r="BA36" s="4636"/>
      <c r="BB36" s="4151"/>
      <c r="BC36" s="4636"/>
      <c r="BD36" s="4151"/>
      <c r="BE36" s="4636"/>
      <c r="BF36" s="4151"/>
      <c r="BG36" s="4636"/>
      <c r="BH36" s="4151"/>
      <c r="BI36" s="4636"/>
      <c r="BJ36" s="4635"/>
      <c r="BK36" s="4635"/>
      <c r="BL36" s="4635"/>
      <c r="BM36" s="4638"/>
      <c r="BN36" s="2215">
        <v>21</v>
      </c>
      <c r="BO36" s="2212" t="s">
        <v>3334</v>
      </c>
      <c r="BP36" s="4635"/>
      <c r="BQ36" s="2250"/>
      <c r="BR36" s="2250"/>
      <c r="BS36" s="2250"/>
      <c r="BT36" s="2250"/>
      <c r="BU36" s="2242"/>
    </row>
    <row r="37" spans="1:73" s="4642" customFormat="1" ht="37.5" customHeight="1" x14ac:dyDescent="0.25">
      <c r="A37" s="4652"/>
      <c r="B37" s="4653"/>
      <c r="C37" s="4652"/>
      <c r="D37" s="4653"/>
      <c r="E37" s="2"/>
      <c r="F37" s="2"/>
      <c r="G37" s="4655"/>
      <c r="H37" s="2282"/>
      <c r="I37" s="4655"/>
      <c r="J37" s="2282"/>
      <c r="K37" s="4625"/>
      <c r="L37" s="4656"/>
      <c r="M37" s="4625"/>
      <c r="N37" s="4656"/>
      <c r="O37" s="4627"/>
      <c r="P37" s="4627"/>
      <c r="Q37" s="4628"/>
      <c r="R37" s="4627"/>
      <c r="S37" s="4629"/>
      <c r="T37" s="4630"/>
      <c r="U37" s="4631"/>
      <c r="V37" s="4631"/>
      <c r="W37" s="4631"/>
      <c r="X37" s="4645">
        <v>66355890</v>
      </c>
      <c r="Y37" s="4646">
        <v>7800000</v>
      </c>
      <c r="Z37" s="4662">
        <v>0</v>
      </c>
      <c r="AA37" s="2221" t="s">
        <v>3335</v>
      </c>
      <c r="AB37" s="2221">
        <v>3</v>
      </c>
      <c r="AC37" s="2221" t="s">
        <v>3336</v>
      </c>
      <c r="AD37" s="4635"/>
      <c r="AE37" s="4636"/>
      <c r="AF37" s="4151"/>
      <c r="AG37" s="4636"/>
      <c r="AH37" s="2242"/>
      <c r="AI37" s="4636"/>
      <c r="AJ37" s="4151"/>
      <c r="AK37" s="4636"/>
      <c r="AL37" s="4151"/>
      <c r="AM37" s="4636"/>
      <c r="AN37" s="4151"/>
      <c r="AO37" s="4636"/>
      <c r="AP37" s="4151"/>
      <c r="AQ37" s="4636"/>
      <c r="AR37" s="4151"/>
      <c r="AS37" s="4636"/>
      <c r="AT37" s="4151"/>
      <c r="AU37" s="4636"/>
      <c r="AV37" s="4151"/>
      <c r="AW37" s="4636"/>
      <c r="AX37" s="4151"/>
      <c r="AY37" s="4636"/>
      <c r="AZ37" s="4151"/>
      <c r="BA37" s="4636"/>
      <c r="BB37" s="4151"/>
      <c r="BC37" s="4636"/>
      <c r="BD37" s="4151"/>
      <c r="BE37" s="4636"/>
      <c r="BF37" s="4151"/>
      <c r="BG37" s="4636"/>
      <c r="BH37" s="4151"/>
      <c r="BI37" s="4636"/>
      <c r="BJ37" s="4635"/>
      <c r="BK37" s="4635"/>
      <c r="BL37" s="4635"/>
      <c r="BM37" s="4638"/>
      <c r="BN37" s="2215"/>
      <c r="BO37" s="2212"/>
      <c r="BP37" s="4635"/>
      <c r="BQ37" s="2250"/>
      <c r="BR37" s="2250"/>
      <c r="BS37" s="2250"/>
      <c r="BT37" s="2250"/>
      <c r="BU37" s="2242"/>
    </row>
    <row r="38" spans="1:73" s="4642" customFormat="1" ht="37.5" customHeight="1" x14ac:dyDescent="0.25">
      <c r="A38" s="4652"/>
      <c r="B38" s="4653"/>
      <c r="C38" s="4652"/>
      <c r="D38" s="4653"/>
      <c r="E38" s="2"/>
      <c r="F38" s="2"/>
      <c r="G38" s="4655"/>
      <c r="H38" s="2282"/>
      <c r="I38" s="4655"/>
      <c r="J38" s="2282"/>
      <c r="K38" s="4625"/>
      <c r="L38" s="4656"/>
      <c r="M38" s="4625"/>
      <c r="N38" s="4656"/>
      <c r="O38" s="4627"/>
      <c r="P38" s="4627"/>
      <c r="Q38" s="4628"/>
      <c r="R38" s="4627"/>
      <c r="S38" s="4629"/>
      <c r="T38" s="4630"/>
      <c r="U38" s="4631"/>
      <c r="V38" s="4631"/>
      <c r="W38" s="4631"/>
      <c r="X38" s="4645">
        <v>420000000</v>
      </c>
      <c r="Y38" s="4646">
        <v>183167436</v>
      </c>
      <c r="Z38" s="4646">
        <v>0</v>
      </c>
      <c r="AA38" s="2221" t="s">
        <v>3321</v>
      </c>
      <c r="AB38" s="2221">
        <v>7</v>
      </c>
      <c r="AC38" s="2221" t="s">
        <v>3305</v>
      </c>
      <c r="AD38" s="4635"/>
      <c r="AE38" s="4636"/>
      <c r="AF38" s="4151"/>
      <c r="AG38" s="4636"/>
      <c r="AH38" s="2242"/>
      <c r="AI38" s="4636"/>
      <c r="AJ38" s="4151"/>
      <c r="AK38" s="4636"/>
      <c r="AL38" s="4151"/>
      <c r="AM38" s="4636"/>
      <c r="AN38" s="4151"/>
      <c r="AO38" s="4636"/>
      <c r="AP38" s="4151"/>
      <c r="AQ38" s="4636"/>
      <c r="AR38" s="4151"/>
      <c r="AS38" s="4636"/>
      <c r="AT38" s="4151"/>
      <c r="AU38" s="4636"/>
      <c r="AV38" s="4151"/>
      <c r="AW38" s="4636"/>
      <c r="AX38" s="4151"/>
      <c r="AY38" s="4636"/>
      <c r="AZ38" s="4151"/>
      <c r="BA38" s="4636"/>
      <c r="BB38" s="4151"/>
      <c r="BC38" s="4636"/>
      <c r="BD38" s="4151"/>
      <c r="BE38" s="4636"/>
      <c r="BF38" s="4151"/>
      <c r="BG38" s="4636"/>
      <c r="BH38" s="4151"/>
      <c r="BI38" s="4636"/>
      <c r="BJ38" s="4635"/>
      <c r="BK38" s="4635"/>
      <c r="BL38" s="4635"/>
      <c r="BM38" s="4638"/>
      <c r="BN38" s="2215"/>
      <c r="BO38" s="2212"/>
      <c r="BP38" s="4635"/>
      <c r="BQ38" s="2250"/>
      <c r="BR38" s="2250"/>
      <c r="BS38" s="2250"/>
      <c r="BT38" s="2250"/>
      <c r="BU38" s="2242"/>
    </row>
    <row r="39" spans="1:73" s="4642" customFormat="1" ht="37.5" customHeight="1" x14ac:dyDescent="0.25">
      <c r="A39" s="4652"/>
      <c r="B39" s="4653"/>
      <c r="C39" s="4652"/>
      <c r="D39" s="4653"/>
      <c r="E39" s="2"/>
      <c r="F39" s="2"/>
      <c r="G39" s="4655"/>
      <c r="H39" s="2282"/>
      <c r="I39" s="4655"/>
      <c r="J39" s="2282"/>
      <c r="K39" s="4625"/>
      <c r="L39" s="4656"/>
      <c r="M39" s="4625"/>
      <c r="N39" s="4656"/>
      <c r="O39" s="4627"/>
      <c r="P39" s="4627"/>
      <c r="Q39" s="4628"/>
      <c r="R39" s="4627"/>
      <c r="S39" s="4629"/>
      <c r="T39" s="4630"/>
      <c r="U39" s="4631"/>
      <c r="V39" s="4631"/>
      <c r="W39" s="4631" t="s">
        <v>3337</v>
      </c>
      <c r="X39" s="4645">
        <v>70000000</v>
      </c>
      <c r="Y39" s="4663">
        <v>0</v>
      </c>
      <c r="Z39" s="4663">
        <v>0</v>
      </c>
      <c r="AA39" s="2221" t="s">
        <v>3326</v>
      </c>
      <c r="AB39" s="2221">
        <v>7</v>
      </c>
      <c r="AC39" s="2221" t="s">
        <v>3305</v>
      </c>
      <c r="AD39" s="4635"/>
      <c r="AE39" s="4636"/>
      <c r="AF39" s="4151"/>
      <c r="AG39" s="4636"/>
      <c r="AH39" s="2242"/>
      <c r="AI39" s="4636"/>
      <c r="AJ39" s="4151"/>
      <c r="AK39" s="4636"/>
      <c r="AL39" s="4151"/>
      <c r="AM39" s="4636"/>
      <c r="AN39" s="4151"/>
      <c r="AO39" s="4636"/>
      <c r="AP39" s="4151"/>
      <c r="AQ39" s="4636"/>
      <c r="AR39" s="4151"/>
      <c r="AS39" s="4636"/>
      <c r="AT39" s="4151"/>
      <c r="AU39" s="4636"/>
      <c r="AV39" s="4151"/>
      <c r="AW39" s="4636"/>
      <c r="AX39" s="4151"/>
      <c r="AY39" s="4636"/>
      <c r="AZ39" s="4151"/>
      <c r="BA39" s="4636"/>
      <c r="BB39" s="4151"/>
      <c r="BC39" s="4636"/>
      <c r="BD39" s="4151"/>
      <c r="BE39" s="4636"/>
      <c r="BF39" s="4151"/>
      <c r="BG39" s="4636"/>
      <c r="BH39" s="4151"/>
      <c r="BI39" s="4636"/>
      <c r="BJ39" s="4635"/>
      <c r="BK39" s="4635"/>
      <c r="BL39" s="4635"/>
      <c r="BM39" s="4638"/>
      <c r="BN39" s="4657"/>
      <c r="BO39" s="4657"/>
      <c r="BP39" s="4635"/>
      <c r="BQ39" s="2250"/>
      <c r="BR39" s="2250"/>
      <c r="BS39" s="2250"/>
      <c r="BT39" s="2250"/>
      <c r="BU39" s="2242"/>
    </row>
    <row r="40" spans="1:73" s="4642" customFormat="1" ht="37.5" customHeight="1" x14ac:dyDescent="0.25">
      <c r="A40" s="4652"/>
      <c r="B40" s="4653"/>
      <c r="C40" s="4652"/>
      <c r="D40" s="4653"/>
      <c r="E40" s="2"/>
      <c r="F40" s="2"/>
      <c r="G40" s="4655"/>
      <c r="H40" s="2282"/>
      <c r="I40" s="4655"/>
      <c r="J40" s="2282"/>
      <c r="K40" s="4625"/>
      <c r="L40" s="4656"/>
      <c r="M40" s="4625"/>
      <c r="N40" s="4656"/>
      <c r="O40" s="4627"/>
      <c r="P40" s="4627"/>
      <c r="Q40" s="4628"/>
      <c r="R40" s="4627"/>
      <c r="S40" s="4629"/>
      <c r="T40" s="4630"/>
      <c r="U40" s="4631"/>
      <c r="V40" s="4631"/>
      <c r="W40" s="4631"/>
      <c r="X40" s="4645">
        <v>150000000</v>
      </c>
      <c r="Y40" s="4663"/>
      <c r="Z40" s="4663"/>
      <c r="AA40" s="2221" t="s">
        <v>3338</v>
      </c>
      <c r="AB40" s="2221">
        <v>28</v>
      </c>
      <c r="AC40" s="2221" t="s">
        <v>3302</v>
      </c>
      <c r="AD40" s="4635"/>
      <c r="AE40" s="4636"/>
      <c r="AF40" s="4151"/>
      <c r="AG40" s="4636"/>
      <c r="AH40" s="2242"/>
      <c r="AI40" s="4636"/>
      <c r="AJ40" s="4151"/>
      <c r="AK40" s="4636"/>
      <c r="AL40" s="4151"/>
      <c r="AM40" s="4636"/>
      <c r="AN40" s="4151"/>
      <c r="AO40" s="4636"/>
      <c r="AP40" s="4151"/>
      <c r="AQ40" s="4636"/>
      <c r="AR40" s="4151"/>
      <c r="AS40" s="4636"/>
      <c r="AT40" s="4151"/>
      <c r="AU40" s="4636"/>
      <c r="AV40" s="4151"/>
      <c r="AW40" s="4636"/>
      <c r="AX40" s="4151"/>
      <c r="AY40" s="4636"/>
      <c r="AZ40" s="4151"/>
      <c r="BA40" s="4636"/>
      <c r="BB40" s="4151"/>
      <c r="BC40" s="4636"/>
      <c r="BD40" s="4151"/>
      <c r="BE40" s="4636"/>
      <c r="BF40" s="4151"/>
      <c r="BG40" s="4636"/>
      <c r="BH40" s="4151"/>
      <c r="BI40" s="4636"/>
      <c r="BJ40" s="4635"/>
      <c r="BK40" s="4635"/>
      <c r="BL40" s="4635"/>
      <c r="BM40" s="4638"/>
      <c r="BN40" s="4657"/>
      <c r="BO40" s="4657"/>
      <c r="BP40" s="4635"/>
      <c r="BQ40" s="2250"/>
      <c r="BR40" s="2250"/>
      <c r="BS40" s="2250"/>
      <c r="BT40" s="2250"/>
      <c r="BU40" s="2242"/>
    </row>
    <row r="41" spans="1:73" s="4642" customFormat="1" ht="37.5" customHeight="1" x14ac:dyDescent="0.25">
      <c r="A41" s="4652"/>
      <c r="B41" s="4653"/>
      <c r="C41" s="4652"/>
      <c r="D41" s="4653"/>
      <c r="E41" s="2"/>
      <c r="F41" s="2"/>
      <c r="G41" s="4655"/>
      <c r="H41" s="2282"/>
      <c r="I41" s="4655"/>
      <c r="J41" s="2282"/>
      <c r="K41" s="4625"/>
      <c r="L41" s="4656"/>
      <c r="M41" s="4625"/>
      <c r="N41" s="4656"/>
      <c r="O41" s="4627"/>
      <c r="P41" s="4627"/>
      <c r="Q41" s="4628"/>
      <c r="R41" s="4627"/>
      <c r="S41" s="4629"/>
      <c r="T41" s="4630"/>
      <c r="U41" s="4631"/>
      <c r="V41" s="4631"/>
      <c r="W41" s="4631"/>
      <c r="X41" s="4645">
        <v>250000000</v>
      </c>
      <c r="Y41" s="4663"/>
      <c r="Z41" s="4663"/>
      <c r="AA41" s="2221" t="s">
        <v>3339</v>
      </c>
      <c r="AB41" s="2221">
        <v>28</v>
      </c>
      <c r="AC41" s="2221" t="s">
        <v>3302</v>
      </c>
      <c r="AD41" s="4635"/>
      <c r="AE41" s="4636"/>
      <c r="AF41" s="4151"/>
      <c r="AG41" s="4636"/>
      <c r="AH41" s="2242"/>
      <c r="AI41" s="4636"/>
      <c r="AJ41" s="4151"/>
      <c r="AK41" s="4636"/>
      <c r="AL41" s="4151"/>
      <c r="AM41" s="4636"/>
      <c r="AN41" s="4151"/>
      <c r="AO41" s="4636"/>
      <c r="AP41" s="4151"/>
      <c r="AQ41" s="4636"/>
      <c r="AR41" s="4151"/>
      <c r="AS41" s="4636"/>
      <c r="AT41" s="4151"/>
      <c r="AU41" s="4636"/>
      <c r="AV41" s="4151"/>
      <c r="AW41" s="4636"/>
      <c r="AX41" s="4151"/>
      <c r="AY41" s="4636"/>
      <c r="AZ41" s="4151"/>
      <c r="BA41" s="4636"/>
      <c r="BB41" s="4151"/>
      <c r="BC41" s="4636"/>
      <c r="BD41" s="4151"/>
      <c r="BE41" s="4636"/>
      <c r="BF41" s="4151"/>
      <c r="BG41" s="4636"/>
      <c r="BH41" s="4151"/>
      <c r="BI41" s="4636"/>
      <c r="BJ41" s="4635"/>
      <c r="BK41" s="4635"/>
      <c r="BL41" s="4635"/>
      <c r="BM41" s="4638"/>
      <c r="BN41" s="4657"/>
      <c r="BO41" s="4657"/>
      <c r="BP41" s="4635"/>
      <c r="BQ41" s="2250"/>
      <c r="BR41" s="2250"/>
      <c r="BS41" s="2250"/>
      <c r="BT41" s="2250"/>
      <c r="BU41" s="2242"/>
    </row>
    <row r="42" spans="1:73" s="4642" customFormat="1" ht="37.5" customHeight="1" x14ac:dyDescent="0.25">
      <c r="A42" s="4652"/>
      <c r="B42" s="4653"/>
      <c r="C42" s="4652"/>
      <c r="D42" s="4653"/>
      <c r="E42" s="2"/>
      <c r="F42" s="2"/>
      <c r="G42" s="4655"/>
      <c r="H42" s="2282"/>
      <c r="I42" s="4655"/>
      <c r="J42" s="2282"/>
      <c r="K42" s="4625"/>
      <c r="L42" s="4656"/>
      <c r="M42" s="4625"/>
      <c r="N42" s="4656"/>
      <c r="O42" s="4627"/>
      <c r="P42" s="4627"/>
      <c r="Q42" s="4628"/>
      <c r="R42" s="4627"/>
      <c r="S42" s="4629"/>
      <c r="T42" s="4630"/>
      <c r="U42" s="4631"/>
      <c r="V42" s="4631"/>
      <c r="W42" s="4631"/>
      <c r="X42" s="4633">
        <v>55000000</v>
      </c>
      <c r="Y42" s="4660">
        <v>0</v>
      </c>
      <c r="Z42" s="4660">
        <v>0</v>
      </c>
      <c r="AA42" s="2225" t="s">
        <v>3324</v>
      </c>
      <c r="AB42" s="2225">
        <v>7</v>
      </c>
      <c r="AC42" s="2225" t="s">
        <v>3305</v>
      </c>
      <c r="AD42" s="4635"/>
      <c r="AE42" s="4636"/>
      <c r="AF42" s="4151"/>
      <c r="AG42" s="4636"/>
      <c r="AH42" s="2242"/>
      <c r="AI42" s="4636"/>
      <c r="AJ42" s="4151"/>
      <c r="AK42" s="4636"/>
      <c r="AL42" s="4151"/>
      <c r="AM42" s="4636"/>
      <c r="AN42" s="4151"/>
      <c r="AO42" s="4636"/>
      <c r="AP42" s="4151"/>
      <c r="AQ42" s="4636"/>
      <c r="AR42" s="4151"/>
      <c r="AS42" s="4636"/>
      <c r="AT42" s="4151"/>
      <c r="AU42" s="4636"/>
      <c r="AV42" s="4151"/>
      <c r="AW42" s="4636"/>
      <c r="AX42" s="4151"/>
      <c r="AY42" s="4636"/>
      <c r="AZ42" s="4151"/>
      <c r="BA42" s="4636"/>
      <c r="BB42" s="4151"/>
      <c r="BC42" s="4636"/>
      <c r="BD42" s="4151"/>
      <c r="BE42" s="4636"/>
      <c r="BF42" s="4151"/>
      <c r="BG42" s="4636"/>
      <c r="BH42" s="4151"/>
      <c r="BI42" s="4636"/>
      <c r="BJ42" s="4635"/>
      <c r="BK42" s="4635"/>
      <c r="BL42" s="4635"/>
      <c r="BM42" s="4638"/>
      <c r="BN42" s="4657"/>
      <c r="BO42" s="4657"/>
      <c r="BP42" s="4635"/>
      <c r="BQ42" s="2250"/>
      <c r="BR42" s="2250"/>
      <c r="BS42" s="2250"/>
      <c r="BT42" s="2250"/>
      <c r="BU42" s="2242"/>
    </row>
    <row r="43" spans="1:73" s="4642" customFormat="1" ht="37.5" customHeight="1" x14ac:dyDescent="0.25">
      <c r="A43" s="4652"/>
      <c r="B43" s="4653"/>
      <c r="C43" s="4652"/>
      <c r="D43" s="4653"/>
      <c r="E43" s="2"/>
      <c r="F43" s="2"/>
      <c r="G43" s="4655"/>
      <c r="H43" s="2282"/>
      <c r="I43" s="4655"/>
      <c r="J43" s="2282"/>
      <c r="K43" s="4625"/>
      <c r="L43" s="4656"/>
      <c r="M43" s="4625"/>
      <c r="N43" s="4656"/>
      <c r="O43" s="4627"/>
      <c r="P43" s="4627"/>
      <c r="Q43" s="4628"/>
      <c r="R43" s="4627"/>
      <c r="S43" s="4629"/>
      <c r="T43" s="4630"/>
      <c r="U43" s="4631"/>
      <c r="V43" s="4631"/>
      <c r="W43" s="4631"/>
      <c r="X43" s="4633">
        <v>60000000</v>
      </c>
      <c r="Y43" s="4660">
        <v>0</v>
      </c>
      <c r="Z43" s="4660">
        <v>0</v>
      </c>
      <c r="AA43" s="2225" t="s">
        <v>3340</v>
      </c>
      <c r="AB43" s="2225">
        <v>12</v>
      </c>
      <c r="AC43" s="2225" t="s">
        <v>3308</v>
      </c>
      <c r="AD43" s="4635"/>
      <c r="AE43" s="4636"/>
      <c r="AF43" s="4151"/>
      <c r="AG43" s="4636"/>
      <c r="AH43" s="2242"/>
      <c r="AI43" s="4636"/>
      <c r="AJ43" s="4151"/>
      <c r="AK43" s="4636"/>
      <c r="AL43" s="4151"/>
      <c r="AM43" s="4636"/>
      <c r="AN43" s="4151"/>
      <c r="AO43" s="4636"/>
      <c r="AP43" s="4151"/>
      <c r="AQ43" s="4636"/>
      <c r="AR43" s="4151"/>
      <c r="AS43" s="4636"/>
      <c r="AT43" s="4151"/>
      <c r="AU43" s="4636"/>
      <c r="AV43" s="4151"/>
      <c r="AW43" s="4636"/>
      <c r="AX43" s="4151"/>
      <c r="AY43" s="4636"/>
      <c r="AZ43" s="4151"/>
      <c r="BA43" s="4636"/>
      <c r="BB43" s="4151"/>
      <c r="BC43" s="4636"/>
      <c r="BD43" s="4151"/>
      <c r="BE43" s="4636"/>
      <c r="BF43" s="4151"/>
      <c r="BG43" s="4636"/>
      <c r="BH43" s="4151"/>
      <c r="BI43" s="4636"/>
      <c r="BJ43" s="4635"/>
      <c r="BK43" s="4635"/>
      <c r="BL43" s="4635"/>
      <c r="BM43" s="4638"/>
      <c r="BN43" s="2215"/>
      <c r="BO43" s="2212"/>
      <c r="BP43" s="4635"/>
      <c r="BQ43" s="2250"/>
      <c r="BR43" s="2250"/>
      <c r="BS43" s="2250"/>
      <c r="BT43" s="2250"/>
      <c r="BU43" s="2242"/>
    </row>
    <row r="44" spans="1:73" s="4642" customFormat="1" ht="37.5" customHeight="1" x14ac:dyDescent="0.25">
      <c r="A44" s="4652"/>
      <c r="B44" s="4653"/>
      <c r="C44" s="4652"/>
      <c r="D44" s="4653"/>
      <c r="E44" s="2"/>
      <c r="F44" s="2"/>
      <c r="G44" s="4655"/>
      <c r="H44" s="2282"/>
      <c r="I44" s="4655"/>
      <c r="J44" s="2282"/>
      <c r="K44" s="4625"/>
      <c r="L44" s="4656"/>
      <c r="M44" s="4625"/>
      <c r="N44" s="4656"/>
      <c r="O44" s="4627"/>
      <c r="P44" s="4627"/>
      <c r="Q44" s="4628"/>
      <c r="R44" s="4627"/>
      <c r="S44" s="4629"/>
      <c r="T44" s="4630"/>
      <c r="U44" s="4631"/>
      <c r="V44" s="4631"/>
      <c r="W44" s="4631"/>
      <c r="X44" s="4633">
        <v>57021304</v>
      </c>
      <c r="Y44" s="4664">
        <v>0</v>
      </c>
      <c r="Z44" s="4664">
        <v>0</v>
      </c>
      <c r="AA44" s="2225" t="s">
        <v>3323</v>
      </c>
      <c r="AB44" s="2225">
        <v>12</v>
      </c>
      <c r="AC44" s="2225" t="s">
        <v>3308</v>
      </c>
      <c r="AD44" s="4635"/>
      <c r="AE44" s="4636"/>
      <c r="AF44" s="4151"/>
      <c r="AG44" s="4636"/>
      <c r="AH44" s="2242"/>
      <c r="AI44" s="4636"/>
      <c r="AJ44" s="4151"/>
      <c r="AK44" s="4636"/>
      <c r="AL44" s="4151"/>
      <c r="AM44" s="4636"/>
      <c r="AN44" s="4151"/>
      <c r="AO44" s="4636"/>
      <c r="AP44" s="4151"/>
      <c r="AQ44" s="4636"/>
      <c r="AR44" s="4151"/>
      <c r="AS44" s="4636"/>
      <c r="AT44" s="4151"/>
      <c r="AU44" s="4636"/>
      <c r="AV44" s="4151"/>
      <c r="AW44" s="4636"/>
      <c r="AX44" s="4151"/>
      <c r="AY44" s="4636"/>
      <c r="AZ44" s="4151"/>
      <c r="BA44" s="4636"/>
      <c r="BB44" s="4151"/>
      <c r="BC44" s="4636"/>
      <c r="BD44" s="4151"/>
      <c r="BE44" s="4636"/>
      <c r="BF44" s="4151"/>
      <c r="BG44" s="4636"/>
      <c r="BH44" s="4151"/>
      <c r="BI44" s="4636"/>
      <c r="BJ44" s="4635"/>
      <c r="BK44" s="4635"/>
      <c r="BL44" s="4635"/>
      <c r="BM44" s="4638"/>
      <c r="BN44" s="2215"/>
      <c r="BO44" s="2212"/>
      <c r="BP44" s="4635"/>
      <c r="BQ44" s="2250"/>
      <c r="BR44" s="2250"/>
      <c r="BS44" s="2250"/>
      <c r="BT44" s="2250"/>
      <c r="BU44" s="2242"/>
    </row>
    <row r="45" spans="1:73" s="4642" customFormat="1" ht="37.5" customHeight="1" x14ac:dyDescent="0.25">
      <c r="A45" s="4652"/>
      <c r="B45" s="4653"/>
      <c r="C45" s="4652"/>
      <c r="D45" s="4653"/>
      <c r="E45" s="2"/>
      <c r="F45" s="2"/>
      <c r="G45" s="4655"/>
      <c r="H45" s="2282"/>
      <c r="I45" s="4655"/>
      <c r="J45" s="2282"/>
      <c r="K45" s="4625"/>
      <c r="L45" s="4656"/>
      <c r="M45" s="4625"/>
      <c r="N45" s="4656"/>
      <c r="O45" s="4627"/>
      <c r="P45" s="4627"/>
      <c r="Q45" s="4628"/>
      <c r="R45" s="4627"/>
      <c r="S45" s="4629"/>
      <c r="T45" s="4630"/>
      <c r="U45" s="4631"/>
      <c r="V45" s="4631"/>
      <c r="W45" s="4631" t="s">
        <v>3341</v>
      </c>
      <c r="X45" s="4665">
        <v>20000000</v>
      </c>
      <c r="Y45" s="4666">
        <v>0</v>
      </c>
      <c r="Z45" s="4666">
        <v>0</v>
      </c>
      <c r="AA45" s="2225" t="s">
        <v>3321</v>
      </c>
      <c r="AB45" s="2225">
        <v>7</v>
      </c>
      <c r="AC45" s="2225" t="s">
        <v>3305</v>
      </c>
      <c r="AD45" s="4635"/>
      <c r="AE45" s="4636"/>
      <c r="AF45" s="4151"/>
      <c r="AG45" s="4636"/>
      <c r="AH45" s="2242"/>
      <c r="AI45" s="4636"/>
      <c r="AJ45" s="4151"/>
      <c r="AK45" s="4636"/>
      <c r="AL45" s="4151"/>
      <c r="AM45" s="4636"/>
      <c r="AN45" s="4151"/>
      <c r="AO45" s="4636"/>
      <c r="AP45" s="4151"/>
      <c r="AQ45" s="4636"/>
      <c r="AR45" s="4151"/>
      <c r="AS45" s="4636"/>
      <c r="AT45" s="4151"/>
      <c r="AU45" s="4636"/>
      <c r="AV45" s="4151"/>
      <c r="AW45" s="4636"/>
      <c r="AX45" s="4151"/>
      <c r="AY45" s="4636"/>
      <c r="AZ45" s="4151"/>
      <c r="BA45" s="4636"/>
      <c r="BB45" s="4151"/>
      <c r="BC45" s="4636"/>
      <c r="BD45" s="4151"/>
      <c r="BE45" s="4636"/>
      <c r="BF45" s="4151"/>
      <c r="BG45" s="4636"/>
      <c r="BH45" s="4151"/>
      <c r="BI45" s="4636"/>
      <c r="BJ45" s="4635"/>
      <c r="BK45" s="4635"/>
      <c r="BL45" s="4635"/>
      <c r="BM45" s="4638"/>
      <c r="BN45" s="4657"/>
      <c r="BO45" s="4657"/>
      <c r="BP45" s="4635"/>
      <c r="BQ45" s="2250"/>
      <c r="BR45" s="2250"/>
      <c r="BS45" s="2250"/>
      <c r="BT45" s="2250"/>
      <c r="BU45" s="2242"/>
    </row>
    <row r="46" spans="1:73" s="4642" customFormat="1" ht="37.5" customHeight="1" x14ac:dyDescent="0.25">
      <c r="A46" s="4652"/>
      <c r="B46" s="4653"/>
      <c r="C46" s="4652"/>
      <c r="D46" s="4653"/>
      <c r="E46" s="2"/>
      <c r="F46" s="2"/>
      <c r="G46" s="4655"/>
      <c r="H46" s="2282"/>
      <c r="I46" s="4655"/>
      <c r="J46" s="2282"/>
      <c r="K46" s="4625"/>
      <c r="L46" s="4656"/>
      <c r="M46" s="4625"/>
      <c r="N46" s="4656"/>
      <c r="O46" s="4627"/>
      <c r="P46" s="4627"/>
      <c r="Q46" s="4628"/>
      <c r="R46" s="4627"/>
      <c r="S46" s="4629"/>
      <c r="T46" s="4630"/>
      <c r="U46" s="4631"/>
      <c r="V46" s="4631"/>
      <c r="W46" s="4631"/>
      <c r="X46" s="4665">
        <v>30000000</v>
      </c>
      <c r="Y46" s="4666">
        <v>0</v>
      </c>
      <c r="Z46" s="4666">
        <v>0</v>
      </c>
      <c r="AA46" s="2225" t="s">
        <v>3324</v>
      </c>
      <c r="AB46" s="2225">
        <v>7</v>
      </c>
      <c r="AC46" s="2225" t="s">
        <v>3305</v>
      </c>
      <c r="AD46" s="4635"/>
      <c r="AE46" s="4636"/>
      <c r="AF46" s="4151"/>
      <c r="AG46" s="4636"/>
      <c r="AH46" s="2242"/>
      <c r="AI46" s="4636"/>
      <c r="AJ46" s="4151"/>
      <c r="AK46" s="4636"/>
      <c r="AL46" s="4151"/>
      <c r="AM46" s="4636"/>
      <c r="AN46" s="4151"/>
      <c r="AO46" s="4636"/>
      <c r="AP46" s="4151"/>
      <c r="AQ46" s="4636"/>
      <c r="AR46" s="4151"/>
      <c r="AS46" s="4636"/>
      <c r="AT46" s="4151"/>
      <c r="AU46" s="4636"/>
      <c r="AV46" s="4151"/>
      <c r="AW46" s="4636"/>
      <c r="AX46" s="4151"/>
      <c r="AY46" s="4636"/>
      <c r="AZ46" s="4151"/>
      <c r="BA46" s="4636"/>
      <c r="BB46" s="4151"/>
      <c r="BC46" s="4636"/>
      <c r="BD46" s="4151"/>
      <c r="BE46" s="4636"/>
      <c r="BF46" s="4151"/>
      <c r="BG46" s="4636"/>
      <c r="BH46" s="4151"/>
      <c r="BI46" s="4636"/>
      <c r="BJ46" s="4635"/>
      <c r="BK46" s="4635"/>
      <c r="BL46" s="4635"/>
      <c r="BM46" s="4638"/>
      <c r="BN46" s="4657"/>
      <c r="BO46" s="4657"/>
      <c r="BP46" s="4635"/>
      <c r="BQ46" s="2250"/>
      <c r="BR46" s="2250"/>
      <c r="BS46" s="2250"/>
      <c r="BT46" s="2250"/>
      <c r="BU46" s="2242"/>
    </row>
    <row r="47" spans="1:73" s="4642" customFormat="1" ht="37.5" customHeight="1" x14ac:dyDescent="0.25">
      <c r="A47" s="4652"/>
      <c r="B47" s="4653"/>
      <c r="C47" s="4652"/>
      <c r="D47" s="4653"/>
      <c r="E47" s="2"/>
      <c r="F47" s="2"/>
      <c r="G47" s="4655"/>
      <c r="H47" s="2282"/>
      <c r="I47" s="4655"/>
      <c r="J47" s="2282"/>
      <c r="K47" s="4625"/>
      <c r="L47" s="4656"/>
      <c r="M47" s="4625"/>
      <c r="N47" s="4656"/>
      <c r="O47" s="4627"/>
      <c r="P47" s="4627"/>
      <c r="Q47" s="4628"/>
      <c r="R47" s="4627"/>
      <c r="S47" s="4629"/>
      <c r="T47" s="4630"/>
      <c r="U47" s="4631"/>
      <c r="V47" s="4631"/>
      <c r="W47" s="4631"/>
      <c r="X47" s="4665">
        <v>30000000</v>
      </c>
      <c r="Y47" s="4667">
        <v>0</v>
      </c>
      <c r="Z47" s="4668">
        <v>0</v>
      </c>
      <c r="AA47" s="2225" t="s">
        <v>3342</v>
      </c>
      <c r="AB47" s="2225">
        <v>9</v>
      </c>
      <c r="AC47" s="2225" t="s">
        <v>3343</v>
      </c>
      <c r="AD47" s="4635"/>
      <c r="AE47" s="4636"/>
      <c r="AF47" s="4151"/>
      <c r="AG47" s="4636"/>
      <c r="AH47" s="2242"/>
      <c r="AI47" s="4636"/>
      <c r="AJ47" s="4151"/>
      <c r="AK47" s="4636"/>
      <c r="AL47" s="4151"/>
      <c r="AM47" s="4636"/>
      <c r="AN47" s="4151"/>
      <c r="AO47" s="4636"/>
      <c r="AP47" s="4151"/>
      <c r="AQ47" s="4636"/>
      <c r="AR47" s="4151"/>
      <c r="AS47" s="4636"/>
      <c r="AT47" s="4151"/>
      <c r="AU47" s="4636"/>
      <c r="AV47" s="4151"/>
      <c r="AW47" s="4636"/>
      <c r="AX47" s="4151"/>
      <c r="AY47" s="4636"/>
      <c r="AZ47" s="4151"/>
      <c r="BA47" s="4636"/>
      <c r="BB47" s="4151"/>
      <c r="BC47" s="4636"/>
      <c r="BD47" s="4151"/>
      <c r="BE47" s="4636"/>
      <c r="BF47" s="4151"/>
      <c r="BG47" s="4636"/>
      <c r="BH47" s="4151"/>
      <c r="BI47" s="4636"/>
      <c r="BJ47" s="4635"/>
      <c r="BK47" s="4635"/>
      <c r="BL47" s="4635"/>
      <c r="BM47" s="4638"/>
      <c r="BN47" s="4657"/>
      <c r="BO47" s="4658"/>
      <c r="BP47" s="4635"/>
      <c r="BQ47" s="2250"/>
      <c r="BR47" s="2250"/>
      <c r="BS47" s="2250"/>
      <c r="BT47" s="2250"/>
      <c r="BU47" s="2242"/>
    </row>
    <row r="48" spans="1:73" s="4642" customFormat="1" ht="37.5" customHeight="1" x14ac:dyDescent="0.25">
      <c r="A48" s="4652"/>
      <c r="B48" s="4653"/>
      <c r="C48" s="4652"/>
      <c r="D48" s="4653"/>
      <c r="E48" s="2"/>
      <c r="F48" s="2"/>
      <c r="G48" s="4655"/>
      <c r="H48" s="2434"/>
      <c r="I48" s="4655"/>
      <c r="J48" s="2434"/>
      <c r="K48" s="4625"/>
      <c r="L48" s="4656"/>
      <c r="M48" s="4625"/>
      <c r="N48" s="4656"/>
      <c r="O48" s="4627"/>
      <c r="P48" s="4627"/>
      <c r="Q48" s="4628"/>
      <c r="R48" s="4627"/>
      <c r="S48" s="4629"/>
      <c r="T48" s="4630"/>
      <c r="U48" s="4631"/>
      <c r="V48" s="4631"/>
      <c r="W48" s="4631"/>
      <c r="X48" s="4633">
        <v>40000000</v>
      </c>
      <c r="Y48" s="4667">
        <v>29880667</v>
      </c>
      <c r="Z48" s="4668">
        <v>0</v>
      </c>
      <c r="AA48" s="2225" t="s">
        <v>3344</v>
      </c>
      <c r="AB48" s="2225">
        <v>3</v>
      </c>
      <c r="AC48" s="2225" t="s">
        <v>3336</v>
      </c>
      <c r="AD48" s="4635"/>
      <c r="AE48" s="4636"/>
      <c r="AF48" s="4151"/>
      <c r="AG48" s="4636"/>
      <c r="AH48" s="2242"/>
      <c r="AI48" s="4636"/>
      <c r="AJ48" s="4151"/>
      <c r="AK48" s="4636"/>
      <c r="AL48" s="4151"/>
      <c r="AM48" s="4636"/>
      <c r="AN48" s="4151"/>
      <c r="AO48" s="4636"/>
      <c r="AP48" s="4151"/>
      <c r="AQ48" s="4636"/>
      <c r="AR48" s="4151"/>
      <c r="AS48" s="4636"/>
      <c r="AT48" s="4151"/>
      <c r="AU48" s="4636"/>
      <c r="AV48" s="4151"/>
      <c r="AW48" s="4636"/>
      <c r="AX48" s="4151"/>
      <c r="AY48" s="4636"/>
      <c r="AZ48" s="4151"/>
      <c r="BA48" s="4636"/>
      <c r="BB48" s="4151"/>
      <c r="BC48" s="4636"/>
      <c r="BD48" s="4151"/>
      <c r="BE48" s="4636"/>
      <c r="BF48" s="4151"/>
      <c r="BG48" s="4636"/>
      <c r="BH48" s="4151"/>
      <c r="BI48" s="4636"/>
      <c r="BJ48" s="4635"/>
      <c r="BK48" s="4635"/>
      <c r="BL48" s="4635"/>
      <c r="BM48" s="4638"/>
      <c r="BN48" s="2215"/>
      <c r="BO48" s="2212"/>
      <c r="BP48" s="4635"/>
      <c r="BQ48" s="2250"/>
      <c r="BR48" s="2250"/>
      <c r="BS48" s="2250"/>
      <c r="BT48" s="2250"/>
      <c r="BU48" s="2242"/>
    </row>
    <row r="49" spans="1:73" s="4642" customFormat="1" ht="102" customHeight="1" x14ac:dyDescent="0.25">
      <c r="A49" s="4652"/>
      <c r="B49" s="4653"/>
      <c r="C49" s="4652"/>
      <c r="D49" s="4653"/>
      <c r="E49" s="2"/>
      <c r="F49" s="2"/>
      <c r="G49" s="4625" t="s">
        <v>74</v>
      </c>
      <c r="H49" s="4656" t="s">
        <v>3345</v>
      </c>
      <c r="I49" s="4625">
        <v>4301006</v>
      </c>
      <c r="J49" s="4626" t="s">
        <v>3346</v>
      </c>
      <c r="K49" s="4625" t="s">
        <v>74</v>
      </c>
      <c r="L49" s="4656" t="s">
        <v>3347</v>
      </c>
      <c r="M49" s="4625">
        <v>430100600</v>
      </c>
      <c r="N49" s="4626" t="s">
        <v>3348</v>
      </c>
      <c r="O49" s="4627">
        <v>1</v>
      </c>
      <c r="P49" s="4627">
        <v>0</v>
      </c>
      <c r="Q49" s="4628"/>
      <c r="R49" s="4627"/>
      <c r="S49" s="4629">
        <f>SUM(X49:X51)/T13</f>
        <v>1.4558185862195329E-2</v>
      </c>
      <c r="T49" s="4630"/>
      <c r="U49" s="4631"/>
      <c r="V49" s="4631" t="s">
        <v>3349</v>
      </c>
      <c r="W49" s="4631" t="s">
        <v>3350</v>
      </c>
      <c r="X49" s="4633">
        <v>20000000</v>
      </c>
      <c r="Y49" s="4669">
        <v>0</v>
      </c>
      <c r="Z49" s="4669">
        <v>0</v>
      </c>
      <c r="AA49" s="2225" t="s">
        <v>3351</v>
      </c>
      <c r="AB49" s="2225">
        <v>3</v>
      </c>
      <c r="AC49" s="2225" t="s">
        <v>3336</v>
      </c>
      <c r="AD49" s="4635"/>
      <c r="AE49" s="4636"/>
      <c r="AF49" s="4151"/>
      <c r="AG49" s="4636"/>
      <c r="AH49" s="2242"/>
      <c r="AI49" s="4636"/>
      <c r="AJ49" s="4151"/>
      <c r="AK49" s="4636"/>
      <c r="AL49" s="4151"/>
      <c r="AM49" s="4636"/>
      <c r="AN49" s="4151"/>
      <c r="AO49" s="4636"/>
      <c r="AP49" s="4151"/>
      <c r="AQ49" s="4636"/>
      <c r="AR49" s="4151"/>
      <c r="AS49" s="4636"/>
      <c r="AT49" s="4151"/>
      <c r="AU49" s="4636"/>
      <c r="AV49" s="4151"/>
      <c r="AW49" s="4636"/>
      <c r="AX49" s="4151"/>
      <c r="AY49" s="4636"/>
      <c r="AZ49" s="4151"/>
      <c r="BA49" s="4636"/>
      <c r="BB49" s="4151"/>
      <c r="BC49" s="4636"/>
      <c r="BD49" s="4151"/>
      <c r="BE49" s="4636"/>
      <c r="BF49" s="4151"/>
      <c r="BG49" s="4636"/>
      <c r="BH49" s="4151"/>
      <c r="BI49" s="4636"/>
      <c r="BJ49" s="4635"/>
      <c r="BK49" s="4635"/>
      <c r="BL49" s="4635"/>
      <c r="BM49" s="4638"/>
      <c r="BN49" s="2215"/>
      <c r="BO49" s="2212"/>
      <c r="BP49" s="4635"/>
      <c r="BQ49" s="2250"/>
      <c r="BR49" s="2250"/>
      <c r="BS49" s="2250"/>
      <c r="BT49" s="2250"/>
      <c r="BU49" s="2242"/>
    </row>
    <row r="50" spans="1:73" s="4642" customFormat="1" ht="102" customHeight="1" x14ac:dyDescent="0.25">
      <c r="A50" s="4652"/>
      <c r="B50" s="4653"/>
      <c r="C50" s="4652"/>
      <c r="D50" s="4653"/>
      <c r="E50" s="2"/>
      <c r="F50" s="2"/>
      <c r="G50" s="4625"/>
      <c r="H50" s="4656"/>
      <c r="I50" s="4625"/>
      <c r="J50" s="4643"/>
      <c r="K50" s="4625"/>
      <c r="L50" s="4656"/>
      <c r="M50" s="4625"/>
      <c r="N50" s="4643"/>
      <c r="O50" s="4627"/>
      <c r="P50" s="4627"/>
      <c r="Q50" s="4628"/>
      <c r="R50" s="4627"/>
      <c r="S50" s="4629"/>
      <c r="T50" s="4630"/>
      <c r="U50" s="4631"/>
      <c r="V50" s="4631"/>
      <c r="W50" s="4631"/>
      <c r="X50" s="4665">
        <v>50000000</v>
      </c>
      <c r="Y50" s="4634">
        <v>13200000</v>
      </c>
      <c r="Z50" s="4634">
        <v>8250000</v>
      </c>
      <c r="AA50" s="2225" t="s">
        <v>3352</v>
      </c>
      <c r="AB50" s="2225">
        <v>12</v>
      </c>
      <c r="AC50" s="4670" t="s">
        <v>3308</v>
      </c>
      <c r="AD50" s="4635"/>
      <c r="AE50" s="4636"/>
      <c r="AF50" s="4151"/>
      <c r="AG50" s="4636"/>
      <c r="AH50" s="2242"/>
      <c r="AI50" s="4636"/>
      <c r="AJ50" s="4151"/>
      <c r="AK50" s="4636"/>
      <c r="AL50" s="4151"/>
      <c r="AM50" s="4636"/>
      <c r="AN50" s="4151"/>
      <c r="AO50" s="4636"/>
      <c r="AP50" s="4151"/>
      <c r="AQ50" s="4636"/>
      <c r="AR50" s="4151"/>
      <c r="AS50" s="4636"/>
      <c r="AT50" s="4151"/>
      <c r="AU50" s="4636"/>
      <c r="AV50" s="4151"/>
      <c r="AW50" s="4636"/>
      <c r="AX50" s="4151"/>
      <c r="AY50" s="4636"/>
      <c r="AZ50" s="4151"/>
      <c r="BA50" s="4636"/>
      <c r="BB50" s="4151"/>
      <c r="BC50" s="4636"/>
      <c r="BD50" s="4151"/>
      <c r="BE50" s="4636"/>
      <c r="BF50" s="4151"/>
      <c r="BG50" s="4636"/>
      <c r="BH50" s="4151"/>
      <c r="BI50" s="4636"/>
      <c r="BJ50" s="4635"/>
      <c r="BK50" s="4635"/>
      <c r="BL50" s="4635"/>
      <c r="BM50" s="4638"/>
      <c r="BN50" s="4657">
        <v>12</v>
      </c>
      <c r="BO50" s="4671" t="s">
        <v>3308</v>
      </c>
      <c r="BP50" s="4635"/>
      <c r="BQ50" s="2250"/>
      <c r="BR50" s="2250"/>
      <c r="BS50" s="2250"/>
      <c r="BT50" s="2250"/>
      <c r="BU50" s="2242"/>
    </row>
    <row r="51" spans="1:73" s="4642" customFormat="1" ht="102" customHeight="1" x14ac:dyDescent="0.25">
      <c r="A51" s="4652"/>
      <c r="B51" s="4653"/>
      <c r="C51" s="4652"/>
      <c r="D51" s="4653"/>
      <c r="E51" s="2"/>
      <c r="F51" s="2"/>
      <c r="G51" s="4625"/>
      <c r="H51" s="4656"/>
      <c r="I51" s="4625"/>
      <c r="J51" s="4654"/>
      <c r="K51" s="4625"/>
      <c r="L51" s="4656"/>
      <c r="M51" s="4625"/>
      <c r="N51" s="4654"/>
      <c r="O51" s="4627"/>
      <c r="P51" s="4627"/>
      <c r="Q51" s="4628"/>
      <c r="R51" s="4627"/>
      <c r="S51" s="4629"/>
      <c r="T51" s="4630"/>
      <c r="U51" s="4631"/>
      <c r="V51" s="4631"/>
      <c r="W51" s="4672" t="s">
        <v>3353</v>
      </c>
      <c r="X51" s="4633">
        <v>6178126.9800000004</v>
      </c>
      <c r="Y51" s="4669">
        <v>0</v>
      </c>
      <c r="Z51" s="4669">
        <v>0</v>
      </c>
      <c r="AA51" s="2225" t="s">
        <v>3354</v>
      </c>
      <c r="AB51" s="2225">
        <v>3</v>
      </c>
      <c r="AC51" s="2225" t="s">
        <v>3336</v>
      </c>
      <c r="AD51" s="4635"/>
      <c r="AE51" s="4636"/>
      <c r="AF51" s="4151"/>
      <c r="AG51" s="4636"/>
      <c r="AH51" s="2242"/>
      <c r="AI51" s="4636"/>
      <c r="AJ51" s="4151"/>
      <c r="AK51" s="4636"/>
      <c r="AL51" s="4151"/>
      <c r="AM51" s="4636"/>
      <c r="AN51" s="4151"/>
      <c r="AO51" s="4636"/>
      <c r="AP51" s="4151"/>
      <c r="AQ51" s="4636"/>
      <c r="AR51" s="4151"/>
      <c r="AS51" s="4636"/>
      <c r="AT51" s="4151"/>
      <c r="AU51" s="4636"/>
      <c r="AV51" s="4151"/>
      <c r="AW51" s="4636"/>
      <c r="AX51" s="4151"/>
      <c r="AY51" s="4636"/>
      <c r="AZ51" s="4151"/>
      <c r="BA51" s="4636"/>
      <c r="BB51" s="4151"/>
      <c r="BC51" s="4636"/>
      <c r="BD51" s="4151"/>
      <c r="BE51" s="4636"/>
      <c r="BF51" s="4151"/>
      <c r="BG51" s="4636"/>
      <c r="BH51" s="4151"/>
      <c r="BI51" s="4636"/>
      <c r="BJ51" s="4635"/>
      <c r="BK51" s="4635"/>
      <c r="BL51" s="4635"/>
      <c r="BM51" s="4638"/>
      <c r="BN51" s="2220"/>
      <c r="BO51" s="4673"/>
      <c r="BP51" s="4635"/>
      <c r="BQ51" s="4674"/>
      <c r="BR51" s="4674"/>
      <c r="BS51" s="4674"/>
      <c r="BT51" s="4674"/>
      <c r="BU51" s="4675"/>
    </row>
    <row r="52" spans="1:73" ht="15.75" x14ac:dyDescent="0.25">
      <c r="A52" s="4676" t="s">
        <v>319</v>
      </c>
      <c r="B52" s="4613" t="s">
        <v>319</v>
      </c>
      <c r="C52" s="4676"/>
      <c r="D52" s="4613"/>
      <c r="E52" s="1223">
        <v>4302</v>
      </c>
      <c r="F52" s="4677" t="s">
        <v>3355</v>
      </c>
      <c r="G52" s="4678"/>
      <c r="H52" s="4678"/>
      <c r="I52" s="4678"/>
      <c r="J52" s="4678"/>
      <c r="K52" s="4678"/>
      <c r="L52" s="4678"/>
      <c r="M52" s="4678"/>
      <c r="N52" s="4678"/>
      <c r="O52" s="4678"/>
      <c r="P52" s="4678"/>
      <c r="Q52" s="4678"/>
      <c r="R52" s="4678"/>
      <c r="S52" s="4679" t="s">
        <v>319</v>
      </c>
      <c r="T52" s="4680" t="s">
        <v>319</v>
      </c>
      <c r="U52" s="4681" t="s">
        <v>319</v>
      </c>
      <c r="V52" s="4681" t="s">
        <v>319</v>
      </c>
      <c r="W52" s="4681" t="s">
        <v>319</v>
      </c>
      <c r="X52" s="4682"/>
      <c r="Y52" s="4682"/>
      <c r="Z52" s="4682"/>
      <c r="AA52" s="865"/>
      <c r="AB52" s="4679" t="s">
        <v>319</v>
      </c>
      <c r="AC52" s="4679" t="s">
        <v>319</v>
      </c>
      <c r="AD52" s="4683" t="s">
        <v>319</v>
      </c>
      <c r="AE52" s="4683"/>
      <c r="AF52" s="4683" t="s">
        <v>319</v>
      </c>
      <c r="AG52" s="4683"/>
      <c r="AH52" s="4683" t="s">
        <v>319</v>
      </c>
      <c r="AI52" s="4683" t="s">
        <v>319</v>
      </c>
      <c r="AJ52" s="4683" t="s">
        <v>319</v>
      </c>
      <c r="AK52" s="4683" t="s">
        <v>319</v>
      </c>
      <c r="AL52" s="4683" t="s">
        <v>319</v>
      </c>
      <c r="AM52" s="4683" t="s">
        <v>319</v>
      </c>
      <c r="AN52" s="4683" t="s">
        <v>319</v>
      </c>
      <c r="AO52" s="4683" t="s">
        <v>319</v>
      </c>
      <c r="AP52" s="4683" t="s">
        <v>319</v>
      </c>
      <c r="AQ52" s="4683" t="s">
        <v>319</v>
      </c>
      <c r="AR52" s="4683" t="s">
        <v>319</v>
      </c>
      <c r="AS52" s="4683" t="s">
        <v>319</v>
      </c>
      <c r="AT52" s="4683" t="s">
        <v>319</v>
      </c>
      <c r="AU52" s="4683" t="s">
        <v>319</v>
      </c>
      <c r="AV52" s="4683" t="s">
        <v>319</v>
      </c>
      <c r="AW52" s="4683" t="s">
        <v>319</v>
      </c>
      <c r="AX52" s="4683" t="s">
        <v>319</v>
      </c>
      <c r="AY52" s="4683" t="s">
        <v>319</v>
      </c>
      <c r="AZ52" s="4683" t="s">
        <v>319</v>
      </c>
      <c r="BA52" s="4683" t="s">
        <v>319</v>
      </c>
      <c r="BB52" s="4683" t="s">
        <v>319</v>
      </c>
      <c r="BC52" s="4683" t="s">
        <v>319</v>
      </c>
      <c r="BD52" s="4683" t="s">
        <v>319</v>
      </c>
      <c r="BE52" s="4683" t="s">
        <v>319</v>
      </c>
      <c r="BF52" s="4683" t="s">
        <v>319</v>
      </c>
      <c r="BG52" s="4683" t="s">
        <v>319</v>
      </c>
      <c r="BH52" s="4683" t="s">
        <v>319</v>
      </c>
      <c r="BI52" s="4683" t="s">
        <v>319</v>
      </c>
      <c r="BJ52" s="4683" t="s">
        <v>319</v>
      </c>
      <c r="BK52" s="4683"/>
      <c r="BL52" s="4683"/>
      <c r="BM52" s="4683"/>
      <c r="BN52" s="4683"/>
      <c r="BO52" s="4683"/>
      <c r="BP52" s="4683"/>
      <c r="BQ52" s="4683" t="s">
        <v>319</v>
      </c>
      <c r="BR52" s="4683"/>
      <c r="BS52" s="4683" t="s">
        <v>319</v>
      </c>
      <c r="BT52" s="4683"/>
      <c r="BU52" s="4684" t="s">
        <v>319</v>
      </c>
    </row>
    <row r="53" spans="1:73" ht="36" customHeight="1" x14ac:dyDescent="0.25">
      <c r="A53" s="2213"/>
      <c r="B53" s="2209"/>
      <c r="C53" s="2213"/>
      <c r="D53" s="2209"/>
      <c r="E53" s="4180" t="s">
        <v>319</v>
      </c>
      <c r="F53" s="4180" t="s">
        <v>319</v>
      </c>
      <c r="G53" s="4685">
        <v>4302075</v>
      </c>
      <c r="H53" s="4686" t="s">
        <v>3356</v>
      </c>
      <c r="I53" s="4685">
        <v>4302075</v>
      </c>
      <c r="J53" s="4686" t="s">
        <v>3356</v>
      </c>
      <c r="K53" s="4685">
        <v>430207500</v>
      </c>
      <c r="L53" s="4686" t="s">
        <v>3357</v>
      </c>
      <c r="M53" s="4685">
        <v>430207500</v>
      </c>
      <c r="N53" s="4686" t="s">
        <v>3357</v>
      </c>
      <c r="O53" s="4685">
        <v>25</v>
      </c>
      <c r="P53" s="4685">
        <v>7</v>
      </c>
      <c r="Q53" s="4687">
        <v>2020003630010</v>
      </c>
      <c r="R53" s="4686" t="s">
        <v>3358</v>
      </c>
      <c r="S53" s="4688">
        <f>SUM(X53:X76)/T53</f>
        <v>1</v>
      </c>
      <c r="T53" s="4689">
        <f>SUM(X53:X76)</f>
        <v>7651306047.4099998</v>
      </c>
      <c r="U53" s="4686" t="s">
        <v>3359</v>
      </c>
      <c r="V53" s="4686" t="s">
        <v>3360</v>
      </c>
      <c r="W53" s="4690" t="s">
        <v>3361</v>
      </c>
      <c r="X53" s="4691">
        <v>250000000</v>
      </c>
      <c r="Y53" s="4692">
        <v>0</v>
      </c>
      <c r="Z53" s="4693">
        <v>0</v>
      </c>
      <c r="AA53" s="2222" t="s">
        <v>3362</v>
      </c>
      <c r="AB53" s="2222">
        <v>4</v>
      </c>
      <c r="AC53" s="2222" t="s">
        <v>3331</v>
      </c>
      <c r="AD53" s="4694">
        <v>230</v>
      </c>
      <c r="AE53" s="4694">
        <v>164</v>
      </c>
      <c r="AF53" s="2318">
        <v>270</v>
      </c>
      <c r="AG53" s="4694">
        <v>131</v>
      </c>
      <c r="AH53" s="2318">
        <v>110</v>
      </c>
      <c r="AI53" s="4694">
        <v>82</v>
      </c>
      <c r="AJ53" s="2318">
        <v>270</v>
      </c>
      <c r="AK53" s="4694">
        <v>181</v>
      </c>
      <c r="AL53" s="2318">
        <v>120</v>
      </c>
      <c r="AM53" s="4694">
        <v>32</v>
      </c>
      <c r="AN53" s="2318" t="s">
        <v>319</v>
      </c>
      <c r="AO53" s="4694"/>
      <c r="AP53" s="2318" t="s">
        <v>319</v>
      </c>
      <c r="AQ53" s="4694"/>
      <c r="AR53" s="2318" t="s">
        <v>319</v>
      </c>
      <c r="AS53" s="4694"/>
      <c r="AT53" s="2318" t="s">
        <v>319</v>
      </c>
      <c r="AU53" s="4694"/>
      <c r="AV53" s="2318" t="s">
        <v>319</v>
      </c>
      <c r="AW53" s="4694"/>
      <c r="AX53" s="2318" t="s">
        <v>319</v>
      </c>
      <c r="AY53" s="4694"/>
      <c r="AZ53" s="2318" t="s">
        <v>319</v>
      </c>
      <c r="BA53" s="4694"/>
      <c r="BB53" s="2318" t="s">
        <v>319</v>
      </c>
      <c r="BC53" s="4694"/>
      <c r="BD53" s="2318">
        <v>110</v>
      </c>
      <c r="BE53" s="4694"/>
      <c r="BF53" s="2318" t="s">
        <v>319</v>
      </c>
      <c r="BG53" s="4694"/>
      <c r="BH53" s="2318">
        <v>500</v>
      </c>
      <c r="BI53" s="4694">
        <f>+AE53+AG53</f>
        <v>295</v>
      </c>
      <c r="BJ53" s="4636">
        <v>15</v>
      </c>
      <c r="BK53" s="4695">
        <f>SUM(Y53:Y76)</f>
        <v>1338978773</v>
      </c>
      <c r="BL53" s="4695">
        <f>SUM(Z53:Z76)</f>
        <v>570369440</v>
      </c>
      <c r="BM53" s="4696">
        <f>BL53/BK53</f>
        <v>0.42597347433826721</v>
      </c>
      <c r="BN53" s="4697"/>
      <c r="BO53" s="4697"/>
      <c r="BP53" s="4694"/>
      <c r="BQ53" s="4698">
        <v>44200</v>
      </c>
      <c r="BR53" s="4698">
        <v>44228</v>
      </c>
      <c r="BS53" s="4698">
        <v>44560</v>
      </c>
      <c r="BT53" s="4698">
        <v>44469</v>
      </c>
      <c r="BU53" s="2623" t="s">
        <v>3363</v>
      </c>
    </row>
    <row r="54" spans="1:73" ht="36" customHeight="1" x14ac:dyDescent="0.25">
      <c r="A54" s="2213"/>
      <c r="B54" s="2209"/>
      <c r="C54" s="2213"/>
      <c r="D54" s="2209"/>
      <c r="E54" s="4180"/>
      <c r="F54" s="4180"/>
      <c r="G54" s="4699"/>
      <c r="H54" s="4700"/>
      <c r="I54" s="4699"/>
      <c r="J54" s="4700"/>
      <c r="K54" s="4699"/>
      <c r="L54" s="4700"/>
      <c r="M54" s="4699"/>
      <c r="N54" s="4700"/>
      <c r="O54" s="4699"/>
      <c r="P54" s="4699"/>
      <c r="Q54" s="4701"/>
      <c r="R54" s="4700"/>
      <c r="S54" s="4702"/>
      <c r="T54" s="4703"/>
      <c r="U54" s="4700"/>
      <c r="V54" s="4700"/>
      <c r="W54" s="4704"/>
      <c r="X54" s="4705">
        <v>1530323292</v>
      </c>
      <c r="Y54" s="4706"/>
      <c r="Z54" s="4706"/>
      <c r="AA54" s="2208" t="s">
        <v>3364</v>
      </c>
      <c r="AB54" s="2208">
        <v>28</v>
      </c>
      <c r="AC54" s="2208" t="s">
        <v>3302</v>
      </c>
      <c r="AD54" s="4694"/>
      <c r="AE54" s="4694"/>
      <c r="AF54" s="2318"/>
      <c r="AG54" s="4694"/>
      <c r="AH54" s="2318"/>
      <c r="AI54" s="4694"/>
      <c r="AJ54" s="2318"/>
      <c r="AK54" s="4694"/>
      <c r="AL54" s="2318"/>
      <c r="AM54" s="4694"/>
      <c r="AN54" s="2318"/>
      <c r="AO54" s="4694"/>
      <c r="AP54" s="2318"/>
      <c r="AQ54" s="4694"/>
      <c r="AR54" s="2318"/>
      <c r="AS54" s="4694"/>
      <c r="AT54" s="2318"/>
      <c r="AU54" s="4694"/>
      <c r="AV54" s="2318"/>
      <c r="AW54" s="4694"/>
      <c r="AX54" s="2318"/>
      <c r="AY54" s="4694"/>
      <c r="AZ54" s="2318"/>
      <c r="BA54" s="4694"/>
      <c r="BB54" s="2318"/>
      <c r="BC54" s="4694"/>
      <c r="BD54" s="2318"/>
      <c r="BE54" s="4694"/>
      <c r="BF54" s="2318"/>
      <c r="BG54" s="4694"/>
      <c r="BH54" s="2318"/>
      <c r="BI54" s="4694"/>
      <c r="BJ54" s="4636"/>
      <c r="BK54" s="4695"/>
      <c r="BL54" s="4695"/>
      <c r="BM54" s="4696"/>
      <c r="BN54" s="4657"/>
      <c r="BO54" s="4657"/>
      <c r="BP54" s="4694"/>
      <c r="BQ54" s="4698"/>
      <c r="BR54" s="4698"/>
      <c r="BS54" s="4698"/>
      <c r="BT54" s="4698"/>
      <c r="BU54" s="2623"/>
    </row>
    <row r="55" spans="1:73" ht="36" customHeight="1" x14ac:dyDescent="0.25">
      <c r="A55" s="2213"/>
      <c r="B55" s="2209"/>
      <c r="C55" s="2213"/>
      <c r="D55" s="2209"/>
      <c r="E55" s="4180"/>
      <c r="F55" s="4180"/>
      <c r="G55" s="4699"/>
      <c r="H55" s="4700"/>
      <c r="I55" s="4699"/>
      <c r="J55" s="4700"/>
      <c r="K55" s="4699"/>
      <c r="L55" s="4700"/>
      <c r="M55" s="4699"/>
      <c r="N55" s="4700"/>
      <c r="O55" s="4699"/>
      <c r="P55" s="4699"/>
      <c r="Q55" s="4701"/>
      <c r="R55" s="4700"/>
      <c r="S55" s="4702"/>
      <c r="T55" s="4703"/>
      <c r="U55" s="4700"/>
      <c r="V55" s="4700"/>
      <c r="W55" s="4690"/>
      <c r="X55" s="4707">
        <v>323078233.44</v>
      </c>
      <c r="Y55" s="4708">
        <v>220978000</v>
      </c>
      <c r="Z55" s="4708">
        <v>220978000</v>
      </c>
      <c r="AA55" s="2224" t="s">
        <v>3365</v>
      </c>
      <c r="AB55" s="2224">
        <v>22</v>
      </c>
      <c r="AC55" s="2224" t="s">
        <v>3366</v>
      </c>
      <c r="AD55" s="4694"/>
      <c r="AE55" s="4694"/>
      <c r="AF55" s="2318"/>
      <c r="AG55" s="4694"/>
      <c r="AH55" s="2318"/>
      <c r="AI55" s="4694"/>
      <c r="AJ55" s="2318"/>
      <c r="AK55" s="4694"/>
      <c r="AL55" s="2318"/>
      <c r="AM55" s="4694"/>
      <c r="AN55" s="2318"/>
      <c r="AO55" s="4694"/>
      <c r="AP55" s="2318"/>
      <c r="AQ55" s="4694"/>
      <c r="AR55" s="2318"/>
      <c r="AS55" s="4694"/>
      <c r="AT55" s="2318"/>
      <c r="AU55" s="4694"/>
      <c r="AV55" s="2318"/>
      <c r="AW55" s="4694"/>
      <c r="AX55" s="2318"/>
      <c r="AY55" s="4694"/>
      <c r="AZ55" s="2318"/>
      <c r="BA55" s="4694"/>
      <c r="BB55" s="2318"/>
      <c r="BC55" s="4694"/>
      <c r="BD55" s="2318"/>
      <c r="BE55" s="4694"/>
      <c r="BF55" s="2318"/>
      <c r="BG55" s="4694"/>
      <c r="BH55" s="2318"/>
      <c r="BI55" s="4694"/>
      <c r="BJ55" s="4636"/>
      <c r="BK55" s="4694"/>
      <c r="BL55" s="4694"/>
      <c r="BM55" s="4696"/>
      <c r="BN55" s="4657">
        <v>22</v>
      </c>
      <c r="BO55" s="4658" t="s">
        <v>3366</v>
      </c>
      <c r="BP55" s="4694"/>
      <c r="BQ55" s="4698"/>
      <c r="BR55" s="4698"/>
      <c r="BS55" s="4698"/>
      <c r="BT55" s="4698"/>
      <c r="BU55" s="2623"/>
    </row>
    <row r="56" spans="1:73" ht="36" customHeight="1" x14ac:dyDescent="0.25">
      <c r="A56" s="2213"/>
      <c r="B56" s="2209"/>
      <c r="C56" s="2213"/>
      <c r="D56" s="2209"/>
      <c r="E56" s="4180"/>
      <c r="F56" s="4180"/>
      <c r="G56" s="4699"/>
      <c r="H56" s="4700"/>
      <c r="I56" s="4699"/>
      <c r="J56" s="4700"/>
      <c r="K56" s="4699"/>
      <c r="L56" s="4700"/>
      <c r="M56" s="4699"/>
      <c r="N56" s="4700"/>
      <c r="O56" s="4699"/>
      <c r="P56" s="4699"/>
      <c r="Q56" s="4701"/>
      <c r="R56" s="4700"/>
      <c r="S56" s="4702"/>
      <c r="T56" s="4703"/>
      <c r="U56" s="4700"/>
      <c r="V56" s="4700"/>
      <c r="W56" s="4690"/>
      <c r="X56" s="4709">
        <v>100000000</v>
      </c>
      <c r="Y56" s="4710">
        <v>93551440</v>
      </c>
      <c r="Z56" s="4710">
        <v>93551440</v>
      </c>
      <c r="AA56" s="2221" t="s">
        <v>3367</v>
      </c>
      <c r="AB56" s="2221">
        <v>21</v>
      </c>
      <c r="AC56" s="2221" t="s">
        <v>3368</v>
      </c>
      <c r="AD56" s="4694"/>
      <c r="AE56" s="4694"/>
      <c r="AF56" s="2318"/>
      <c r="AG56" s="4694"/>
      <c r="AH56" s="2318"/>
      <c r="AI56" s="4694"/>
      <c r="AJ56" s="2318"/>
      <c r="AK56" s="4694"/>
      <c r="AL56" s="2318"/>
      <c r="AM56" s="4694"/>
      <c r="AN56" s="2318"/>
      <c r="AO56" s="4694"/>
      <c r="AP56" s="2318"/>
      <c r="AQ56" s="4694"/>
      <c r="AR56" s="2318"/>
      <c r="AS56" s="4694"/>
      <c r="AT56" s="2318"/>
      <c r="AU56" s="4694"/>
      <c r="AV56" s="2318"/>
      <c r="AW56" s="4694"/>
      <c r="AX56" s="2318"/>
      <c r="AY56" s="4694"/>
      <c r="AZ56" s="2318"/>
      <c r="BA56" s="4694"/>
      <c r="BB56" s="2318"/>
      <c r="BC56" s="4694"/>
      <c r="BD56" s="2318"/>
      <c r="BE56" s="4694"/>
      <c r="BF56" s="2318"/>
      <c r="BG56" s="4694"/>
      <c r="BH56" s="2318"/>
      <c r="BI56" s="4694"/>
      <c r="BJ56" s="4636"/>
      <c r="BK56" s="4694"/>
      <c r="BL56" s="4694"/>
      <c r="BM56" s="4696"/>
      <c r="BN56" s="4657">
        <v>21</v>
      </c>
      <c r="BO56" s="4658" t="s">
        <v>3334</v>
      </c>
      <c r="BP56" s="4694"/>
      <c r="BQ56" s="4698"/>
      <c r="BR56" s="4698"/>
      <c r="BS56" s="4698"/>
      <c r="BT56" s="4698"/>
      <c r="BU56" s="2623"/>
    </row>
    <row r="57" spans="1:73" ht="36" customHeight="1" x14ac:dyDescent="0.25">
      <c r="A57" s="2213"/>
      <c r="B57" s="2209"/>
      <c r="C57" s="2213"/>
      <c r="D57" s="2209"/>
      <c r="E57" s="4180"/>
      <c r="F57" s="4180"/>
      <c r="G57" s="4699"/>
      <c r="H57" s="4700"/>
      <c r="I57" s="4699"/>
      <c r="J57" s="4700"/>
      <c r="K57" s="4699"/>
      <c r="L57" s="4700"/>
      <c r="M57" s="4699"/>
      <c r="N57" s="4700"/>
      <c r="O57" s="4699"/>
      <c r="P57" s="4699"/>
      <c r="Q57" s="4701"/>
      <c r="R57" s="4700"/>
      <c r="S57" s="4702"/>
      <c r="T57" s="4703"/>
      <c r="U57" s="4700"/>
      <c r="V57" s="4700"/>
      <c r="W57" s="4690"/>
      <c r="X57" s="4709">
        <v>58390811</v>
      </c>
      <c r="Y57" s="4710">
        <v>0</v>
      </c>
      <c r="Z57" s="4710">
        <v>0</v>
      </c>
      <c r="AA57" s="2221" t="s">
        <v>3369</v>
      </c>
      <c r="AB57" s="2221">
        <v>3</v>
      </c>
      <c r="AC57" s="2221" t="s">
        <v>3336</v>
      </c>
      <c r="AD57" s="4694"/>
      <c r="AE57" s="4694"/>
      <c r="AF57" s="2318"/>
      <c r="AG57" s="4694"/>
      <c r="AH57" s="2318"/>
      <c r="AI57" s="4694"/>
      <c r="AJ57" s="2318"/>
      <c r="AK57" s="4694"/>
      <c r="AL57" s="2318"/>
      <c r="AM57" s="4694"/>
      <c r="AN57" s="2318"/>
      <c r="AO57" s="4694"/>
      <c r="AP57" s="2318"/>
      <c r="AQ57" s="4694"/>
      <c r="AR57" s="2318"/>
      <c r="AS57" s="4694"/>
      <c r="AT57" s="2318"/>
      <c r="AU57" s="4694"/>
      <c r="AV57" s="2318"/>
      <c r="AW57" s="4694"/>
      <c r="AX57" s="2318"/>
      <c r="AY57" s="4694"/>
      <c r="AZ57" s="2318"/>
      <c r="BA57" s="4694"/>
      <c r="BB57" s="2318"/>
      <c r="BC57" s="4694"/>
      <c r="BD57" s="2318"/>
      <c r="BE57" s="4694"/>
      <c r="BF57" s="2318"/>
      <c r="BG57" s="4694"/>
      <c r="BH57" s="2318"/>
      <c r="BI57" s="4694"/>
      <c r="BJ57" s="4636"/>
      <c r="BK57" s="4694"/>
      <c r="BL57" s="4694"/>
      <c r="BM57" s="4696"/>
      <c r="BN57" s="4657"/>
      <c r="BO57" s="4657"/>
      <c r="BP57" s="4694"/>
      <c r="BQ57" s="2623"/>
      <c r="BR57" s="2623"/>
      <c r="BS57" s="2623"/>
      <c r="BT57" s="2623"/>
      <c r="BU57" s="2623"/>
    </row>
    <row r="58" spans="1:73" ht="36" customHeight="1" x14ac:dyDescent="0.25">
      <c r="A58" s="2213"/>
      <c r="B58" s="2209"/>
      <c r="C58" s="2213"/>
      <c r="D58" s="2209"/>
      <c r="E58" s="4180"/>
      <c r="F58" s="4180"/>
      <c r="G58" s="4699"/>
      <c r="H58" s="4700"/>
      <c r="I58" s="4699"/>
      <c r="J58" s="4700"/>
      <c r="K58" s="4699"/>
      <c r="L58" s="4700"/>
      <c r="M58" s="4699"/>
      <c r="N58" s="4700"/>
      <c r="O58" s="4699"/>
      <c r="P58" s="4699"/>
      <c r="Q58" s="4701"/>
      <c r="R58" s="4700"/>
      <c r="S58" s="4702"/>
      <c r="T58" s="4703"/>
      <c r="U58" s="4700"/>
      <c r="V58" s="4700"/>
      <c r="W58" s="4686" t="s">
        <v>3370</v>
      </c>
      <c r="X58" s="4691">
        <v>1084247733.1800001</v>
      </c>
      <c r="Y58" s="4692">
        <v>889709333</v>
      </c>
      <c r="Z58" s="4692">
        <v>179800000</v>
      </c>
      <c r="AA58" s="2222" t="s">
        <v>3371</v>
      </c>
      <c r="AB58" s="2222">
        <v>24</v>
      </c>
      <c r="AC58" s="2222" t="s">
        <v>3320</v>
      </c>
      <c r="AD58" s="4694"/>
      <c r="AE58" s="4694"/>
      <c r="AF58" s="2318"/>
      <c r="AG58" s="4694"/>
      <c r="AH58" s="2318"/>
      <c r="AI58" s="4694"/>
      <c r="AJ58" s="2318"/>
      <c r="AK58" s="4694"/>
      <c r="AL58" s="2318"/>
      <c r="AM58" s="4694"/>
      <c r="AN58" s="2318"/>
      <c r="AO58" s="4694"/>
      <c r="AP58" s="2318"/>
      <c r="AQ58" s="4694"/>
      <c r="AR58" s="2318"/>
      <c r="AS58" s="4694"/>
      <c r="AT58" s="2318"/>
      <c r="AU58" s="4694"/>
      <c r="AV58" s="2318"/>
      <c r="AW58" s="4694"/>
      <c r="AX58" s="2318"/>
      <c r="AY58" s="4694"/>
      <c r="AZ58" s="2318"/>
      <c r="BA58" s="4694"/>
      <c r="BB58" s="2318"/>
      <c r="BC58" s="4694"/>
      <c r="BD58" s="2318"/>
      <c r="BE58" s="4694"/>
      <c r="BF58" s="2318"/>
      <c r="BG58" s="4694"/>
      <c r="BH58" s="2318"/>
      <c r="BI58" s="4694"/>
      <c r="BJ58" s="4636"/>
      <c r="BK58" s="4694"/>
      <c r="BL58" s="4694"/>
      <c r="BM58" s="4696"/>
      <c r="BN58" s="4657">
        <v>6</v>
      </c>
      <c r="BO58" s="4658" t="s">
        <v>3320</v>
      </c>
      <c r="BP58" s="4694"/>
      <c r="BQ58" s="2623"/>
      <c r="BR58" s="2623"/>
      <c r="BS58" s="2623"/>
      <c r="BT58" s="2623"/>
      <c r="BU58" s="2623"/>
    </row>
    <row r="59" spans="1:73" ht="36" customHeight="1" x14ac:dyDescent="0.25">
      <c r="A59" s="2213"/>
      <c r="B59" s="2209"/>
      <c r="C59" s="2213"/>
      <c r="D59" s="2209"/>
      <c r="E59" s="4180"/>
      <c r="F59" s="4180"/>
      <c r="G59" s="4699"/>
      <c r="H59" s="4700"/>
      <c r="I59" s="4699"/>
      <c r="J59" s="4700"/>
      <c r="K59" s="4699"/>
      <c r="L59" s="4700"/>
      <c r="M59" s="4699"/>
      <c r="N59" s="4700"/>
      <c r="O59" s="4699"/>
      <c r="P59" s="4699"/>
      <c r="Q59" s="4701"/>
      <c r="R59" s="4700"/>
      <c r="S59" s="4702"/>
      <c r="T59" s="4703"/>
      <c r="U59" s="4700"/>
      <c r="V59" s="4700"/>
      <c r="W59" s="4711"/>
      <c r="X59" s="4705">
        <v>226064658</v>
      </c>
      <c r="Y59" s="4706"/>
      <c r="Z59" s="4706"/>
      <c r="AA59" s="2208" t="s">
        <v>3364</v>
      </c>
      <c r="AB59" s="2208">
        <v>28</v>
      </c>
      <c r="AC59" s="2208" t="s">
        <v>3302</v>
      </c>
      <c r="AD59" s="4694"/>
      <c r="AE59" s="4694"/>
      <c r="AF59" s="2318"/>
      <c r="AG59" s="4694"/>
      <c r="AH59" s="2318"/>
      <c r="AI59" s="4694"/>
      <c r="AJ59" s="2318"/>
      <c r="AK59" s="4694"/>
      <c r="AL59" s="2318"/>
      <c r="AM59" s="4694"/>
      <c r="AN59" s="2318"/>
      <c r="AO59" s="4694"/>
      <c r="AP59" s="2318"/>
      <c r="AQ59" s="4694"/>
      <c r="AR59" s="2318"/>
      <c r="AS59" s="4694"/>
      <c r="AT59" s="2318"/>
      <c r="AU59" s="4694"/>
      <c r="AV59" s="2318"/>
      <c r="AW59" s="4694"/>
      <c r="AX59" s="2318"/>
      <c r="AY59" s="4694"/>
      <c r="AZ59" s="2318"/>
      <c r="BA59" s="4694"/>
      <c r="BB59" s="2318"/>
      <c r="BC59" s="4694"/>
      <c r="BD59" s="2318"/>
      <c r="BE59" s="4694"/>
      <c r="BF59" s="2318"/>
      <c r="BG59" s="4694"/>
      <c r="BH59" s="2318"/>
      <c r="BI59" s="4694"/>
      <c r="BJ59" s="4636"/>
      <c r="BK59" s="4694"/>
      <c r="BL59" s="4694"/>
      <c r="BM59" s="4696"/>
      <c r="BN59" s="4657"/>
      <c r="BO59" s="4658"/>
      <c r="BP59" s="4694"/>
      <c r="BQ59" s="2623"/>
      <c r="BR59" s="2623"/>
      <c r="BS59" s="2623"/>
      <c r="BT59" s="2623"/>
      <c r="BU59" s="2623"/>
    </row>
    <row r="60" spans="1:73" ht="36" customHeight="1" x14ac:dyDescent="0.25">
      <c r="A60" s="2213"/>
      <c r="B60" s="2209"/>
      <c r="C60" s="2213"/>
      <c r="D60" s="2209"/>
      <c r="E60" s="4180"/>
      <c r="F60" s="4180"/>
      <c r="G60" s="4699"/>
      <c r="H60" s="4700"/>
      <c r="I60" s="4699"/>
      <c r="J60" s="4700"/>
      <c r="K60" s="4699"/>
      <c r="L60" s="4700"/>
      <c r="M60" s="4699"/>
      <c r="N60" s="4700"/>
      <c r="O60" s="4699"/>
      <c r="P60" s="4699"/>
      <c r="Q60" s="4701"/>
      <c r="R60" s="4700"/>
      <c r="S60" s="4702"/>
      <c r="T60" s="4703"/>
      <c r="U60" s="4700"/>
      <c r="V60" s="4700"/>
      <c r="W60" s="4700"/>
      <c r="X60" s="4707">
        <v>487625353.79000002</v>
      </c>
      <c r="Y60" s="4712">
        <v>0</v>
      </c>
      <c r="Z60" s="4712">
        <v>0</v>
      </c>
      <c r="AA60" s="2224" t="s">
        <v>3372</v>
      </c>
      <c r="AB60" s="2224">
        <v>26</v>
      </c>
      <c r="AC60" s="2224" t="s">
        <v>3373</v>
      </c>
      <c r="AD60" s="4694"/>
      <c r="AE60" s="4694"/>
      <c r="AF60" s="2318"/>
      <c r="AG60" s="4694"/>
      <c r="AH60" s="2318"/>
      <c r="AI60" s="4694"/>
      <c r="AJ60" s="2318"/>
      <c r="AK60" s="4694"/>
      <c r="AL60" s="2318"/>
      <c r="AM60" s="4694"/>
      <c r="AN60" s="2318"/>
      <c r="AO60" s="4694"/>
      <c r="AP60" s="2318"/>
      <c r="AQ60" s="4694"/>
      <c r="AR60" s="2318"/>
      <c r="AS60" s="4694"/>
      <c r="AT60" s="2318"/>
      <c r="AU60" s="4694"/>
      <c r="AV60" s="2318"/>
      <c r="AW60" s="4694"/>
      <c r="AX60" s="2318"/>
      <c r="AY60" s="4694"/>
      <c r="AZ60" s="2318"/>
      <c r="BA60" s="4694"/>
      <c r="BB60" s="2318"/>
      <c r="BC60" s="4694"/>
      <c r="BD60" s="2318"/>
      <c r="BE60" s="4694"/>
      <c r="BF60" s="2318"/>
      <c r="BG60" s="4694"/>
      <c r="BH60" s="2318"/>
      <c r="BI60" s="4694"/>
      <c r="BJ60" s="4636"/>
      <c r="BK60" s="4694"/>
      <c r="BL60" s="4694"/>
      <c r="BM60" s="4696"/>
      <c r="BN60" s="4657"/>
      <c r="BO60" s="4658"/>
      <c r="BP60" s="4694"/>
      <c r="BQ60" s="2623"/>
      <c r="BR60" s="2623"/>
      <c r="BS60" s="2623"/>
      <c r="BT60" s="2623"/>
      <c r="BU60" s="2623"/>
    </row>
    <row r="61" spans="1:73" ht="36" customHeight="1" x14ac:dyDescent="0.25">
      <c r="A61" s="2213"/>
      <c r="B61" s="2209"/>
      <c r="C61" s="2213"/>
      <c r="D61" s="2209"/>
      <c r="E61" s="4180"/>
      <c r="F61" s="4180"/>
      <c r="G61" s="4699"/>
      <c r="H61" s="4700"/>
      <c r="I61" s="4699"/>
      <c r="J61" s="4700"/>
      <c r="K61" s="4699"/>
      <c r="L61" s="4700"/>
      <c r="M61" s="4699"/>
      <c r="N61" s="4700"/>
      <c r="O61" s="4699"/>
      <c r="P61" s="4699"/>
      <c r="Q61" s="4701"/>
      <c r="R61" s="4700"/>
      <c r="S61" s="4702"/>
      <c r="T61" s="4703"/>
      <c r="U61" s="4700"/>
      <c r="V61" s="4700"/>
      <c r="W61" s="4700"/>
      <c r="X61" s="4709">
        <v>285000000</v>
      </c>
      <c r="Y61" s="4710">
        <v>64440000</v>
      </c>
      <c r="Z61" s="4710">
        <v>59440000</v>
      </c>
      <c r="AA61" s="2221" t="s">
        <v>3362</v>
      </c>
      <c r="AB61" s="2221">
        <v>4</v>
      </c>
      <c r="AC61" s="2221" t="s">
        <v>3331</v>
      </c>
      <c r="AD61" s="4694"/>
      <c r="AE61" s="4694"/>
      <c r="AF61" s="2318"/>
      <c r="AG61" s="4694"/>
      <c r="AH61" s="2318"/>
      <c r="AI61" s="4694"/>
      <c r="AJ61" s="2318"/>
      <c r="AK61" s="4694"/>
      <c r="AL61" s="2318"/>
      <c r="AM61" s="4694"/>
      <c r="AN61" s="2318"/>
      <c r="AO61" s="4694"/>
      <c r="AP61" s="2318"/>
      <c r="AQ61" s="4694"/>
      <c r="AR61" s="2318"/>
      <c r="AS61" s="4694"/>
      <c r="AT61" s="2318"/>
      <c r="AU61" s="4694"/>
      <c r="AV61" s="2318"/>
      <c r="AW61" s="4694"/>
      <c r="AX61" s="2318"/>
      <c r="AY61" s="4694"/>
      <c r="AZ61" s="2318"/>
      <c r="BA61" s="4694"/>
      <c r="BB61" s="2318"/>
      <c r="BC61" s="4694"/>
      <c r="BD61" s="2318"/>
      <c r="BE61" s="4694"/>
      <c r="BF61" s="2318"/>
      <c r="BG61" s="4694"/>
      <c r="BH61" s="2318"/>
      <c r="BI61" s="4694"/>
      <c r="BJ61" s="4636"/>
      <c r="BK61" s="4694"/>
      <c r="BL61" s="4694"/>
      <c r="BM61" s="4696"/>
      <c r="BN61" s="4657">
        <v>4</v>
      </c>
      <c r="BO61" s="4657" t="s">
        <v>3331</v>
      </c>
      <c r="BP61" s="4694"/>
      <c r="BQ61" s="2623"/>
      <c r="BR61" s="2623"/>
      <c r="BS61" s="2623"/>
      <c r="BT61" s="2623"/>
      <c r="BU61" s="2623"/>
    </row>
    <row r="62" spans="1:73" ht="36" customHeight="1" x14ac:dyDescent="0.25">
      <c r="A62" s="2213"/>
      <c r="B62" s="2209"/>
      <c r="C62" s="2213"/>
      <c r="D62" s="2209"/>
      <c r="E62" s="4180"/>
      <c r="F62" s="4180"/>
      <c r="G62" s="4699"/>
      <c r="H62" s="4700"/>
      <c r="I62" s="4699"/>
      <c r="J62" s="4700"/>
      <c r="K62" s="4699"/>
      <c r="L62" s="4700"/>
      <c r="M62" s="4699"/>
      <c r="N62" s="4700"/>
      <c r="O62" s="4699"/>
      <c r="P62" s="4699"/>
      <c r="Q62" s="4701"/>
      <c r="R62" s="4700"/>
      <c r="S62" s="4702"/>
      <c r="T62" s="4703"/>
      <c r="U62" s="4700"/>
      <c r="V62" s="4700"/>
      <c r="W62" s="4713"/>
      <c r="X62" s="4709">
        <v>69000000</v>
      </c>
      <c r="Y62" s="4710">
        <v>16600000</v>
      </c>
      <c r="Z62" s="4710">
        <v>16600000</v>
      </c>
      <c r="AA62" s="2221" t="s">
        <v>3374</v>
      </c>
      <c r="AB62" s="2221">
        <v>12</v>
      </c>
      <c r="AC62" s="2221" t="s">
        <v>3308</v>
      </c>
      <c r="AD62" s="4694"/>
      <c r="AE62" s="4694"/>
      <c r="AF62" s="2318"/>
      <c r="AG62" s="4694"/>
      <c r="AH62" s="2318"/>
      <c r="AI62" s="4694"/>
      <c r="AJ62" s="2318"/>
      <c r="AK62" s="4694"/>
      <c r="AL62" s="2318"/>
      <c r="AM62" s="4694"/>
      <c r="AN62" s="2318"/>
      <c r="AO62" s="4694"/>
      <c r="AP62" s="2318"/>
      <c r="AQ62" s="4694"/>
      <c r="AR62" s="2318"/>
      <c r="AS62" s="4694"/>
      <c r="AT62" s="2318"/>
      <c r="AU62" s="4694"/>
      <c r="AV62" s="2318"/>
      <c r="AW62" s="4694"/>
      <c r="AX62" s="2318"/>
      <c r="AY62" s="4694"/>
      <c r="AZ62" s="2318"/>
      <c r="BA62" s="4694"/>
      <c r="BB62" s="2318"/>
      <c r="BC62" s="4694"/>
      <c r="BD62" s="2318"/>
      <c r="BE62" s="4694"/>
      <c r="BF62" s="2318"/>
      <c r="BG62" s="4694"/>
      <c r="BH62" s="2318"/>
      <c r="BI62" s="4694"/>
      <c r="BJ62" s="4636"/>
      <c r="BK62" s="4694"/>
      <c r="BL62" s="4694"/>
      <c r="BM62" s="4696"/>
      <c r="BN62" s="4657">
        <v>12</v>
      </c>
      <c r="BO62" s="4657" t="s">
        <v>3308</v>
      </c>
      <c r="BP62" s="4694"/>
      <c r="BQ62" s="2623"/>
      <c r="BR62" s="2623"/>
      <c r="BS62" s="2623"/>
      <c r="BT62" s="2623"/>
      <c r="BU62" s="2623"/>
    </row>
    <row r="63" spans="1:73" ht="36" customHeight="1" x14ac:dyDescent="0.25">
      <c r="A63" s="2213"/>
      <c r="B63" s="2209"/>
      <c r="C63" s="2213"/>
      <c r="D63" s="2209"/>
      <c r="E63" s="4180"/>
      <c r="F63" s="4180"/>
      <c r="G63" s="4699"/>
      <c r="H63" s="4700"/>
      <c r="I63" s="4699"/>
      <c r="J63" s="4700"/>
      <c r="K63" s="4699"/>
      <c r="L63" s="4700"/>
      <c r="M63" s="4699"/>
      <c r="N63" s="4700"/>
      <c r="O63" s="4699"/>
      <c r="P63" s="4699"/>
      <c r="Q63" s="4701"/>
      <c r="R63" s="4700"/>
      <c r="S63" s="4702"/>
      <c r="T63" s="4703"/>
      <c r="U63" s="4700"/>
      <c r="V63" s="4700"/>
      <c r="W63" s="4690" t="s">
        <v>3375</v>
      </c>
      <c r="X63" s="4691">
        <v>149120550</v>
      </c>
      <c r="Y63" s="4714">
        <v>0</v>
      </c>
      <c r="Z63" s="4714">
        <v>0</v>
      </c>
      <c r="AA63" s="2222" t="s">
        <v>3376</v>
      </c>
      <c r="AB63" s="2222">
        <v>4</v>
      </c>
      <c r="AC63" s="2222" t="s">
        <v>3331</v>
      </c>
      <c r="AD63" s="4694"/>
      <c r="AE63" s="4694"/>
      <c r="AF63" s="2318"/>
      <c r="AG63" s="4694"/>
      <c r="AH63" s="2318"/>
      <c r="AI63" s="4694"/>
      <c r="AJ63" s="2318"/>
      <c r="AK63" s="4694"/>
      <c r="AL63" s="2318"/>
      <c r="AM63" s="4694"/>
      <c r="AN63" s="2318"/>
      <c r="AO63" s="4694"/>
      <c r="AP63" s="2318"/>
      <c r="AQ63" s="4694"/>
      <c r="AR63" s="2318"/>
      <c r="AS63" s="4694"/>
      <c r="AT63" s="2318"/>
      <c r="AU63" s="4694"/>
      <c r="AV63" s="2318"/>
      <c r="AW63" s="4694"/>
      <c r="AX63" s="2318"/>
      <c r="AY63" s="4694"/>
      <c r="AZ63" s="2318"/>
      <c r="BA63" s="4694"/>
      <c r="BB63" s="2318"/>
      <c r="BC63" s="4694"/>
      <c r="BD63" s="2318"/>
      <c r="BE63" s="4694"/>
      <c r="BF63" s="2318"/>
      <c r="BG63" s="4694"/>
      <c r="BH63" s="2318"/>
      <c r="BI63" s="4694"/>
      <c r="BJ63" s="4636"/>
      <c r="BK63" s="4694"/>
      <c r="BL63" s="4694"/>
      <c r="BM63" s="4696"/>
      <c r="BN63" s="4657"/>
      <c r="BO63" s="4657"/>
      <c r="BP63" s="4694"/>
      <c r="BQ63" s="2623"/>
      <c r="BR63" s="2623"/>
      <c r="BS63" s="2623"/>
      <c r="BT63" s="2623"/>
      <c r="BU63" s="2623"/>
    </row>
    <row r="64" spans="1:73" ht="36" customHeight="1" x14ac:dyDescent="0.25">
      <c r="A64" s="2213"/>
      <c r="B64" s="2209"/>
      <c r="C64" s="2213"/>
      <c r="D64" s="2209"/>
      <c r="E64" s="4180"/>
      <c r="F64" s="4180"/>
      <c r="G64" s="4699"/>
      <c r="H64" s="4700"/>
      <c r="I64" s="4699"/>
      <c r="J64" s="4700"/>
      <c r="K64" s="4699"/>
      <c r="L64" s="4700"/>
      <c r="M64" s="4699"/>
      <c r="N64" s="4700"/>
      <c r="O64" s="4699"/>
      <c r="P64" s="4699"/>
      <c r="Q64" s="4701"/>
      <c r="R64" s="4700"/>
      <c r="S64" s="4702"/>
      <c r="T64" s="4703"/>
      <c r="U64" s="4700"/>
      <c r="V64" s="4700"/>
      <c r="W64" s="4704"/>
      <c r="X64" s="4705">
        <v>1044258634</v>
      </c>
      <c r="Y64" s="4715"/>
      <c r="Z64" s="4715"/>
      <c r="AA64" s="2208" t="s">
        <v>3377</v>
      </c>
      <c r="AB64" s="2208">
        <v>28</v>
      </c>
      <c r="AC64" s="2208" t="s">
        <v>3302</v>
      </c>
      <c r="AD64" s="4694"/>
      <c r="AE64" s="4694"/>
      <c r="AF64" s="2318"/>
      <c r="AG64" s="4694"/>
      <c r="AH64" s="2318"/>
      <c r="AI64" s="4694"/>
      <c r="AJ64" s="2318"/>
      <c r="AK64" s="4694"/>
      <c r="AL64" s="2318"/>
      <c r="AM64" s="4694"/>
      <c r="AN64" s="2318"/>
      <c r="AO64" s="4694"/>
      <c r="AP64" s="2318"/>
      <c r="AQ64" s="4694"/>
      <c r="AR64" s="2318"/>
      <c r="AS64" s="4694"/>
      <c r="AT64" s="2318"/>
      <c r="AU64" s="4694"/>
      <c r="AV64" s="2318"/>
      <c r="AW64" s="4694"/>
      <c r="AX64" s="2318"/>
      <c r="AY64" s="4694"/>
      <c r="AZ64" s="2318"/>
      <c r="BA64" s="4694"/>
      <c r="BB64" s="2318"/>
      <c r="BC64" s="4694"/>
      <c r="BD64" s="2318"/>
      <c r="BE64" s="4694"/>
      <c r="BF64" s="2318"/>
      <c r="BG64" s="4694"/>
      <c r="BH64" s="2318"/>
      <c r="BI64" s="4694"/>
      <c r="BJ64" s="4636"/>
      <c r="BK64" s="4694"/>
      <c r="BL64" s="4694"/>
      <c r="BM64" s="4696"/>
      <c r="BN64" s="4657"/>
      <c r="BO64" s="4657"/>
      <c r="BP64" s="4694"/>
      <c r="BQ64" s="2623"/>
      <c r="BR64" s="2623"/>
      <c r="BS64" s="2623"/>
      <c r="BT64" s="2623"/>
      <c r="BU64" s="2623"/>
    </row>
    <row r="65" spans="1:73" ht="36" customHeight="1" x14ac:dyDescent="0.25">
      <c r="A65" s="2213"/>
      <c r="B65" s="2209"/>
      <c r="C65" s="2213"/>
      <c r="D65" s="2209"/>
      <c r="E65" s="4180"/>
      <c r="F65" s="4180"/>
      <c r="G65" s="4699"/>
      <c r="H65" s="4700"/>
      <c r="I65" s="4699"/>
      <c r="J65" s="4700"/>
      <c r="K65" s="4699"/>
      <c r="L65" s="4700"/>
      <c r="M65" s="4699"/>
      <c r="N65" s="4700"/>
      <c r="O65" s="4699"/>
      <c r="P65" s="4699"/>
      <c r="Q65" s="4701"/>
      <c r="R65" s="4700"/>
      <c r="S65" s="4702"/>
      <c r="T65" s="4703"/>
      <c r="U65" s="4700"/>
      <c r="V65" s="4700"/>
      <c r="W65" s="4704"/>
      <c r="X65" s="4705">
        <v>550000000</v>
      </c>
      <c r="Y65" s="4715"/>
      <c r="Z65" s="4715"/>
      <c r="AA65" s="2208" t="s">
        <v>3378</v>
      </c>
      <c r="AB65" s="2208">
        <v>28</v>
      </c>
      <c r="AC65" s="2208" t="s">
        <v>3302</v>
      </c>
      <c r="AD65" s="4694"/>
      <c r="AE65" s="4694"/>
      <c r="AF65" s="2318"/>
      <c r="AG65" s="4694"/>
      <c r="AH65" s="2318"/>
      <c r="AI65" s="4694"/>
      <c r="AJ65" s="2318"/>
      <c r="AK65" s="4694"/>
      <c r="AL65" s="2318"/>
      <c r="AM65" s="4694"/>
      <c r="AN65" s="2318"/>
      <c r="AO65" s="4694"/>
      <c r="AP65" s="2318"/>
      <c r="AQ65" s="4694"/>
      <c r="AR65" s="2318"/>
      <c r="AS65" s="4694"/>
      <c r="AT65" s="2318"/>
      <c r="AU65" s="4694"/>
      <c r="AV65" s="2318"/>
      <c r="AW65" s="4694"/>
      <c r="AX65" s="2318"/>
      <c r="AY65" s="4694"/>
      <c r="AZ65" s="2318"/>
      <c r="BA65" s="4694"/>
      <c r="BB65" s="2318"/>
      <c r="BC65" s="4694"/>
      <c r="BD65" s="2318"/>
      <c r="BE65" s="4694"/>
      <c r="BF65" s="2318"/>
      <c r="BG65" s="4694"/>
      <c r="BH65" s="2318"/>
      <c r="BI65" s="4694"/>
      <c r="BJ65" s="4636"/>
      <c r="BK65" s="4694"/>
      <c r="BL65" s="4694"/>
      <c r="BM65" s="4696"/>
      <c r="BN65" s="4657"/>
      <c r="BO65" s="4657"/>
      <c r="BP65" s="4694"/>
      <c r="BQ65" s="2623"/>
      <c r="BR65" s="2623"/>
      <c r="BS65" s="2623"/>
      <c r="BT65" s="2623"/>
      <c r="BU65" s="2623"/>
    </row>
    <row r="66" spans="1:73" ht="36" customHeight="1" x14ac:dyDescent="0.25">
      <c r="A66" s="2213"/>
      <c r="B66" s="2209"/>
      <c r="C66" s="2213"/>
      <c r="D66" s="2209"/>
      <c r="E66" s="4180"/>
      <c r="F66" s="4180"/>
      <c r="G66" s="4699"/>
      <c r="H66" s="4700"/>
      <c r="I66" s="4699"/>
      <c r="J66" s="4700"/>
      <c r="K66" s="4699"/>
      <c r="L66" s="4700"/>
      <c r="M66" s="4699"/>
      <c r="N66" s="4700"/>
      <c r="O66" s="4699"/>
      <c r="P66" s="4699"/>
      <c r="Q66" s="4701"/>
      <c r="R66" s="4700"/>
      <c r="S66" s="4702"/>
      <c r="T66" s="4703"/>
      <c r="U66" s="4700"/>
      <c r="V66" s="4700"/>
      <c r="W66" s="4690"/>
      <c r="X66" s="4708">
        <v>70000000</v>
      </c>
      <c r="Y66" s="4716">
        <v>0</v>
      </c>
      <c r="Z66" s="4716">
        <v>0</v>
      </c>
      <c r="AA66" s="2206" t="s">
        <v>3379</v>
      </c>
      <c r="AB66" s="2206">
        <v>23</v>
      </c>
      <c r="AC66" s="2206" t="s">
        <v>3380</v>
      </c>
      <c r="AD66" s="4694"/>
      <c r="AE66" s="4694"/>
      <c r="AF66" s="2318"/>
      <c r="AG66" s="4694"/>
      <c r="AH66" s="2318"/>
      <c r="AI66" s="4694"/>
      <c r="AJ66" s="2318"/>
      <c r="AK66" s="4694"/>
      <c r="AL66" s="2318"/>
      <c r="AM66" s="4694"/>
      <c r="AN66" s="2318"/>
      <c r="AO66" s="4694"/>
      <c r="AP66" s="2318"/>
      <c r="AQ66" s="4694"/>
      <c r="AR66" s="2318"/>
      <c r="AS66" s="4694"/>
      <c r="AT66" s="2318"/>
      <c r="AU66" s="4694"/>
      <c r="AV66" s="2318"/>
      <c r="AW66" s="4694"/>
      <c r="AX66" s="2318"/>
      <c r="AY66" s="4694"/>
      <c r="AZ66" s="2318"/>
      <c r="BA66" s="4694"/>
      <c r="BB66" s="2318"/>
      <c r="BC66" s="4694"/>
      <c r="BD66" s="2318"/>
      <c r="BE66" s="4694"/>
      <c r="BF66" s="2318"/>
      <c r="BG66" s="4694"/>
      <c r="BH66" s="2318"/>
      <c r="BI66" s="4694"/>
      <c r="BJ66" s="4636"/>
      <c r="BK66" s="4694"/>
      <c r="BL66" s="4694"/>
      <c r="BM66" s="4696"/>
      <c r="BN66" s="4657"/>
      <c r="BO66" s="4657"/>
      <c r="BP66" s="4694"/>
      <c r="BQ66" s="2623"/>
      <c r="BR66" s="2623"/>
      <c r="BS66" s="2623"/>
      <c r="BT66" s="2623"/>
      <c r="BU66" s="2623"/>
    </row>
    <row r="67" spans="1:73" ht="36" customHeight="1" x14ac:dyDescent="0.25">
      <c r="A67" s="2213"/>
      <c r="B67" s="2209"/>
      <c r="C67" s="2213"/>
      <c r="D67" s="2209"/>
      <c r="E67" s="4180"/>
      <c r="F67" s="4180"/>
      <c r="G67" s="4699"/>
      <c r="H67" s="4700"/>
      <c r="I67" s="4699"/>
      <c r="J67" s="4700"/>
      <c r="K67" s="4699"/>
      <c r="L67" s="4700"/>
      <c r="M67" s="4699"/>
      <c r="N67" s="4700"/>
      <c r="O67" s="4699"/>
      <c r="P67" s="4699"/>
      <c r="Q67" s="4701"/>
      <c r="R67" s="4700"/>
      <c r="S67" s="4702"/>
      <c r="T67" s="4703"/>
      <c r="U67" s="4700"/>
      <c r="V67" s="4700"/>
      <c r="W67" s="4690"/>
      <c r="X67" s="4709">
        <v>50000000</v>
      </c>
      <c r="Y67" s="4714">
        <v>0</v>
      </c>
      <c r="Z67" s="4714">
        <v>0</v>
      </c>
      <c r="AA67" s="2221" t="s">
        <v>3381</v>
      </c>
      <c r="AB67" s="2221">
        <v>12</v>
      </c>
      <c r="AC67" s="2221" t="s">
        <v>3308</v>
      </c>
      <c r="AD67" s="4694"/>
      <c r="AE67" s="4694"/>
      <c r="AF67" s="2318"/>
      <c r="AG67" s="4694"/>
      <c r="AH67" s="2318"/>
      <c r="AI67" s="4694"/>
      <c r="AJ67" s="2318"/>
      <c r="AK67" s="4694"/>
      <c r="AL67" s="2318"/>
      <c r="AM67" s="4694"/>
      <c r="AN67" s="2318"/>
      <c r="AO67" s="4694"/>
      <c r="AP67" s="2318"/>
      <c r="AQ67" s="4694"/>
      <c r="AR67" s="2318"/>
      <c r="AS67" s="4694"/>
      <c r="AT67" s="2318"/>
      <c r="AU67" s="4694"/>
      <c r="AV67" s="2318"/>
      <c r="AW67" s="4694"/>
      <c r="AX67" s="2318"/>
      <c r="AY67" s="4694"/>
      <c r="AZ67" s="2318"/>
      <c r="BA67" s="4694"/>
      <c r="BB67" s="2318"/>
      <c r="BC67" s="4694"/>
      <c r="BD67" s="2318"/>
      <c r="BE67" s="4694"/>
      <c r="BF67" s="2318"/>
      <c r="BG67" s="4694"/>
      <c r="BH67" s="2318"/>
      <c r="BI67" s="4694"/>
      <c r="BJ67" s="4636"/>
      <c r="BK67" s="4694"/>
      <c r="BL67" s="4694"/>
      <c r="BM67" s="4696"/>
      <c r="BN67" s="4657"/>
      <c r="BO67" s="4657"/>
      <c r="BP67" s="4694"/>
      <c r="BQ67" s="2623"/>
      <c r="BR67" s="2623"/>
      <c r="BS67" s="2623"/>
      <c r="BT67" s="2623"/>
      <c r="BU67" s="2623"/>
    </row>
    <row r="68" spans="1:73" ht="36" customHeight="1" x14ac:dyDescent="0.25">
      <c r="A68" s="2213"/>
      <c r="B68" s="2209"/>
      <c r="C68" s="2213"/>
      <c r="D68" s="2209"/>
      <c r="E68" s="4180"/>
      <c r="F68" s="4180"/>
      <c r="G68" s="4699"/>
      <c r="H68" s="4700"/>
      <c r="I68" s="4699"/>
      <c r="J68" s="4700"/>
      <c r="K68" s="4699"/>
      <c r="L68" s="4700"/>
      <c r="M68" s="4699"/>
      <c r="N68" s="4700"/>
      <c r="O68" s="4699"/>
      <c r="P68" s="4699"/>
      <c r="Q68" s="4701"/>
      <c r="R68" s="4700"/>
      <c r="S68" s="4702"/>
      <c r="T68" s="4703"/>
      <c r="U68" s="4700"/>
      <c r="V68" s="4700"/>
      <c r="W68" s="4690" t="s">
        <v>3382</v>
      </c>
      <c r="X68" s="4709">
        <v>50164200</v>
      </c>
      <c r="Y68" s="4715">
        <v>3700000</v>
      </c>
      <c r="Z68" s="4715">
        <v>0</v>
      </c>
      <c r="AA68" s="2221" t="s">
        <v>3381</v>
      </c>
      <c r="AB68" s="2221">
        <v>12</v>
      </c>
      <c r="AC68" s="2221" t="s">
        <v>3308</v>
      </c>
      <c r="AD68" s="4694"/>
      <c r="AE68" s="4694"/>
      <c r="AF68" s="2318"/>
      <c r="AG68" s="4694"/>
      <c r="AH68" s="2318"/>
      <c r="AI68" s="4694"/>
      <c r="AJ68" s="2318"/>
      <c r="AK68" s="4694"/>
      <c r="AL68" s="2318"/>
      <c r="AM68" s="4694"/>
      <c r="AN68" s="2318"/>
      <c r="AO68" s="4694"/>
      <c r="AP68" s="2318"/>
      <c r="AQ68" s="4694"/>
      <c r="AR68" s="2318"/>
      <c r="AS68" s="4694"/>
      <c r="AT68" s="2318"/>
      <c r="AU68" s="4694"/>
      <c r="AV68" s="2318"/>
      <c r="AW68" s="4694"/>
      <c r="AX68" s="2318"/>
      <c r="AY68" s="4694"/>
      <c r="AZ68" s="2318"/>
      <c r="BA68" s="4694"/>
      <c r="BB68" s="2318"/>
      <c r="BC68" s="4694"/>
      <c r="BD68" s="2318"/>
      <c r="BE68" s="4694"/>
      <c r="BF68" s="2318"/>
      <c r="BG68" s="4694"/>
      <c r="BH68" s="2318"/>
      <c r="BI68" s="4694"/>
      <c r="BJ68" s="4636"/>
      <c r="BK68" s="4694"/>
      <c r="BL68" s="4694"/>
      <c r="BM68" s="4696"/>
      <c r="BN68" s="4657">
        <v>12</v>
      </c>
      <c r="BO68" s="4657" t="s">
        <v>3308</v>
      </c>
      <c r="BP68" s="4694"/>
      <c r="BQ68" s="2623"/>
      <c r="BR68" s="2623"/>
      <c r="BS68" s="2623"/>
      <c r="BT68" s="2623"/>
      <c r="BU68" s="2623"/>
    </row>
    <row r="69" spans="1:73" ht="47.25" customHeight="1" x14ac:dyDescent="0.25">
      <c r="A69" s="2213"/>
      <c r="B69" s="2209"/>
      <c r="C69" s="2213"/>
      <c r="D69" s="2209"/>
      <c r="E69" s="4180"/>
      <c r="F69" s="4180"/>
      <c r="G69" s="4699"/>
      <c r="H69" s="4700"/>
      <c r="I69" s="4699"/>
      <c r="J69" s="4700"/>
      <c r="K69" s="4699"/>
      <c r="L69" s="4700"/>
      <c r="M69" s="4699"/>
      <c r="N69" s="4700"/>
      <c r="O69" s="4699"/>
      <c r="P69" s="4699"/>
      <c r="Q69" s="4701"/>
      <c r="R69" s="4700"/>
      <c r="S69" s="4702"/>
      <c r="T69" s="4703"/>
      <c r="U69" s="4700"/>
      <c r="V69" s="4700"/>
      <c r="W69" s="4690"/>
      <c r="X69" s="4709">
        <v>58805175</v>
      </c>
      <c r="Y69" s="4715">
        <v>0</v>
      </c>
      <c r="Z69" s="4715">
        <v>0</v>
      </c>
      <c r="AA69" s="2221" t="s">
        <v>3383</v>
      </c>
      <c r="AB69" s="2221">
        <v>3</v>
      </c>
      <c r="AC69" s="2221" t="s">
        <v>3336</v>
      </c>
      <c r="AD69" s="4694"/>
      <c r="AE69" s="4694"/>
      <c r="AF69" s="2318"/>
      <c r="AG69" s="4694"/>
      <c r="AH69" s="2318"/>
      <c r="AI69" s="4694"/>
      <c r="AJ69" s="2318"/>
      <c r="AK69" s="4694"/>
      <c r="AL69" s="2318"/>
      <c r="AM69" s="4694"/>
      <c r="AN69" s="2318"/>
      <c r="AO69" s="4694"/>
      <c r="AP69" s="2318"/>
      <c r="AQ69" s="4694"/>
      <c r="AR69" s="2318"/>
      <c r="AS69" s="4694"/>
      <c r="AT69" s="2318"/>
      <c r="AU69" s="4694"/>
      <c r="AV69" s="2318"/>
      <c r="AW69" s="4694"/>
      <c r="AX69" s="2318"/>
      <c r="AY69" s="4694"/>
      <c r="AZ69" s="2318"/>
      <c r="BA69" s="4694"/>
      <c r="BB69" s="2318"/>
      <c r="BC69" s="4694"/>
      <c r="BD69" s="2318"/>
      <c r="BE69" s="4694"/>
      <c r="BF69" s="2318"/>
      <c r="BG69" s="4694"/>
      <c r="BH69" s="2318"/>
      <c r="BI69" s="4694"/>
      <c r="BJ69" s="4636"/>
      <c r="BK69" s="4694"/>
      <c r="BL69" s="4694"/>
      <c r="BM69" s="4696"/>
      <c r="BN69" s="4657"/>
      <c r="BO69" s="4657"/>
      <c r="BP69" s="4694"/>
      <c r="BQ69" s="2623"/>
      <c r="BR69" s="2623"/>
      <c r="BS69" s="2623"/>
      <c r="BT69" s="2623"/>
      <c r="BU69" s="2623"/>
    </row>
    <row r="70" spans="1:73" ht="98.25" customHeight="1" x14ac:dyDescent="0.25">
      <c r="A70" s="2213"/>
      <c r="B70" s="2209"/>
      <c r="C70" s="2213"/>
      <c r="D70" s="2209"/>
      <c r="E70" s="4180"/>
      <c r="F70" s="4180"/>
      <c r="G70" s="4699"/>
      <c r="H70" s="4700"/>
      <c r="I70" s="4699"/>
      <c r="J70" s="4700"/>
      <c r="K70" s="4699"/>
      <c r="L70" s="4700"/>
      <c r="M70" s="4699"/>
      <c r="N70" s="4700"/>
      <c r="O70" s="4699"/>
      <c r="P70" s="4699"/>
      <c r="Q70" s="4701"/>
      <c r="R70" s="4700"/>
      <c r="S70" s="4702"/>
      <c r="T70" s="4703"/>
      <c r="U70" s="4700"/>
      <c r="V70" s="4700"/>
      <c r="W70" s="344" t="s">
        <v>3384</v>
      </c>
      <c r="X70" s="4717">
        <v>527742469</v>
      </c>
      <c r="Y70" s="4714"/>
      <c r="Z70" s="4714"/>
      <c r="AA70" s="2222" t="s">
        <v>3385</v>
      </c>
      <c r="AB70" s="2222">
        <v>28</v>
      </c>
      <c r="AC70" s="2222" t="s">
        <v>3302</v>
      </c>
      <c r="AD70" s="4694"/>
      <c r="AE70" s="4694"/>
      <c r="AF70" s="2318"/>
      <c r="AG70" s="4694"/>
      <c r="AH70" s="2318"/>
      <c r="AI70" s="4694"/>
      <c r="AJ70" s="2318"/>
      <c r="AK70" s="4694"/>
      <c r="AL70" s="2318"/>
      <c r="AM70" s="4694"/>
      <c r="AN70" s="2318"/>
      <c r="AO70" s="4694"/>
      <c r="AP70" s="2318"/>
      <c r="AQ70" s="4694"/>
      <c r="AR70" s="2318"/>
      <c r="AS70" s="4694"/>
      <c r="AT70" s="2318"/>
      <c r="AU70" s="4694"/>
      <c r="AV70" s="2318"/>
      <c r="AW70" s="4694"/>
      <c r="AX70" s="2318"/>
      <c r="AY70" s="4694"/>
      <c r="AZ70" s="2318"/>
      <c r="BA70" s="4694"/>
      <c r="BB70" s="2318"/>
      <c r="BC70" s="4694"/>
      <c r="BD70" s="2318"/>
      <c r="BE70" s="4694"/>
      <c r="BF70" s="2318"/>
      <c r="BG70" s="4694"/>
      <c r="BH70" s="2318"/>
      <c r="BI70" s="4694"/>
      <c r="BJ70" s="4636"/>
      <c r="BK70" s="4694"/>
      <c r="BL70" s="4694"/>
      <c r="BM70" s="4696"/>
      <c r="BN70" s="4657"/>
      <c r="BO70" s="4657"/>
      <c r="BP70" s="4694"/>
      <c r="BQ70" s="2623"/>
      <c r="BR70" s="2623"/>
      <c r="BS70" s="2623"/>
      <c r="BT70" s="2623"/>
      <c r="BU70" s="2623"/>
    </row>
    <row r="71" spans="1:73" ht="98.25" customHeight="1" x14ac:dyDescent="0.25">
      <c r="A71" s="2213"/>
      <c r="B71" s="2209"/>
      <c r="C71" s="2213"/>
      <c r="D71" s="2209"/>
      <c r="E71" s="4180"/>
      <c r="F71" s="4180"/>
      <c r="G71" s="4699"/>
      <c r="H71" s="4700"/>
      <c r="I71" s="4699"/>
      <c r="J71" s="4700"/>
      <c r="K71" s="4699"/>
      <c r="L71" s="4700"/>
      <c r="M71" s="4699"/>
      <c r="N71" s="4700"/>
      <c r="O71" s="4699"/>
      <c r="P71" s="4699"/>
      <c r="Q71" s="4701"/>
      <c r="R71" s="4700"/>
      <c r="S71" s="4702"/>
      <c r="T71" s="4703"/>
      <c r="U71" s="4700"/>
      <c r="V71" s="4700"/>
      <c r="W71" s="2207" t="s">
        <v>3386</v>
      </c>
      <c r="X71" s="4706">
        <v>26000000</v>
      </c>
      <c r="Y71" s="4715">
        <v>0</v>
      </c>
      <c r="Z71" s="4715">
        <v>0</v>
      </c>
      <c r="AA71" s="2208" t="s">
        <v>3387</v>
      </c>
      <c r="AB71" s="2208">
        <v>23</v>
      </c>
      <c r="AC71" s="2208" t="s">
        <v>3380</v>
      </c>
      <c r="AD71" s="4694"/>
      <c r="AE71" s="4694"/>
      <c r="AF71" s="2318"/>
      <c r="AG71" s="4694"/>
      <c r="AH71" s="2318"/>
      <c r="AI71" s="4694"/>
      <c r="AJ71" s="2318"/>
      <c r="AK71" s="4694"/>
      <c r="AL71" s="2318"/>
      <c r="AM71" s="4694"/>
      <c r="AN71" s="2318"/>
      <c r="AO71" s="4694"/>
      <c r="AP71" s="2318"/>
      <c r="AQ71" s="4694"/>
      <c r="AR71" s="2318"/>
      <c r="AS71" s="4694"/>
      <c r="AT71" s="2318"/>
      <c r="AU71" s="4694"/>
      <c r="AV71" s="2318"/>
      <c r="AW71" s="4694"/>
      <c r="AX71" s="2318"/>
      <c r="AY71" s="4694"/>
      <c r="AZ71" s="2318"/>
      <c r="BA71" s="4694"/>
      <c r="BB71" s="2318"/>
      <c r="BC71" s="4694"/>
      <c r="BD71" s="2318"/>
      <c r="BE71" s="4694"/>
      <c r="BF71" s="2318"/>
      <c r="BG71" s="4694"/>
      <c r="BH71" s="2318"/>
      <c r="BI71" s="4694"/>
      <c r="BJ71" s="4636"/>
      <c r="BK71" s="4694"/>
      <c r="BL71" s="4694"/>
      <c r="BM71" s="4696"/>
      <c r="BN71" s="4657"/>
      <c r="BO71" s="4657"/>
      <c r="BP71" s="4694"/>
      <c r="BQ71" s="2623"/>
      <c r="BR71" s="2623"/>
      <c r="BS71" s="2623"/>
      <c r="BT71" s="2623"/>
      <c r="BU71" s="2623"/>
    </row>
    <row r="72" spans="1:73" ht="36" customHeight="1" x14ac:dyDescent="0.25">
      <c r="A72" s="2213"/>
      <c r="B72" s="2209"/>
      <c r="C72" s="2213"/>
      <c r="D72" s="2209"/>
      <c r="E72" s="4180"/>
      <c r="F72" s="4180"/>
      <c r="G72" s="4699"/>
      <c r="H72" s="4700"/>
      <c r="I72" s="4699"/>
      <c r="J72" s="4700"/>
      <c r="K72" s="4699"/>
      <c r="L72" s="4700"/>
      <c r="M72" s="4699"/>
      <c r="N72" s="4700"/>
      <c r="O72" s="4699"/>
      <c r="P72" s="4699"/>
      <c r="Q72" s="4701"/>
      <c r="R72" s="4700"/>
      <c r="S72" s="4702"/>
      <c r="T72" s="4703"/>
      <c r="U72" s="4700"/>
      <c r="V72" s="4711"/>
      <c r="W72" s="2270" t="s">
        <v>3388</v>
      </c>
      <c r="X72" s="4705">
        <v>50000000</v>
      </c>
      <c r="Y72" s="4715">
        <v>50000000</v>
      </c>
      <c r="Z72" s="4715">
        <v>0</v>
      </c>
      <c r="AA72" s="2208" t="s">
        <v>3389</v>
      </c>
      <c r="AB72" s="2208">
        <v>24</v>
      </c>
      <c r="AC72" s="2208" t="s">
        <v>3320</v>
      </c>
      <c r="AD72" s="4694"/>
      <c r="AE72" s="4694"/>
      <c r="AF72" s="2318"/>
      <c r="AG72" s="4694"/>
      <c r="AH72" s="2318"/>
      <c r="AI72" s="4694"/>
      <c r="AJ72" s="2318"/>
      <c r="AK72" s="4694"/>
      <c r="AL72" s="2318"/>
      <c r="AM72" s="4694"/>
      <c r="AN72" s="2318"/>
      <c r="AO72" s="4694"/>
      <c r="AP72" s="2318"/>
      <c r="AQ72" s="4694"/>
      <c r="AR72" s="2318"/>
      <c r="AS72" s="4694"/>
      <c r="AT72" s="2318"/>
      <c r="AU72" s="4694"/>
      <c r="AV72" s="2318"/>
      <c r="AW72" s="4694"/>
      <c r="AX72" s="2318"/>
      <c r="AY72" s="4694"/>
      <c r="AZ72" s="2318"/>
      <c r="BA72" s="4694"/>
      <c r="BB72" s="2318"/>
      <c r="BC72" s="4694"/>
      <c r="BD72" s="2318"/>
      <c r="BE72" s="4694"/>
      <c r="BF72" s="2318"/>
      <c r="BG72" s="4694"/>
      <c r="BH72" s="2318"/>
      <c r="BI72" s="4694"/>
      <c r="BJ72" s="4636"/>
      <c r="BK72" s="4694"/>
      <c r="BL72" s="4694"/>
      <c r="BM72" s="4696"/>
      <c r="BN72" s="4657">
        <v>6</v>
      </c>
      <c r="BO72" s="4658" t="s">
        <v>3320</v>
      </c>
      <c r="BP72" s="4694"/>
      <c r="BQ72" s="2623"/>
      <c r="BR72" s="2623"/>
      <c r="BS72" s="2623"/>
      <c r="BT72" s="2623"/>
      <c r="BU72" s="2623"/>
    </row>
    <row r="73" spans="1:73" ht="36" customHeight="1" x14ac:dyDescent="0.25">
      <c r="A73" s="2213"/>
      <c r="B73" s="2209"/>
      <c r="C73" s="2213"/>
      <c r="D73" s="2209"/>
      <c r="E73" s="4180"/>
      <c r="F73" s="4180"/>
      <c r="G73" s="4699"/>
      <c r="H73" s="4700"/>
      <c r="I73" s="4699"/>
      <c r="J73" s="4700"/>
      <c r="K73" s="4699"/>
      <c r="L73" s="4700"/>
      <c r="M73" s="4699"/>
      <c r="N73" s="4700"/>
      <c r="O73" s="4699"/>
      <c r="P73" s="4699"/>
      <c r="Q73" s="4701"/>
      <c r="R73" s="4700"/>
      <c r="S73" s="4702"/>
      <c r="T73" s="4703"/>
      <c r="U73" s="4700"/>
      <c r="V73" s="4711"/>
      <c r="W73" s="2270"/>
      <c r="X73" s="4705">
        <v>110000000</v>
      </c>
      <c r="Y73" s="4715"/>
      <c r="Z73" s="4715"/>
      <c r="AA73" s="2208" t="s">
        <v>3378</v>
      </c>
      <c r="AB73" s="2208">
        <v>28</v>
      </c>
      <c r="AC73" s="2208" t="s">
        <v>3302</v>
      </c>
      <c r="AD73" s="4694"/>
      <c r="AE73" s="4694"/>
      <c r="AF73" s="2318"/>
      <c r="AG73" s="4694"/>
      <c r="AH73" s="2318"/>
      <c r="AI73" s="4694"/>
      <c r="AJ73" s="2318"/>
      <c r="AK73" s="4694"/>
      <c r="AL73" s="2318"/>
      <c r="AM73" s="4694"/>
      <c r="AN73" s="2318"/>
      <c r="AO73" s="4694"/>
      <c r="AP73" s="2318"/>
      <c r="AQ73" s="4694"/>
      <c r="AR73" s="2318"/>
      <c r="AS73" s="4694"/>
      <c r="AT73" s="2318"/>
      <c r="AU73" s="4694"/>
      <c r="AV73" s="2318"/>
      <c r="AW73" s="4694"/>
      <c r="AX73" s="2318"/>
      <c r="AY73" s="4694"/>
      <c r="AZ73" s="2318"/>
      <c r="BA73" s="4694"/>
      <c r="BB73" s="2318"/>
      <c r="BC73" s="4694"/>
      <c r="BD73" s="2318"/>
      <c r="BE73" s="4694"/>
      <c r="BF73" s="2318"/>
      <c r="BG73" s="4694"/>
      <c r="BH73" s="2318"/>
      <c r="BI73" s="4694"/>
      <c r="BJ73" s="4636"/>
      <c r="BK73" s="4694"/>
      <c r="BL73" s="4694"/>
      <c r="BM73" s="4696"/>
      <c r="BN73" s="4657"/>
      <c r="BO73" s="4658"/>
      <c r="BP73" s="4694"/>
      <c r="BQ73" s="2623"/>
      <c r="BR73" s="2623"/>
      <c r="BS73" s="2623"/>
      <c r="BT73" s="2623"/>
      <c r="BU73" s="2623"/>
    </row>
    <row r="74" spans="1:73" ht="36" customHeight="1" x14ac:dyDescent="0.25">
      <c r="A74" s="2213"/>
      <c r="B74" s="2209"/>
      <c r="C74" s="2213"/>
      <c r="D74" s="2209"/>
      <c r="E74" s="4180"/>
      <c r="F74" s="4180"/>
      <c r="G74" s="4699"/>
      <c r="H74" s="4700"/>
      <c r="I74" s="4699"/>
      <c r="J74" s="4700"/>
      <c r="K74" s="4699"/>
      <c r="L74" s="4700"/>
      <c r="M74" s="4699"/>
      <c r="N74" s="4700"/>
      <c r="O74" s="4699"/>
      <c r="P74" s="4699"/>
      <c r="Q74" s="4701"/>
      <c r="R74" s="4700"/>
      <c r="S74" s="4702"/>
      <c r="T74" s="4703"/>
      <c r="U74" s="4700"/>
      <c r="V74" s="4711"/>
      <c r="W74" s="2270"/>
      <c r="X74" s="4705">
        <v>545484938</v>
      </c>
      <c r="Y74" s="4715"/>
      <c r="Z74" s="4715"/>
      <c r="AA74" s="2208" t="s">
        <v>3377</v>
      </c>
      <c r="AB74" s="2208">
        <v>28</v>
      </c>
      <c r="AC74" s="2208" t="s">
        <v>3302</v>
      </c>
      <c r="AD74" s="4694"/>
      <c r="AE74" s="4694"/>
      <c r="AF74" s="2318"/>
      <c r="AG74" s="4694"/>
      <c r="AH74" s="2318"/>
      <c r="AI74" s="4694"/>
      <c r="AJ74" s="2318"/>
      <c r="AK74" s="4694"/>
      <c r="AL74" s="2318"/>
      <c r="AM74" s="4694"/>
      <c r="AN74" s="2318"/>
      <c r="AO74" s="4694"/>
      <c r="AP74" s="2318"/>
      <c r="AQ74" s="4694"/>
      <c r="AR74" s="2318"/>
      <c r="AS74" s="4694"/>
      <c r="AT74" s="2318"/>
      <c r="AU74" s="4694"/>
      <c r="AV74" s="2318"/>
      <c r="AW74" s="4694"/>
      <c r="AX74" s="2318"/>
      <c r="AY74" s="4694"/>
      <c r="AZ74" s="2318"/>
      <c r="BA74" s="4694"/>
      <c r="BB74" s="2318"/>
      <c r="BC74" s="4694"/>
      <c r="BD74" s="2318"/>
      <c r="BE74" s="4694"/>
      <c r="BF74" s="2318"/>
      <c r="BG74" s="4694"/>
      <c r="BH74" s="2318"/>
      <c r="BI74" s="4694"/>
      <c r="BJ74" s="4636"/>
      <c r="BK74" s="4694"/>
      <c r="BL74" s="4694"/>
      <c r="BM74" s="4696"/>
      <c r="BN74" s="4657"/>
      <c r="BO74" s="4658"/>
      <c r="BP74" s="4694"/>
      <c r="BQ74" s="2623"/>
      <c r="BR74" s="2623"/>
      <c r="BS74" s="2623"/>
      <c r="BT74" s="2623"/>
      <c r="BU74" s="2623"/>
    </row>
    <row r="75" spans="1:73" ht="36" customHeight="1" x14ac:dyDescent="0.25">
      <c r="A75" s="2213"/>
      <c r="B75" s="2209"/>
      <c r="C75" s="2213"/>
      <c r="D75" s="2209"/>
      <c r="E75" s="4180"/>
      <c r="F75" s="4180"/>
      <c r="G75" s="4699"/>
      <c r="H75" s="4700"/>
      <c r="I75" s="4699"/>
      <c r="J75" s="4700"/>
      <c r="K75" s="4699"/>
      <c r="L75" s="4700"/>
      <c r="M75" s="4699"/>
      <c r="N75" s="4700"/>
      <c r="O75" s="4699"/>
      <c r="P75" s="4699"/>
      <c r="Q75" s="4701"/>
      <c r="R75" s="4700"/>
      <c r="S75" s="4702"/>
      <c r="T75" s="4703"/>
      <c r="U75" s="4700"/>
      <c r="V75" s="4711"/>
      <c r="W75" s="2270"/>
      <c r="X75" s="4706">
        <v>4000000</v>
      </c>
      <c r="Y75" s="4715">
        <v>0</v>
      </c>
      <c r="Z75" s="4715">
        <v>0</v>
      </c>
      <c r="AA75" s="2208" t="s">
        <v>3390</v>
      </c>
      <c r="AB75" s="2208">
        <v>23</v>
      </c>
      <c r="AC75" s="2208" t="s">
        <v>3380</v>
      </c>
      <c r="AD75" s="4694"/>
      <c r="AE75" s="4694"/>
      <c r="AF75" s="2318"/>
      <c r="AG75" s="4694"/>
      <c r="AH75" s="2318"/>
      <c r="AI75" s="4694"/>
      <c r="AJ75" s="2318"/>
      <c r="AK75" s="4694"/>
      <c r="AL75" s="2318"/>
      <c r="AM75" s="4694"/>
      <c r="AN75" s="2318"/>
      <c r="AO75" s="4694"/>
      <c r="AP75" s="2318"/>
      <c r="AQ75" s="4694"/>
      <c r="AR75" s="2318"/>
      <c r="AS75" s="4694"/>
      <c r="AT75" s="2318"/>
      <c r="AU75" s="4694"/>
      <c r="AV75" s="2318"/>
      <c r="AW75" s="4694"/>
      <c r="AX75" s="2318"/>
      <c r="AY75" s="4694"/>
      <c r="AZ75" s="2318"/>
      <c r="BA75" s="4694"/>
      <c r="BB75" s="2318"/>
      <c r="BC75" s="4694"/>
      <c r="BD75" s="2318"/>
      <c r="BE75" s="4694"/>
      <c r="BF75" s="2318"/>
      <c r="BG75" s="4694"/>
      <c r="BH75" s="2318"/>
      <c r="BI75" s="4694"/>
      <c r="BJ75" s="4636"/>
      <c r="BK75" s="4694"/>
      <c r="BL75" s="4694"/>
      <c r="BM75" s="4696"/>
      <c r="BN75" s="4657"/>
      <c r="BO75" s="4658"/>
      <c r="BP75" s="4694"/>
      <c r="BQ75" s="2623"/>
      <c r="BR75" s="2623"/>
      <c r="BS75" s="2623"/>
      <c r="BT75" s="2623"/>
      <c r="BU75" s="2623"/>
    </row>
    <row r="76" spans="1:73" ht="36" customHeight="1" x14ac:dyDescent="0.25">
      <c r="A76" s="2213"/>
      <c r="B76" s="2209"/>
      <c r="C76" s="2213"/>
      <c r="D76" s="2209"/>
      <c r="E76" s="4180"/>
      <c r="F76" s="4180"/>
      <c r="G76" s="4699"/>
      <c r="H76" s="4700"/>
      <c r="I76" s="4699"/>
      <c r="J76" s="4700"/>
      <c r="K76" s="4699"/>
      <c r="L76" s="4700"/>
      <c r="M76" s="4699"/>
      <c r="N76" s="4700"/>
      <c r="O76" s="4699"/>
      <c r="P76" s="4699"/>
      <c r="Q76" s="4701"/>
      <c r="R76" s="4700"/>
      <c r="S76" s="4702"/>
      <c r="T76" s="4703"/>
      <c r="U76" s="4700"/>
      <c r="V76" s="4711"/>
      <c r="W76" s="2270"/>
      <c r="X76" s="4705">
        <v>2000000</v>
      </c>
      <c r="Y76" s="4715">
        <v>0</v>
      </c>
      <c r="Z76" s="4715">
        <v>0</v>
      </c>
      <c r="AA76" s="2208" t="s">
        <v>3383</v>
      </c>
      <c r="AB76" s="2208">
        <v>3</v>
      </c>
      <c r="AC76" s="2208" t="s">
        <v>3336</v>
      </c>
      <c r="AD76" s="4694"/>
      <c r="AE76" s="4694"/>
      <c r="AF76" s="2318"/>
      <c r="AG76" s="4694"/>
      <c r="AH76" s="2318"/>
      <c r="AI76" s="4694"/>
      <c r="AJ76" s="2318"/>
      <c r="AK76" s="4694"/>
      <c r="AL76" s="2318"/>
      <c r="AM76" s="4694"/>
      <c r="AN76" s="2318"/>
      <c r="AO76" s="4694"/>
      <c r="AP76" s="2318"/>
      <c r="AQ76" s="4694"/>
      <c r="AR76" s="2318"/>
      <c r="AS76" s="4694"/>
      <c r="AT76" s="2318"/>
      <c r="AU76" s="4694"/>
      <c r="AV76" s="2318"/>
      <c r="AW76" s="4694"/>
      <c r="AX76" s="2318"/>
      <c r="AY76" s="4694"/>
      <c r="AZ76" s="2318"/>
      <c r="BA76" s="4694"/>
      <c r="BB76" s="2318"/>
      <c r="BC76" s="4694"/>
      <c r="BD76" s="2318"/>
      <c r="BE76" s="4694"/>
      <c r="BF76" s="2318"/>
      <c r="BG76" s="4694"/>
      <c r="BH76" s="2318"/>
      <c r="BI76" s="4694"/>
      <c r="BJ76" s="4636"/>
      <c r="BK76" s="4694"/>
      <c r="BL76" s="4694"/>
      <c r="BM76" s="4696"/>
      <c r="BN76" s="4657">
        <v>3</v>
      </c>
      <c r="BO76" s="4718" t="s">
        <v>3336</v>
      </c>
      <c r="BP76" s="4694"/>
      <c r="BQ76" s="2623"/>
      <c r="BR76" s="2623"/>
      <c r="BS76" s="2623"/>
      <c r="BT76" s="2623"/>
      <c r="BU76" s="2623"/>
    </row>
    <row r="77" spans="1:73" ht="36" customHeight="1" x14ac:dyDescent="0.25">
      <c r="A77" s="2213"/>
      <c r="B77" s="2209"/>
      <c r="C77" s="2213"/>
      <c r="D77" s="2209"/>
      <c r="E77" s="2223"/>
      <c r="F77" s="2223"/>
      <c r="G77" s="3871">
        <v>4302075</v>
      </c>
      <c r="H77" s="4719" t="s">
        <v>3356</v>
      </c>
      <c r="I77" s="4720">
        <v>4302004</v>
      </c>
      <c r="J77" s="4719" t="s">
        <v>3391</v>
      </c>
      <c r="K77" s="4721" t="s">
        <v>74</v>
      </c>
      <c r="L77" s="3562" t="s">
        <v>3392</v>
      </c>
      <c r="M77" s="4722">
        <v>430200401</v>
      </c>
      <c r="N77" s="2261" t="s">
        <v>3393</v>
      </c>
      <c r="O77" s="4685">
        <v>1</v>
      </c>
      <c r="P77" s="4685">
        <v>0</v>
      </c>
      <c r="Q77" s="4687">
        <v>2020003630013</v>
      </c>
      <c r="R77" s="4686" t="s">
        <v>3394</v>
      </c>
      <c r="S77" s="4688">
        <f>X79/T77</f>
        <v>0.23644001790732383</v>
      </c>
      <c r="T77" s="4723">
        <f>SUM(X77:X79)</f>
        <v>126882074.64</v>
      </c>
      <c r="U77" s="4686" t="s">
        <v>3395</v>
      </c>
      <c r="V77" s="4686" t="s">
        <v>3396</v>
      </c>
      <c r="W77" s="4724" t="s">
        <v>3397</v>
      </c>
      <c r="X77" s="4725">
        <v>35000000</v>
      </c>
      <c r="Y77" s="4726">
        <v>0</v>
      </c>
      <c r="Z77" s="4726">
        <v>0</v>
      </c>
      <c r="AA77" s="2206" t="s">
        <v>3398</v>
      </c>
      <c r="AB77" s="2224">
        <v>4</v>
      </c>
      <c r="AC77" s="4727" t="s">
        <v>3331</v>
      </c>
      <c r="AD77" s="2252">
        <v>0</v>
      </c>
      <c r="AE77" s="2252"/>
      <c r="AF77" s="2252">
        <v>0</v>
      </c>
      <c r="AG77" s="2252"/>
      <c r="AH77" s="2252">
        <v>0</v>
      </c>
      <c r="AI77" s="2317"/>
      <c r="AJ77" s="2317"/>
      <c r="AK77" s="2317"/>
      <c r="AL77" s="2317"/>
      <c r="AM77" s="2317"/>
      <c r="AN77" s="2317"/>
      <c r="AO77" s="2317"/>
      <c r="AP77" s="2317"/>
      <c r="AQ77" s="2317"/>
      <c r="AR77" s="2317"/>
      <c r="AS77" s="2317"/>
      <c r="AT77" s="2317"/>
      <c r="AU77" s="2317"/>
      <c r="AV77" s="2317"/>
      <c r="AW77" s="2317"/>
      <c r="AX77" s="2317"/>
      <c r="AY77" s="2317"/>
      <c r="AZ77" s="2317"/>
      <c r="BA77" s="2317"/>
      <c r="BB77" s="2317"/>
      <c r="BC77" s="2317"/>
      <c r="BD77" s="2317"/>
      <c r="BE77" s="2317"/>
      <c r="BF77" s="2317"/>
      <c r="BG77" s="2317"/>
      <c r="BH77" s="2317"/>
      <c r="BI77" s="2317"/>
      <c r="BJ77" s="2317"/>
      <c r="BK77" s="2317"/>
      <c r="BL77" s="2317"/>
      <c r="BM77" s="4016">
        <v>0</v>
      </c>
      <c r="BN77" s="4728">
        <v>4</v>
      </c>
      <c r="BO77" s="4729" t="s">
        <v>3331</v>
      </c>
      <c r="BP77" s="2252"/>
      <c r="BQ77" s="2547">
        <v>44200</v>
      </c>
      <c r="BR77" s="2316"/>
      <c r="BS77" s="2547">
        <v>44560</v>
      </c>
      <c r="BT77" s="2316"/>
      <c r="BU77" s="2307" t="s">
        <v>3363</v>
      </c>
    </row>
    <row r="78" spans="1:73" ht="94.5" customHeight="1" x14ac:dyDescent="0.25">
      <c r="A78" s="2213"/>
      <c r="B78" s="2209"/>
      <c r="C78" s="2213"/>
      <c r="D78" s="2209"/>
      <c r="E78" s="2223"/>
      <c r="F78" s="2223"/>
      <c r="G78" s="3872"/>
      <c r="H78" s="4730"/>
      <c r="I78" s="4731"/>
      <c r="J78" s="4730"/>
      <c r="K78" s="4732"/>
      <c r="L78" s="3563"/>
      <c r="M78" s="4733"/>
      <c r="N78" s="2262"/>
      <c r="O78" s="4699"/>
      <c r="P78" s="4699"/>
      <c r="Q78" s="4701"/>
      <c r="R78" s="4700"/>
      <c r="S78" s="4702"/>
      <c r="T78" s="4734"/>
      <c r="U78" s="4700"/>
      <c r="V78" s="4700"/>
      <c r="W78" s="2244"/>
      <c r="X78" s="4706">
        <v>61882074.640000001</v>
      </c>
      <c r="Y78" s="4706">
        <v>29811666</v>
      </c>
      <c r="Z78" s="4715">
        <v>0</v>
      </c>
      <c r="AA78" s="2208" t="s">
        <v>3399</v>
      </c>
      <c r="AB78" s="2208">
        <v>23</v>
      </c>
      <c r="AC78" s="4735" t="s">
        <v>3380</v>
      </c>
      <c r="AD78" s="2252"/>
      <c r="AE78" s="2252"/>
      <c r="AF78" s="2252"/>
      <c r="AG78" s="2252"/>
      <c r="AH78" s="2252"/>
      <c r="AI78" s="2318"/>
      <c r="AJ78" s="2318"/>
      <c r="AK78" s="2318"/>
      <c r="AL78" s="2318"/>
      <c r="AM78" s="2318"/>
      <c r="AN78" s="2318"/>
      <c r="AO78" s="2318"/>
      <c r="AP78" s="2318"/>
      <c r="AQ78" s="2318"/>
      <c r="AR78" s="2318"/>
      <c r="AS78" s="2318"/>
      <c r="AT78" s="2318"/>
      <c r="AU78" s="2318"/>
      <c r="AV78" s="2318"/>
      <c r="AW78" s="2318"/>
      <c r="AX78" s="2318"/>
      <c r="AY78" s="2318"/>
      <c r="AZ78" s="2318"/>
      <c r="BA78" s="2318"/>
      <c r="BB78" s="2318"/>
      <c r="BC78" s="2318"/>
      <c r="BD78" s="2318"/>
      <c r="BE78" s="2318"/>
      <c r="BF78" s="2318"/>
      <c r="BG78" s="2318"/>
      <c r="BH78" s="2318"/>
      <c r="BI78" s="2318"/>
      <c r="BJ78" s="2318"/>
      <c r="BK78" s="2318"/>
      <c r="BL78" s="2318"/>
      <c r="BM78" s="4017"/>
      <c r="BN78" s="4728"/>
      <c r="BO78" s="4736"/>
      <c r="BP78" s="2252"/>
      <c r="BQ78" s="2547"/>
      <c r="BR78" s="2316"/>
      <c r="BS78" s="2547"/>
      <c r="BT78" s="2316"/>
      <c r="BU78" s="2307"/>
    </row>
    <row r="79" spans="1:73" ht="82.5" customHeight="1" x14ac:dyDescent="0.25">
      <c r="A79" s="2213"/>
      <c r="B79" s="2209"/>
      <c r="C79" s="2213"/>
      <c r="D79" s="2209"/>
      <c r="E79" s="2223" t="s">
        <v>319</v>
      </c>
      <c r="F79" s="2223" t="s">
        <v>319</v>
      </c>
      <c r="G79" s="4737"/>
      <c r="H79" s="4738"/>
      <c r="I79" s="4739"/>
      <c r="J79" s="4738"/>
      <c r="K79" s="4740"/>
      <c r="L79" s="4741"/>
      <c r="M79" s="4742"/>
      <c r="N79" s="4743"/>
      <c r="O79" s="4744"/>
      <c r="P79" s="4744"/>
      <c r="Q79" s="4745"/>
      <c r="R79" s="4746"/>
      <c r="S79" s="4747"/>
      <c r="T79" s="4748"/>
      <c r="U79" s="4746"/>
      <c r="V79" s="4746"/>
      <c r="W79" s="4749" t="s">
        <v>3400</v>
      </c>
      <c r="X79" s="4750">
        <v>30000000</v>
      </c>
      <c r="Y79" s="4715">
        <v>0</v>
      </c>
      <c r="Z79" s="4715">
        <v>0</v>
      </c>
      <c r="AA79" s="1062" t="s">
        <v>3398</v>
      </c>
      <c r="AB79" s="2224">
        <v>4</v>
      </c>
      <c r="AC79" s="4727" t="s">
        <v>3331</v>
      </c>
      <c r="AD79" s="2252"/>
      <c r="AE79" s="2252"/>
      <c r="AF79" s="2252"/>
      <c r="AG79" s="2252"/>
      <c r="AH79" s="2252"/>
      <c r="AI79" s="2319"/>
      <c r="AJ79" s="2319">
        <v>0</v>
      </c>
      <c r="AK79" s="2319"/>
      <c r="AL79" s="2319">
        <v>0</v>
      </c>
      <c r="AM79" s="2319"/>
      <c r="AN79" s="2319" t="s">
        <v>319</v>
      </c>
      <c r="AO79" s="2319"/>
      <c r="AP79" s="2319" t="s">
        <v>319</v>
      </c>
      <c r="AQ79" s="2319"/>
      <c r="AR79" s="2319" t="s">
        <v>319</v>
      </c>
      <c r="AS79" s="2319"/>
      <c r="AT79" s="2319" t="s">
        <v>319</v>
      </c>
      <c r="AU79" s="2319"/>
      <c r="AV79" s="2319" t="s">
        <v>319</v>
      </c>
      <c r="AW79" s="2319"/>
      <c r="AX79" s="2319" t="s">
        <v>319</v>
      </c>
      <c r="AY79" s="2319"/>
      <c r="AZ79" s="2319" t="s">
        <v>319</v>
      </c>
      <c r="BA79" s="2319"/>
      <c r="BB79" s="2319">
        <v>0</v>
      </c>
      <c r="BC79" s="2319"/>
      <c r="BD79" s="2319" t="s">
        <v>319</v>
      </c>
      <c r="BE79" s="2319"/>
      <c r="BF79" s="2319" t="s">
        <v>319</v>
      </c>
      <c r="BG79" s="2319"/>
      <c r="BH79" s="2319">
        <v>0</v>
      </c>
      <c r="BI79" s="2319">
        <v>0</v>
      </c>
      <c r="BJ79" s="2319"/>
      <c r="BK79" s="2319">
        <f>SUM(Y79)</f>
        <v>0</v>
      </c>
      <c r="BL79" s="2319">
        <f>SUM(Z79)</f>
        <v>0</v>
      </c>
      <c r="BM79" s="4751"/>
      <c r="BN79" s="4728"/>
      <c r="BO79" s="4752"/>
      <c r="BP79" s="2252"/>
      <c r="BQ79" s="2547"/>
      <c r="BR79" s="2316"/>
      <c r="BS79" s="2547"/>
      <c r="BT79" s="2316"/>
      <c r="BU79" s="2307"/>
    </row>
    <row r="80" spans="1:73" ht="15.75" x14ac:dyDescent="0.25">
      <c r="A80" s="4753"/>
      <c r="B80" s="4754"/>
      <c r="C80" s="4754"/>
      <c r="D80" s="4754"/>
      <c r="E80" s="4754" t="s">
        <v>319</v>
      </c>
      <c r="F80" s="4754" t="s">
        <v>319</v>
      </c>
      <c r="G80" s="4754" t="s">
        <v>319</v>
      </c>
      <c r="H80" s="4754"/>
      <c r="I80" s="4754" t="s">
        <v>319</v>
      </c>
      <c r="J80" s="4754"/>
      <c r="K80" s="4754" t="s">
        <v>319</v>
      </c>
      <c r="L80" s="4754"/>
      <c r="M80" s="4754" t="s">
        <v>319</v>
      </c>
      <c r="N80" s="4754"/>
      <c r="O80" s="4754" t="s">
        <v>319</v>
      </c>
      <c r="P80" s="4754"/>
      <c r="Q80" s="4754" t="s">
        <v>319</v>
      </c>
      <c r="R80" s="4754" t="s">
        <v>319</v>
      </c>
      <c r="S80" s="4754" t="s">
        <v>319</v>
      </c>
      <c r="T80" s="4755">
        <f>SUM(T13:T78)</f>
        <v>13010854314.189999</v>
      </c>
      <c r="U80" s="4754" t="s">
        <v>319</v>
      </c>
      <c r="V80" s="4754" t="s">
        <v>319</v>
      </c>
      <c r="W80" s="4754" t="s">
        <v>319</v>
      </c>
      <c r="X80" s="4756">
        <f>SUM(X13:X51,X53:X79)</f>
        <v>13010854314.189999</v>
      </c>
      <c r="Y80" s="4756">
        <f>SUM(Y13:Y51,Y53:Y79)</f>
        <v>2720684605.7800002</v>
      </c>
      <c r="Z80" s="4756">
        <f>SUM(Z13:Z51,Z53:Z79)</f>
        <v>1412745440.78</v>
      </c>
      <c r="AA80" s="4754" t="s">
        <v>319</v>
      </c>
      <c r="AB80" s="4754" t="s">
        <v>319</v>
      </c>
      <c r="AC80" s="4754" t="s">
        <v>319</v>
      </c>
      <c r="AD80" s="4754" t="s">
        <v>319</v>
      </c>
      <c r="AE80" s="4754"/>
      <c r="AF80" s="4754" t="s">
        <v>319</v>
      </c>
      <c r="AG80" s="4754"/>
      <c r="AH80" s="4754" t="s">
        <v>319</v>
      </c>
      <c r="AI80" s="4754"/>
      <c r="AJ80" s="4754" t="s">
        <v>319</v>
      </c>
      <c r="AK80" s="4754"/>
      <c r="AL80" s="4754" t="s">
        <v>319</v>
      </c>
      <c r="AM80" s="4754"/>
      <c r="AN80" s="4754" t="s">
        <v>319</v>
      </c>
      <c r="AO80" s="4754"/>
      <c r="AP80" s="4754" t="s">
        <v>319</v>
      </c>
      <c r="AQ80" s="4754"/>
      <c r="AR80" s="4754" t="s">
        <v>319</v>
      </c>
      <c r="AS80" s="4754"/>
      <c r="AT80" s="4754" t="s">
        <v>319</v>
      </c>
      <c r="AU80" s="4754"/>
      <c r="AV80" s="4754" t="s">
        <v>319</v>
      </c>
      <c r="AW80" s="4754"/>
      <c r="AX80" s="4754" t="s">
        <v>319</v>
      </c>
      <c r="AY80" s="4754"/>
      <c r="AZ80" s="4754" t="s">
        <v>319</v>
      </c>
      <c r="BA80" s="4754"/>
      <c r="BB80" s="4754" t="s">
        <v>319</v>
      </c>
      <c r="BC80" s="4754"/>
      <c r="BD80" s="4754" t="s">
        <v>319</v>
      </c>
      <c r="BE80" s="4754"/>
      <c r="BF80" s="4754" t="s">
        <v>319</v>
      </c>
      <c r="BG80" s="4754"/>
      <c r="BH80" s="4754" t="s">
        <v>319</v>
      </c>
      <c r="BI80" s="4754"/>
      <c r="BJ80" s="4754"/>
      <c r="BK80" s="4754"/>
      <c r="BL80" s="4754"/>
      <c r="BM80" s="4754"/>
      <c r="BN80" s="4754"/>
      <c r="BO80" s="4754"/>
      <c r="BP80" s="4754"/>
      <c r="BQ80" s="4754" t="s">
        <v>319</v>
      </c>
      <c r="BR80" s="4754"/>
      <c r="BS80" s="4754" t="s">
        <v>319</v>
      </c>
      <c r="BT80" s="4754"/>
      <c r="BU80" s="4757" t="s">
        <v>319</v>
      </c>
    </row>
    <row r="81" spans="24:27" x14ac:dyDescent="0.25">
      <c r="X81" s="123"/>
    </row>
    <row r="85" spans="24:27" x14ac:dyDescent="0.25">
      <c r="Y85" s="4758"/>
      <c r="Z85" s="4758"/>
    </row>
    <row r="86" spans="24:27" x14ac:dyDescent="0.25">
      <c r="X86" s="4759"/>
      <c r="Y86" s="4759"/>
      <c r="Z86" s="4759"/>
      <c r="AA86" s="4758"/>
    </row>
    <row r="87" spans="24:27" x14ac:dyDescent="0.25">
      <c r="X87" s="4759"/>
      <c r="Y87" s="4759"/>
      <c r="Z87" s="4759"/>
      <c r="AA87" s="4758"/>
    </row>
    <row r="88" spans="24:27" x14ac:dyDescent="0.25">
      <c r="X88" s="4759"/>
      <c r="Y88" s="4759"/>
      <c r="Z88" s="4759"/>
      <c r="AA88" s="4758"/>
    </row>
    <row r="89" spans="24:27" x14ac:dyDescent="0.25">
      <c r="X89" s="4759"/>
      <c r="Y89" s="4759"/>
      <c r="Z89" s="4759"/>
      <c r="AA89" s="4758"/>
    </row>
    <row r="90" spans="24:27" x14ac:dyDescent="0.25">
      <c r="X90" s="4759"/>
      <c r="Y90" s="4759"/>
      <c r="Z90" s="4759"/>
      <c r="AA90" s="4758"/>
    </row>
    <row r="91" spans="24:27" x14ac:dyDescent="0.25">
      <c r="X91" s="4759"/>
      <c r="Y91" s="4759"/>
      <c r="Z91" s="4759"/>
      <c r="AA91" s="4758"/>
    </row>
    <row r="92" spans="24:27" x14ac:dyDescent="0.25">
      <c r="X92" s="4759"/>
      <c r="Y92" s="4759"/>
      <c r="Z92" s="4759"/>
      <c r="AA92" s="4758"/>
    </row>
    <row r="93" spans="24:27" x14ac:dyDescent="0.25">
      <c r="X93" s="4759"/>
      <c r="Y93" s="4759"/>
      <c r="Z93" s="4759"/>
      <c r="AA93" s="4758"/>
    </row>
    <row r="94" spans="24:27" x14ac:dyDescent="0.25">
      <c r="X94" s="4759"/>
      <c r="Y94" s="4759"/>
      <c r="Z94" s="4759"/>
      <c r="AA94" s="4758"/>
    </row>
  </sheetData>
  <sheetProtection algorithmName="SHA-512" hashValue="v+mRmbOe/vT55FtPdweAXyQzYfnRTdeQq4kndYw4leKBFx2iHer6iwg1RIHvMCi6esmBsaUJwcN/a4I9FR4sDQ==" saltValue="8VuFcnsmycbILAJGrUCV+g==" spinCount="100000" sheet="1" objects="1" scenarios="1"/>
  <mergeCells count="274">
    <mergeCell ref="BT77:BT79"/>
    <mergeCell ref="BU77:BU79"/>
    <mergeCell ref="BN77:BN79"/>
    <mergeCell ref="BO77:BO79"/>
    <mergeCell ref="BP77:BP79"/>
    <mergeCell ref="BQ77:BQ79"/>
    <mergeCell ref="BR77:BR79"/>
    <mergeCell ref="BS77:BS79"/>
    <mergeCell ref="BH77:BH79"/>
    <mergeCell ref="BI77:BI79"/>
    <mergeCell ref="BJ77:BJ79"/>
    <mergeCell ref="BK77:BK79"/>
    <mergeCell ref="BL77:BL79"/>
    <mergeCell ref="BM77:BM79"/>
    <mergeCell ref="BB77:BB79"/>
    <mergeCell ref="BC77:BC79"/>
    <mergeCell ref="BD77:BD79"/>
    <mergeCell ref="BE77:BE79"/>
    <mergeCell ref="BF77:BF79"/>
    <mergeCell ref="BG77:BG79"/>
    <mergeCell ref="AV77:AV79"/>
    <mergeCell ref="AW77:AW79"/>
    <mergeCell ref="AX77:AX79"/>
    <mergeCell ref="AY77:AY79"/>
    <mergeCell ref="AZ77:AZ79"/>
    <mergeCell ref="BA77:BA79"/>
    <mergeCell ref="AP77:AP79"/>
    <mergeCell ref="AQ77:AQ79"/>
    <mergeCell ref="AR77:AR79"/>
    <mergeCell ref="AS77:AS79"/>
    <mergeCell ref="AT77:AT79"/>
    <mergeCell ref="AU77:AU79"/>
    <mergeCell ref="AJ77:AJ79"/>
    <mergeCell ref="AK77:AK79"/>
    <mergeCell ref="AL77:AL79"/>
    <mergeCell ref="AM77:AM79"/>
    <mergeCell ref="AN77:AN79"/>
    <mergeCell ref="AO77:AO79"/>
    <mergeCell ref="AD77:AD79"/>
    <mergeCell ref="AE77:AE79"/>
    <mergeCell ref="AF77:AF79"/>
    <mergeCell ref="AG77:AG79"/>
    <mergeCell ref="AH77:AH79"/>
    <mergeCell ref="AI77:AI79"/>
    <mergeCell ref="R77:R79"/>
    <mergeCell ref="S77:S79"/>
    <mergeCell ref="T77:T79"/>
    <mergeCell ref="U77:U79"/>
    <mergeCell ref="V77:V79"/>
    <mergeCell ref="W77:W78"/>
    <mergeCell ref="L77:L79"/>
    <mergeCell ref="M77:M79"/>
    <mergeCell ref="N77:N79"/>
    <mergeCell ref="O77:O79"/>
    <mergeCell ref="P77:P79"/>
    <mergeCell ref="Q77:Q79"/>
    <mergeCell ref="BU53:BU76"/>
    <mergeCell ref="W58:W62"/>
    <mergeCell ref="W63:W67"/>
    <mergeCell ref="W68:W69"/>
    <mergeCell ref="W72:W76"/>
    <mergeCell ref="G77:G79"/>
    <mergeCell ref="H77:H79"/>
    <mergeCell ref="I77:I79"/>
    <mergeCell ref="J77:J79"/>
    <mergeCell ref="K77:K79"/>
    <mergeCell ref="BM53:BM76"/>
    <mergeCell ref="BP53:BP76"/>
    <mergeCell ref="BQ53:BQ76"/>
    <mergeCell ref="BR53:BR76"/>
    <mergeCell ref="BS53:BS76"/>
    <mergeCell ref="BT53:BT76"/>
    <mergeCell ref="BG53:BG76"/>
    <mergeCell ref="BH53:BH76"/>
    <mergeCell ref="BI53:BI76"/>
    <mergeCell ref="BJ53:BJ76"/>
    <mergeCell ref="BK53:BK76"/>
    <mergeCell ref="BL53:BL76"/>
    <mergeCell ref="BA53:BA76"/>
    <mergeCell ref="BB53:BB76"/>
    <mergeCell ref="BC53:BC76"/>
    <mergeCell ref="BD53:BD76"/>
    <mergeCell ref="BE53:BE76"/>
    <mergeCell ref="BF53:BF76"/>
    <mergeCell ref="AU53:AU76"/>
    <mergeCell ref="AV53:AV76"/>
    <mergeCell ref="AW53:AW76"/>
    <mergeCell ref="AX53:AX76"/>
    <mergeCell ref="AY53:AY76"/>
    <mergeCell ref="AZ53:AZ76"/>
    <mergeCell ref="AO53:AO76"/>
    <mergeCell ref="AP53:AP76"/>
    <mergeCell ref="AQ53:AQ76"/>
    <mergeCell ref="AR53:AR76"/>
    <mergeCell ref="AS53:AS76"/>
    <mergeCell ref="AT53:AT76"/>
    <mergeCell ref="AI53:AI76"/>
    <mergeCell ref="AJ53:AJ76"/>
    <mergeCell ref="AK53:AK76"/>
    <mergeCell ref="AL53:AL76"/>
    <mergeCell ref="AM53:AM76"/>
    <mergeCell ref="AN53:AN76"/>
    <mergeCell ref="W53:W57"/>
    <mergeCell ref="AD53:AD76"/>
    <mergeCell ref="AE53:AE76"/>
    <mergeCell ref="AF53:AF76"/>
    <mergeCell ref="AG53:AG76"/>
    <mergeCell ref="AH53:AH76"/>
    <mergeCell ref="Q53:Q76"/>
    <mergeCell ref="R53:R76"/>
    <mergeCell ref="S53:S76"/>
    <mergeCell ref="T53:T76"/>
    <mergeCell ref="U53:U76"/>
    <mergeCell ref="V53:V76"/>
    <mergeCell ref="K53:K76"/>
    <mergeCell ref="L53:L76"/>
    <mergeCell ref="M53:M76"/>
    <mergeCell ref="N53:N76"/>
    <mergeCell ref="O53:O76"/>
    <mergeCell ref="P53:P76"/>
    <mergeCell ref="E53:E76"/>
    <mergeCell ref="F53:F76"/>
    <mergeCell ref="G53:G76"/>
    <mergeCell ref="H53:H76"/>
    <mergeCell ref="I53:I76"/>
    <mergeCell ref="J53:J76"/>
    <mergeCell ref="M49:M51"/>
    <mergeCell ref="N49:N51"/>
    <mergeCell ref="O49:O51"/>
    <mergeCell ref="P49:P51"/>
    <mergeCell ref="S49:S51"/>
    <mergeCell ref="V49:V51"/>
    <mergeCell ref="G49:G51"/>
    <mergeCell ref="H49:H51"/>
    <mergeCell ref="I49:I51"/>
    <mergeCell ref="J49:J51"/>
    <mergeCell ref="K49:K51"/>
    <mergeCell ref="L49:L51"/>
    <mergeCell ref="K33:K48"/>
    <mergeCell ref="L33:L48"/>
    <mergeCell ref="M33:M48"/>
    <mergeCell ref="N33:N48"/>
    <mergeCell ref="O33:O48"/>
    <mergeCell ref="P33:P48"/>
    <mergeCell ref="N24:N32"/>
    <mergeCell ref="O24:O32"/>
    <mergeCell ref="P24:P32"/>
    <mergeCell ref="S24:S32"/>
    <mergeCell ref="V24:V32"/>
    <mergeCell ref="W24:W26"/>
    <mergeCell ref="W27:W30"/>
    <mergeCell ref="W31:W32"/>
    <mergeCell ref="BU13:BU51"/>
    <mergeCell ref="W16:W18"/>
    <mergeCell ref="W19:W23"/>
    <mergeCell ref="G24:G48"/>
    <mergeCell ref="H24:H48"/>
    <mergeCell ref="I24:I48"/>
    <mergeCell ref="J24:J48"/>
    <mergeCell ref="K24:K32"/>
    <mergeCell ref="L24:L32"/>
    <mergeCell ref="M24:M32"/>
    <mergeCell ref="BM13:BM51"/>
    <mergeCell ref="BP13:BP51"/>
    <mergeCell ref="BQ13:BQ51"/>
    <mergeCell ref="BR13:BR51"/>
    <mergeCell ref="BS13:BS51"/>
    <mergeCell ref="BT13:BT51"/>
    <mergeCell ref="BG13:BG51"/>
    <mergeCell ref="BH13:BH51"/>
    <mergeCell ref="BI13:BI51"/>
    <mergeCell ref="BJ13:BJ51"/>
    <mergeCell ref="BK13:BK51"/>
    <mergeCell ref="BL13:BL51"/>
    <mergeCell ref="BA13:BA51"/>
    <mergeCell ref="BB13:BB51"/>
    <mergeCell ref="BC13:BC51"/>
    <mergeCell ref="BD13:BD51"/>
    <mergeCell ref="BE13:BE51"/>
    <mergeCell ref="BF13:BF51"/>
    <mergeCell ref="AU13:AU51"/>
    <mergeCell ref="AV13:AV51"/>
    <mergeCell ref="AW13:AW51"/>
    <mergeCell ref="AX13:AX51"/>
    <mergeCell ref="AY13:AY51"/>
    <mergeCell ref="AZ13:AZ51"/>
    <mergeCell ref="AO13:AO51"/>
    <mergeCell ref="AP13:AP51"/>
    <mergeCell ref="AQ13:AQ51"/>
    <mergeCell ref="AR13:AR51"/>
    <mergeCell ref="AS13:AS51"/>
    <mergeCell ref="AT13:AT51"/>
    <mergeCell ref="AI13:AI51"/>
    <mergeCell ref="AJ13:AJ51"/>
    <mergeCell ref="AK13:AK51"/>
    <mergeCell ref="AL13:AL51"/>
    <mergeCell ref="AM13:AM51"/>
    <mergeCell ref="AN13:AN51"/>
    <mergeCell ref="W13:W14"/>
    <mergeCell ref="AD13:AD51"/>
    <mergeCell ref="AE13:AE51"/>
    <mergeCell ref="AF13:AF51"/>
    <mergeCell ref="AG13:AG51"/>
    <mergeCell ref="AH13:AH51"/>
    <mergeCell ref="W33:W38"/>
    <mergeCell ref="W39:W44"/>
    <mergeCell ref="W45:W48"/>
    <mergeCell ref="W49:W50"/>
    <mergeCell ref="Q13:Q51"/>
    <mergeCell ref="R13:R51"/>
    <mergeCell ref="S13:S23"/>
    <mergeCell ref="T13:T51"/>
    <mergeCell ref="U13:U51"/>
    <mergeCell ref="V13:V23"/>
    <mergeCell ref="S33:S48"/>
    <mergeCell ref="V33:V48"/>
    <mergeCell ref="K13:K23"/>
    <mergeCell ref="L13:L23"/>
    <mergeCell ref="M13:M23"/>
    <mergeCell ref="N13:N23"/>
    <mergeCell ref="O13:O23"/>
    <mergeCell ref="P13:P23"/>
    <mergeCell ref="BP8:BP9"/>
    <mergeCell ref="B10:I10"/>
    <mergeCell ref="D11:M11"/>
    <mergeCell ref="F12:U12"/>
    <mergeCell ref="E13:E19"/>
    <mergeCell ref="F13:F19"/>
    <mergeCell ref="G13:G23"/>
    <mergeCell ref="H13:H23"/>
    <mergeCell ref="I13:I23"/>
    <mergeCell ref="J13:J23"/>
    <mergeCell ref="BF8:BG8"/>
    <mergeCell ref="BJ8:BJ9"/>
    <mergeCell ref="BK8:BK9"/>
    <mergeCell ref="BL8:BL9"/>
    <mergeCell ref="BM8:BM9"/>
    <mergeCell ref="BN8:BO8"/>
    <mergeCell ref="AT8:AU8"/>
    <mergeCell ref="AV8:AW8"/>
    <mergeCell ref="AX8:AY8"/>
    <mergeCell ref="AZ8:BA8"/>
    <mergeCell ref="BB8:BC8"/>
    <mergeCell ref="BD8:BE8"/>
    <mergeCell ref="BJ7:BP7"/>
    <mergeCell ref="BQ7:BR8"/>
    <mergeCell ref="BS7:BT8"/>
    <mergeCell ref="BU7:BU8"/>
    <mergeCell ref="O8:P8"/>
    <mergeCell ref="X8:Z8"/>
    <mergeCell ref="AD8:AE8"/>
    <mergeCell ref="AF8:AG8"/>
    <mergeCell ref="AH8:AI8"/>
    <mergeCell ref="AJ8:AK8"/>
    <mergeCell ref="AA7:AC7"/>
    <mergeCell ref="AD7:AG7"/>
    <mergeCell ref="AH7:AO7"/>
    <mergeCell ref="AP7:BA7"/>
    <mergeCell ref="BB7:BG7"/>
    <mergeCell ref="BH7:BI8"/>
    <mergeCell ref="AL8:AM8"/>
    <mergeCell ref="AN8:AO8"/>
    <mergeCell ref="AP8:AQ8"/>
    <mergeCell ref="AR8:AS8"/>
    <mergeCell ref="A1:BS4"/>
    <mergeCell ref="A5:P6"/>
    <mergeCell ref="Q5:BU5"/>
    <mergeCell ref="AH6:BQ6"/>
    <mergeCell ref="A7:B7"/>
    <mergeCell ref="C7:D7"/>
    <mergeCell ref="E7:F7"/>
    <mergeCell ref="G7:J7"/>
    <mergeCell ref="K7:N7"/>
    <mergeCell ref="O7:Z7"/>
  </mergeCells>
  <pageMargins left="0.7" right="0.7" top="0.75" bottom="0.75" header="0.3" footer="0.3"/>
  <pageSetup paperSize="258" scale="10" fitToHeight="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50"/>
  <sheetViews>
    <sheetView showGridLines="0" zoomScale="70" zoomScaleNormal="70" workbookViewId="0">
      <pane ySplit="9" topLeftCell="A10" activePane="bottomLeft" state="frozen"/>
      <selection activeCell="S58" sqref="S58"/>
      <selection pane="bottomLeft" sqref="A1:BS4"/>
    </sheetView>
  </sheetViews>
  <sheetFormatPr baseColWidth="10" defaultRowHeight="15.75" x14ac:dyDescent="0.25"/>
  <cols>
    <col min="1" max="1" width="14.5703125" style="150" customWidth="1"/>
    <col min="2" max="4" width="15.140625" style="150" customWidth="1"/>
    <col min="5" max="5" width="13.140625" style="150" customWidth="1"/>
    <col min="6" max="6" width="13" style="150" customWidth="1"/>
    <col min="7" max="7" width="16.5703125" style="150" customWidth="1"/>
    <col min="8" max="8" width="29.85546875" style="150" customWidth="1"/>
    <col min="9" max="9" width="22" style="150" customWidth="1"/>
    <col min="10" max="10" width="24.28515625" style="150" customWidth="1"/>
    <col min="11" max="11" width="15.140625" style="150" customWidth="1"/>
    <col min="12" max="12" width="26" style="150" customWidth="1"/>
    <col min="13" max="13" width="17.42578125" style="150" customWidth="1"/>
    <col min="14" max="14" width="26" style="150" customWidth="1"/>
    <col min="15" max="15" width="25.140625" style="3" customWidth="1"/>
    <col min="16" max="16" width="22.5703125" style="3" customWidth="1"/>
    <col min="17" max="17" width="21.85546875" style="150" customWidth="1"/>
    <col min="18" max="18" width="23.5703125" style="150" customWidth="1"/>
    <col min="19" max="19" width="11.5703125" style="150" customWidth="1"/>
    <col min="20" max="20" width="26.7109375" style="150" customWidth="1"/>
    <col min="21" max="21" width="44.5703125" style="150" hidden="1" customWidth="1"/>
    <col min="22" max="22" width="31.5703125" style="150" hidden="1" customWidth="1"/>
    <col min="23" max="23" width="40.42578125" style="150" customWidth="1"/>
    <col min="24" max="26" width="28.140625" style="150" customWidth="1"/>
    <col min="27" max="27" width="36" style="150" customWidth="1"/>
    <col min="28" max="28" width="12.28515625" style="3" customWidth="1"/>
    <col min="29" max="29" width="21.140625" style="150" customWidth="1"/>
    <col min="30" max="61" width="13.5703125" style="1317" customWidth="1"/>
    <col min="62" max="62" width="17.5703125" style="1317" customWidth="1"/>
    <col min="63" max="63" width="21" style="1317" customWidth="1"/>
    <col min="64" max="64" width="22.140625" style="1317" customWidth="1"/>
    <col min="65" max="65" width="19.85546875" style="1317" customWidth="1"/>
    <col min="66" max="67" width="13.5703125" style="1317" customWidth="1"/>
    <col min="68" max="68" width="22.42578125" style="1317" customWidth="1"/>
    <col min="69" max="70" width="20.5703125" style="150" customWidth="1"/>
    <col min="71" max="72" width="20.140625" style="150" customWidth="1"/>
    <col min="73" max="73" width="24.5703125" style="150" customWidth="1"/>
  </cols>
  <sheetData>
    <row r="1" spans="1:73" ht="15.75" customHeight="1" x14ac:dyDescent="0.25">
      <c r="A1" s="2518" t="s">
        <v>1626</v>
      </c>
      <c r="B1" s="2518"/>
      <c r="C1" s="2518"/>
      <c r="D1" s="2518"/>
      <c r="E1" s="2518"/>
      <c r="F1" s="2518"/>
      <c r="G1" s="2518"/>
      <c r="H1" s="2518"/>
      <c r="I1" s="2518"/>
      <c r="J1" s="2518"/>
      <c r="K1" s="2518"/>
      <c r="L1" s="2518"/>
      <c r="M1" s="2518"/>
      <c r="N1" s="2518"/>
      <c r="O1" s="2518"/>
      <c r="P1" s="2518"/>
      <c r="Q1" s="2518"/>
      <c r="R1" s="2518"/>
      <c r="S1" s="2518"/>
      <c r="T1" s="2518"/>
      <c r="U1" s="2518"/>
      <c r="V1" s="2518"/>
      <c r="W1" s="2518"/>
      <c r="X1" s="2518"/>
      <c r="Y1" s="2518"/>
      <c r="Z1" s="2518"/>
      <c r="AA1" s="2518"/>
      <c r="AB1" s="2518"/>
      <c r="AC1" s="2518"/>
      <c r="AD1" s="2518"/>
      <c r="AE1" s="2518"/>
      <c r="AF1" s="2518"/>
      <c r="AG1" s="2518"/>
      <c r="AH1" s="2518"/>
      <c r="AI1" s="2518"/>
      <c r="AJ1" s="2518"/>
      <c r="AK1" s="2518"/>
      <c r="AL1" s="2518"/>
      <c r="AM1" s="2518"/>
      <c r="AN1" s="2518"/>
      <c r="AO1" s="2518"/>
      <c r="AP1" s="2518"/>
      <c r="AQ1" s="2518"/>
      <c r="AR1" s="2518"/>
      <c r="AS1" s="2518"/>
      <c r="AT1" s="2518"/>
      <c r="AU1" s="2518"/>
      <c r="AV1" s="2518"/>
      <c r="AW1" s="2518"/>
      <c r="AX1" s="2518"/>
      <c r="AY1" s="2518"/>
      <c r="AZ1" s="2518"/>
      <c r="BA1" s="2518"/>
      <c r="BB1" s="2518"/>
      <c r="BC1" s="2518"/>
      <c r="BD1" s="2518"/>
      <c r="BE1" s="2518"/>
      <c r="BF1" s="2518"/>
      <c r="BG1" s="2518"/>
      <c r="BH1" s="2518"/>
      <c r="BI1" s="2518"/>
      <c r="BJ1" s="2518"/>
      <c r="BK1" s="2518"/>
      <c r="BL1" s="2518"/>
      <c r="BM1" s="2518"/>
      <c r="BN1" s="2518"/>
      <c r="BO1" s="2518"/>
      <c r="BP1" s="2518"/>
      <c r="BQ1" s="2518"/>
      <c r="BR1" s="2518"/>
      <c r="BS1" s="2733"/>
      <c r="BT1" s="1196" t="s">
        <v>0</v>
      </c>
      <c r="BU1" s="1197" t="s">
        <v>1</v>
      </c>
    </row>
    <row r="2" spans="1:73" ht="15.75" customHeight="1" x14ac:dyDescent="0.25">
      <c r="A2" s="2518"/>
      <c r="B2" s="2518"/>
      <c r="C2" s="2518"/>
      <c r="D2" s="2518"/>
      <c r="E2" s="2518"/>
      <c r="F2" s="2518"/>
      <c r="G2" s="2518"/>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2518"/>
      <c r="BC2" s="2518"/>
      <c r="BD2" s="2518"/>
      <c r="BE2" s="2518"/>
      <c r="BF2" s="2518"/>
      <c r="BG2" s="2518"/>
      <c r="BH2" s="2518"/>
      <c r="BI2" s="2518"/>
      <c r="BJ2" s="2518"/>
      <c r="BK2" s="2518"/>
      <c r="BL2" s="2518"/>
      <c r="BM2" s="2518"/>
      <c r="BN2" s="2518"/>
      <c r="BO2" s="2518"/>
      <c r="BP2" s="2518"/>
      <c r="BQ2" s="2518"/>
      <c r="BR2" s="2518"/>
      <c r="BS2" s="2733"/>
      <c r="BT2" s="1196" t="s">
        <v>2</v>
      </c>
      <c r="BU2" s="1198">
        <v>8</v>
      </c>
    </row>
    <row r="3" spans="1:73" ht="15.75" customHeight="1" x14ac:dyDescent="0.25">
      <c r="A3" s="2518"/>
      <c r="B3" s="2518"/>
      <c r="C3" s="2518"/>
      <c r="D3" s="2518"/>
      <c r="E3" s="2518"/>
      <c r="F3" s="2518"/>
      <c r="G3" s="2518"/>
      <c r="H3" s="2518"/>
      <c r="I3" s="2518"/>
      <c r="J3" s="2518"/>
      <c r="K3" s="2518"/>
      <c r="L3" s="2518"/>
      <c r="M3" s="2518"/>
      <c r="N3" s="2518"/>
      <c r="O3" s="2518"/>
      <c r="P3" s="2518"/>
      <c r="Q3" s="2518"/>
      <c r="R3" s="2518"/>
      <c r="S3" s="2518"/>
      <c r="T3" s="2518"/>
      <c r="U3" s="2518"/>
      <c r="V3" s="2518"/>
      <c r="W3" s="2518"/>
      <c r="X3" s="2518"/>
      <c r="Y3" s="2518"/>
      <c r="Z3" s="2518"/>
      <c r="AA3" s="2518"/>
      <c r="AB3" s="2518"/>
      <c r="AC3" s="2518"/>
      <c r="AD3" s="2518"/>
      <c r="AE3" s="2518"/>
      <c r="AF3" s="2518"/>
      <c r="AG3" s="2518"/>
      <c r="AH3" s="2518"/>
      <c r="AI3" s="2518"/>
      <c r="AJ3" s="2518"/>
      <c r="AK3" s="2518"/>
      <c r="AL3" s="2518"/>
      <c r="AM3" s="2518"/>
      <c r="AN3" s="2518"/>
      <c r="AO3" s="2518"/>
      <c r="AP3" s="2518"/>
      <c r="AQ3" s="2518"/>
      <c r="AR3" s="2518"/>
      <c r="AS3" s="2518"/>
      <c r="AT3" s="2518"/>
      <c r="AU3" s="2518"/>
      <c r="AV3" s="2518"/>
      <c r="AW3" s="2518"/>
      <c r="AX3" s="2518"/>
      <c r="AY3" s="2518"/>
      <c r="AZ3" s="2518"/>
      <c r="BA3" s="2518"/>
      <c r="BB3" s="2518"/>
      <c r="BC3" s="2518"/>
      <c r="BD3" s="2518"/>
      <c r="BE3" s="2518"/>
      <c r="BF3" s="2518"/>
      <c r="BG3" s="2518"/>
      <c r="BH3" s="2518"/>
      <c r="BI3" s="2518"/>
      <c r="BJ3" s="2518"/>
      <c r="BK3" s="2518"/>
      <c r="BL3" s="2518"/>
      <c r="BM3" s="2518"/>
      <c r="BN3" s="2518"/>
      <c r="BO3" s="2518"/>
      <c r="BP3" s="2518"/>
      <c r="BQ3" s="2518"/>
      <c r="BR3" s="2518"/>
      <c r="BS3" s="2733"/>
      <c r="BT3" s="1196" t="s">
        <v>4</v>
      </c>
      <c r="BU3" s="1042">
        <v>44266</v>
      </c>
    </row>
    <row r="4" spans="1:73" ht="15.75" customHeight="1" x14ac:dyDescent="0.25">
      <c r="A4" s="3585"/>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2734"/>
      <c r="BT4" s="1196" t="s">
        <v>5</v>
      </c>
      <c r="BU4" s="1199" t="s">
        <v>1627</v>
      </c>
    </row>
    <row r="5" spans="1:73" x14ac:dyDescent="0.25">
      <c r="A5" s="2362" t="s">
        <v>7</v>
      </c>
      <c r="B5" s="2363"/>
      <c r="C5" s="2363"/>
      <c r="D5" s="2363"/>
      <c r="E5" s="2363"/>
      <c r="F5" s="2363"/>
      <c r="G5" s="2363"/>
      <c r="H5" s="2363"/>
      <c r="I5" s="2363"/>
      <c r="J5" s="2363"/>
      <c r="K5" s="2363"/>
      <c r="L5" s="2363"/>
      <c r="M5" s="2363"/>
      <c r="N5" s="2363"/>
      <c r="O5" s="2363"/>
      <c r="P5" s="3352"/>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c r="BO5" s="1039"/>
      <c r="BP5" s="1039"/>
      <c r="BQ5" s="1039"/>
      <c r="BR5" s="1039"/>
      <c r="BS5" s="1039"/>
      <c r="BT5" s="1039"/>
      <c r="BU5" s="1035"/>
    </row>
    <row r="6" spans="1:73" x14ac:dyDescent="0.25">
      <c r="A6" s="2364"/>
      <c r="B6" s="2365"/>
      <c r="C6" s="2365"/>
      <c r="D6" s="2365"/>
      <c r="E6" s="2365"/>
      <c r="F6" s="2365"/>
      <c r="G6" s="2365"/>
      <c r="H6" s="2365"/>
      <c r="I6" s="2365"/>
      <c r="J6" s="2365"/>
      <c r="K6" s="2365"/>
      <c r="L6" s="2365"/>
      <c r="M6" s="2365"/>
      <c r="N6" s="2365"/>
      <c r="O6" s="2365"/>
      <c r="P6" s="2369"/>
      <c r="Q6" s="1018"/>
      <c r="R6" s="1018"/>
      <c r="S6" s="1018"/>
      <c r="T6" s="1018"/>
      <c r="U6" s="1018"/>
      <c r="V6" s="1018"/>
      <c r="W6" s="1018"/>
      <c r="X6" s="1018"/>
      <c r="Y6" s="1018"/>
      <c r="Z6" s="1018"/>
      <c r="AA6" s="1018"/>
      <c r="AB6" s="1018"/>
      <c r="AC6" s="1018"/>
      <c r="AD6" s="1200"/>
      <c r="AE6" s="1200"/>
      <c r="AF6" s="1200"/>
      <c r="AG6" s="1200"/>
      <c r="AH6" s="1020" t="s">
        <v>8</v>
      </c>
      <c r="AI6" s="1018"/>
      <c r="AJ6" s="1018"/>
      <c r="AK6" s="1018"/>
      <c r="AL6" s="1018"/>
      <c r="AM6" s="1018"/>
      <c r="AN6" s="1018"/>
      <c r="AO6" s="1018"/>
      <c r="AP6" s="1018"/>
      <c r="AQ6" s="1018"/>
      <c r="AR6" s="1018"/>
      <c r="AS6" s="1018"/>
      <c r="AT6" s="1018"/>
      <c r="AU6" s="1018"/>
      <c r="AV6" s="1018"/>
      <c r="AW6" s="1018"/>
      <c r="AX6" s="1018"/>
      <c r="AY6" s="1018"/>
      <c r="AZ6" s="1018"/>
      <c r="BA6" s="1018"/>
      <c r="BB6" s="1018"/>
      <c r="BC6" s="1018"/>
      <c r="BD6" s="1018"/>
      <c r="BE6" s="1018"/>
      <c r="BF6" s="1018"/>
      <c r="BG6" s="1018"/>
      <c r="BH6" s="1018"/>
      <c r="BI6" s="1018"/>
      <c r="BJ6" s="1018"/>
      <c r="BK6" s="1018"/>
      <c r="BL6" s="1018"/>
      <c r="BM6" s="1018"/>
      <c r="BN6" s="1018"/>
      <c r="BO6" s="1018"/>
      <c r="BP6" s="1018"/>
      <c r="BQ6" s="1019"/>
      <c r="BR6" s="1018"/>
      <c r="BS6" s="1018"/>
      <c r="BT6" s="1018"/>
      <c r="BU6" s="1023"/>
    </row>
    <row r="7" spans="1:73" ht="35.25" customHeight="1" x14ac:dyDescent="0.25">
      <c r="A7" s="2522" t="s">
        <v>9</v>
      </c>
      <c r="B7" s="2521"/>
      <c r="C7" s="2522" t="s">
        <v>10</v>
      </c>
      <c r="D7" s="2521"/>
      <c r="E7" s="2522" t="s">
        <v>11</v>
      </c>
      <c r="F7" s="2521"/>
      <c r="G7" s="2525" t="s">
        <v>12</v>
      </c>
      <c r="H7" s="4210"/>
      <c r="I7" s="4210"/>
      <c r="J7" s="4210"/>
      <c r="K7" s="2525" t="s">
        <v>13</v>
      </c>
      <c r="L7" s="4210"/>
      <c r="M7" s="4210"/>
      <c r="N7" s="4210"/>
      <c r="O7" s="2541" t="s">
        <v>14</v>
      </c>
      <c r="P7" s="2542"/>
      <c r="Q7" s="2542"/>
      <c r="R7" s="2542"/>
      <c r="S7" s="2542"/>
      <c r="T7" s="2542"/>
      <c r="U7" s="2542"/>
      <c r="V7" s="2542"/>
      <c r="W7" s="2542"/>
      <c r="X7" s="2542"/>
      <c r="Y7" s="2542"/>
      <c r="Z7" s="2543"/>
      <c r="AA7" s="2522" t="s">
        <v>15</v>
      </c>
      <c r="AB7" s="2520"/>
      <c r="AC7" s="2521"/>
      <c r="AD7" s="2349" t="s">
        <v>16</v>
      </c>
      <c r="AE7" s="2350"/>
      <c r="AF7" s="2350"/>
      <c r="AG7" s="2351"/>
      <c r="AH7" s="2349" t="s">
        <v>17</v>
      </c>
      <c r="AI7" s="2350"/>
      <c r="AJ7" s="2350"/>
      <c r="AK7" s="2350"/>
      <c r="AL7" s="2350"/>
      <c r="AM7" s="2350"/>
      <c r="AN7" s="2350"/>
      <c r="AO7" s="2351"/>
      <c r="AP7" s="4559" t="s">
        <v>18</v>
      </c>
      <c r="AQ7" s="4560"/>
      <c r="AR7" s="4560"/>
      <c r="AS7" s="4560"/>
      <c r="AT7" s="4560"/>
      <c r="AU7" s="4560"/>
      <c r="AV7" s="4560"/>
      <c r="AW7" s="4560"/>
      <c r="AX7" s="4560"/>
      <c r="AY7" s="4560"/>
      <c r="AZ7" s="4560"/>
      <c r="BA7" s="4561"/>
      <c r="BB7" s="2640" t="s">
        <v>19</v>
      </c>
      <c r="BC7" s="2640"/>
      <c r="BD7" s="2640"/>
      <c r="BE7" s="2640"/>
      <c r="BF7" s="2640"/>
      <c r="BG7" s="2640"/>
      <c r="BH7" s="4562" t="s">
        <v>20</v>
      </c>
      <c r="BI7" s="4563"/>
      <c r="BJ7" s="3358" t="s">
        <v>21</v>
      </c>
      <c r="BK7" s="3359"/>
      <c r="BL7" s="3359"/>
      <c r="BM7" s="3359"/>
      <c r="BN7" s="3359"/>
      <c r="BO7" s="3359"/>
      <c r="BP7" s="3360"/>
      <c r="BQ7" s="4213" t="s">
        <v>1031</v>
      </c>
      <c r="BR7" s="4214"/>
      <c r="BS7" s="4217" t="s">
        <v>1032</v>
      </c>
      <c r="BT7" s="4214"/>
      <c r="BU7" s="2639" t="s">
        <v>24</v>
      </c>
    </row>
    <row r="8" spans="1:73" ht="127.5" customHeight="1" x14ac:dyDescent="0.25">
      <c r="A8" s="2536" t="s">
        <v>25</v>
      </c>
      <c r="B8" s="4557"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4436" t="s">
        <v>130</v>
      </c>
      <c r="P8" s="4437"/>
      <c r="Q8" s="3356" t="s">
        <v>35</v>
      </c>
      <c r="R8" s="3356" t="s">
        <v>36</v>
      </c>
      <c r="S8" s="3365" t="s">
        <v>37</v>
      </c>
      <c r="T8" s="3366" t="s">
        <v>38</v>
      </c>
      <c r="U8" s="3356" t="s">
        <v>39</v>
      </c>
      <c r="V8" s="3356" t="s">
        <v>40</v>
      </c>
      <c r="W8" s="3356" t="s">
        <v>41</v>
      </c>
      <c r="X8" s="4554" t="s">
        <v>38</v>
      </c>
      <c r="Y8" s="4555"/>
      <c r="Z8" s="4556"/>
      <c r="AA8" s="3356" t="s">
        <v>43</v>
      </c>
      <c r="AB8" s="2343" t="s">
        <v>44</v>
      </c>
      <c r="AC8" s="3356" t="s">
        <v>26</v>
      </c>
      <c r="AD8" s="4550" t="s">
        <v>45</v>
      </c>
      <c r="AE8" s="4551"/>
      <c r="AF8" s="4550" t="s">
        <v>46</v>
      </c>
      <c r="AG8" s="4551"/>
      <c r="AH8" s="4550" t="s">
        <v>47</v>
      </c>
      <c r="AI8" s="4551"/>
      <c r="AJ8" s="4550" t="s">
        <v>48</v>
      </c>
      <c r="AK8" s="4551"/>
      <c r="AL8" s="4550" t="s">
        <v>49</v>
      </c>
      <c r="AM8" s="4551"/>
      <c r="AN8" s="4550" t="s">
        <v>50</v>
      </c>
      <c r="AO8" s="4551"/>
      <c r="AP8" s="4550" t="s">
        <v>51</v>
      </c>
      <c r="AQ8" s="4551"/>
      <c r="AR8" s="4550" t="s">
        <v>52</v>
      </c>
      <c r="AS8" s="4551"/>
      <c r="AT8" s="4550" t="s">
        <v>53</v>
      </c>
      <c r="AU8" s="4551"/>
      <c r="AV8" s="4550" t="s">
        <v>54</v>
      </c>
      <c r="AW8" s="4551"/>
      <c r="AX8" s="4550" t="s">
        <v>55</v>
      </c>
      <c r="AY8" s="4551"/>
      <c r="AZ8" s="4550" t="s">
        <v>56</v>
      </c>
      <c r="BA8" s="4551"/>
      <c r="BB8" s="4552" t="s">
        <v>57</v>
      </c>
      <c r="BC8" s="4553"/>
      <c r="BD8" s="4552" t="s">
        <v>58</v>
      </c>
      <c r="BE8" s="4553"/>
      <c r="BF8" s="4552" t="s">
        <v>59</v>
      </c>
      <c r="BG8" s="4553"/>
      <c r="BH8" s="4564"/>
      <c r="BI8" s="4565"/>
      <c r="BJ8" s="2336" t="s">
        <v>60</v>
      </c>
      <c r="BK8" s="2499" t="s">
        <v>136</v>
      </c>
      <c r="BL8" s="2336" t="s">
        <v>137</v>
      </c>
      <c r="BM8" s="2501" t="s">
        <v>63</v>
      </c>
      <c r="BN8" s="2334" t="s">
        <v>64</v>
      </c>
      <c r="BO8" s="2335"/>
      <c r="BP8" s="2336" t="s">
        <v>65</v>
      </c>
      <c r="BQ8" s="4215"/>
      <c r="BR8" s="4216"/>
      <c r="BS8" s="4218"/>
      <c r="BT8" s="4216"/>
      <c r="BU8" s="2639"/>
    </row>
    <row r="9" spans="1:73" ht="32.25" customHeight="1" x14ac:dyDescent="0.25">
      <c r="A9" s="2537"/>
      <c r="B9" s="4558"/>
      <c r="C9" s="2343"/>
      <c r="D9" s="3356"/>
      <c r="E9" s="3356"/>
      <c r="F9" s="3356"/>
      <c r="G9" s="3356"/>
      <c r="H9" s="3356"/>
      <c r="I9" s="3356"/>
      <c r="J9" s="3356"/>
      <c r="K9" s="3356"/>
      <c r="L9" s="3356"/>
      <c r="M9" s="3356"/>
      <c r="N9" s="3356"/>
      <c r="O9" s="1037" t="s">
        <v>138</v>
      </c>
      <c r="P9" s="1202" t="s">
        <v>139</v>
      </c>
      <c r="Q9" s="3356"/>
      <c r="R9" s="3356"/>
      <c r="S9" s="3365"/>
      <c r="T9" s="3366"/>
      <c r="U9" s="3356"/>
      <c r="V9" s="3356"/>
      <c r="W9" s="3356"/>
      <c r="X9" s="1038" t="s">
        <v>68</v>
      </c>
      <c r="Y9" s="1038" t="s">
        <v>1628</v>
      </c>
      <c r="Z9" s="1038" t="s">
        <v>141</v>
      </c>
      <c r="AA9" s="3356"/>
      <c r="AB9" s="2343"/>
      <c r="AC9" s="3356"/>
      <c r="AD9" s="774" t="s">
        <v>66</v>
      </c>
      <c r="AE9" s="775" t="s">
        <v>67</v>
      </c>
      <c r="AF9" s="775" t="s">
        <v>66</v>
      </c>
      <c r="AG9" s="775" t="s">
        <v>67</v>
      </c>
      <c r="AH9" s="775" t="s">
        <v>66</v>
      </c>
      <c r="AI9" s="775" t="s">
        <v>67</v>
      </c>
      <c r="AJ9" s="775" t="s">
        <v>66</v>
      </c>
      <c r="AK9" s="775" t="s">
        <v>67</v>
      </c>
      <c r="AL9" s="775" t="s">
        <v>66</v>
      </c>
      <c r="AM9" s="775" t="s">
        <v>67</v>
      </c>
      <c r="AN9" s="775" t="s">
        <v>66</v>
      </c>
      <c r="AO9" s="775" t="s">
        <v>67</v>
      </c>
      <c r="AP9" s="775" t="s">
        <v>66</v>
      </c>
      <c r="AQ9" s="775" t="s">
        <v>67</v>
      </c>
      <c r="AR9" s="775" t="s">
        <v>66</v>
      </c>
      <c r="AS9" s="775" t="s">
        <v>67</v>
      </c>
      <c r="AT9" s="775" t="s">
        <v>66</v>
      </c>
      <c r="AU9" s="775" t="s">
        <v>67</v>
      </c>
      <c r="AV9" s="775" t="s">
        <v>66</v>
      </c>
      <c r="AW9" s="775" t="s">
        <v>67</v>
      </c>
      <c r="AX9" s="775" t="s">
        <v>66</v>
      </c>
      <c r="AY9" s="775" t="s">
        <v>67</v>
      </c>
      <c r="AZ9" s="775" t="s">
        <v>66</v>
      </c>
      <c r="BA9" s="775" t="s">
        <v>67</v>
      </c>
      <c r="BB9" s="775" t="s">
        <v>66</v>
      </c>
      <c r="BC9" s="775" t="s">
        <v>67</v>
      </c>
      <c r="BD9" s="775" t="s">
        <v>66</v>
      </c>
      <c r="BE9" s="775" t="s">
        <v>67</v>
      </c>
      <c r="BF9" s="775" t="s">
        <v>66</v>
      </c>
      <c r="BG9" s="775" t="s">
        <v>67</v>
      </c>
      <c r="BH9" s="775" t="s">
        <v>66</v>
      </c>
      <c r="BI9" s="775" t="s">
        <v>67</v>
      </c>
      <c r="BJ9" s="2337"/>
      <c r="BK9" s="2500"/>
      <c r="BL9" s="2337"/>
      <c r="BM9" s="2502"/>
      <c r="BN9" s="15" t="s">
        <v>25</v>
      </c>
      <c r="BO9" s="1017" t="s">
        <v>26</v>
      </c>
      <c r="BP9" s="2337"/>
      <c r="BQ9" s="776" t="s">
        <v>66</v>
      </c>
      <c r="BR9" s="777" t="s">
        <v>67</v>
      </c>
      <c r="BS9" s="777" t="s">
        <v>66</v>
      </c>
      <c r="BT9" s="777" t="s">
        <v>67</v>
      </c>
      <c r="BU9" s="1029"/>
    </row>
    <row r="10" spans="1:73" ht="27" customHeight="1" x14ac:dyDescent="0.25">
      <c r="A10" s="1203">
        <v>1</v>
      </c>
      <c r="B10" s="4548" t="s">
        <v>408</v>
      </c>
      <c r="C10" s="4549"/>
      <c r="D10" s="4549"/>
      <c r="E10" s="4549"/>
      <c r="F10" s="4549"/>
      <c r="G10" s="1204"/>
      <c r="H10" s="1204"/>
      <c r="I10" s="1204"/>
      <c r="J10" s="1204"/>
      <c r="K10" s="1204"/>
      <c r="L10" s="1204"/>
      <c r="M10" s="1204"/>
      <c r="N10" s="1204"/>
      <c r="O10" s="1205" t="s">
        <v>319</v>
      </c>
      <c r="P10" s="1205"/>
      <c r="Q10" s="1204" t="s">
        <v>319</v>
      </c>
      <c r="R10" s="1204" t="s">
        <v>319</v>
      </c>
      <c r="S10" s="1204" t="s">
        <v>319</v>
      </c>
      <c r="T10" s="1204" t="s">
        <v>319</v>
      </c>
      <c r="U10" s="1204" t="s">
        <v>319</v>
      </c>
      <c r="V10" s="1204" t="s">
        <v>319</v>
      </c>
      <c r="W10" s="1206" t="s">
        <v>319</v>
      </c>
      <c r="X10" s="1204" t="s">
        <v>319</v>
      </c>
      <c r="Y10" s="1204"/>
      <c r="Z10" s="1204"/>
      <c r="AA10" s="1204" t="s">
        <v>319</v>
      </c>
      <c r="AB10" s="1205" t="s">
        <v>319</v>
      </c>
      <c r="AC10" s="1204" t="s">
        <v>319</v>
      </c>
      <c r="AD10" s="1207" t="s">
        <v>319</v>
      </c>
      <c r="AE10" s="1207"/>
      <c r="AF10" s="1207" t="s">
        <v>319</v>
      </c>
      <c r="AG10" s="1207"/>
      <c r="AH10" s="1207" t="s">
        <v>319</v>
      </c>
      <c r="AI10" s="1207"/>
      <c r="AJ10" s="1207" t="s">
        <v>319</v>
      </c>
      <c r="AK10" s="1207"/>
      <c r="AL10" s="1207" t="s">
        <v>319</v>
      </c>
      <c r="AM10" s="1207"/>
      <c r="AN10" s="1207" t="s">
        <v>319</v>
      </c>
      <c r="AO10" s="1207"/>
      <c r="AP10" s="1207" t="s">
        <v>319</v>
      </c>
      <c r="AQ10" s="1207"/>
      <c r="AR10" s="1207" t="s">
        <v>319</v>
      </c>
      <c r="AS10" s="1207"/>
      <c r="AT10" s="1207" t="s">
        <v>319</v>
      </c>
      <c r="AU10" s="1207"/>
      <c r="AV10" s="1207" t="s">
        <v>319</v>
      </c>
      <c r="AW10" s="1207"/>
      <c r="AX10" s="1207" t="s">
        <v>319</v>
      </c>
      <c r="AY10" s="1207"/>
      <c r="AZ10" s="1207" t="s">
        <v>319</v>
      </c>
      <c r="BA10" s="1207"/>
      <c r="BB10" s="1207" t="s">
        <v>319</v>
      </c>
      <c r="BC10" s="1207"/>
      <c r="BD10" s="1207" t="s">
        <v>319</v>
      </c>
      <c r="BE10" s="1207"/>
      <c r="BF10" s="1207" t="s">
        <v>319</v>
      </c>
      <c r="BG10" s="1207"/>
      <c r="BH10" s="1207" t="s">
        <v>319</v>
      </c>
      <c r="BI10" s="1207"/>
      <c r="BJ10" s="1207"/>
      <c r="BK10" s="1207"/>
      <c r="BL10" s="1207"/>
      <c r="BM10" s="1207"/>
      <c r="BN10" s="1207"/>
      <c r="BO10" s="1207"/>
      <c r="BP10" s="1207"/>
      <c r="BQ10" s="1204" t="s">
        <v>319</v>
      </c>
      <c r="BR10" s="1204"/>
      <c r="BS10" s="1204" t="s">
        <v>319</v>
      </c>
      <c r="BT10" s="1204"/>
      <c r="BU10" s="1208" t="s">
        <v>319</v>
      </c>
    </row>
    <row r="11" spans="1:73" ht="27" customHeight="1" x14ac:dyDescent="0.25">
      <c r="A11" s="1209"/>
      <c r="B11" s="1210"/>
      <c r="C11" s="1211">
        <v>43</v>
      </c>
      <c r="D11" s="2618" t="s">
        <v>493</v>
      </c>
      <c r="E11" s="3156"/>
      <c r="F11" s="3156"/>
      <c r="G11" s="3156"/>
      <c r="H11" s="3156"/>
      <c r="I11" s="1028"/>
      <c r="J11" s="1028"/>
      <c r="K11" s="1212"/>
      <c r="L11" s="1212"/>
      <c r="M11" s="1212"/>
      <c r="N11" s="1212"/>
      <c r="O11" s="1213"/>
      <c r="P11" s="1213"/>
      <c r="Q11" s="1212"/>
      <c r="R11" s="1212"/>
      <c r="S11" s="1212"/>
      <c r="T11" s="1212"/>
      <c r="U11" s="1212"/>
      <c r="V11" s="1212"/>
      <c r="W11" s="1214"/>
      <c r="X11" s="1212"/>
      <c r="Y11" s="1212"/>
      <c r="Z11" s="1212"/>
      <c r="AA11" s="1212"/>
      <c r="AB11" s="1213"/>
      <c r="AC11" s="1212"/>
      <c r="AD11" s="1215"/>
      <c r="AE11" s="1215"/>
      <c r="AF11" s="1215"/>
      <c r="AG11" s="1215"/>
      <c r="AH11" s="1215"/>
      <c r="AI11" s="1215"/>
      <c r="AJ11" s="1215"/>
      <c r="AK11" s="1215"/>
      <c r="AL11" s="1215"/>
      <c r="AM11" s="1215"/>
      <c r="AN11" s="1215"/>
      <c r="AO11" s="1215"/>
      <c r="AP11" s="1215"/>
      <c r="AQ11" s="1215"/>
      <c r="AR11" s="1215"/>
      <c r="AS11" s="1215"/>
      <c r="AT11" s="1215"/>
      <c r="AU11" s="1215"/>
      <c r="AV11" s="1215"/>
      <c r="AW11" s="1215"/>
      <c r="AX11" s="1215"/>
      <c r="AY11" s="1215"/>
      <c r="AZ11" s="1215"/>
      <c r="BA11" s="1215"/>
      <c r="BB11" s="1215"/>
      <c r="BC11" s="1215"/>
      <c r="BD11" s="1215"/>
      <c r="BE11" s="1215"/>
      <c r="BF11" s="1215"/>
      <c r="BG11" s="1215"/>
      <c r="BH11" s="1215"/>
      <c r="BI11" s="1215"/>
      <c r="BJ11" s="1215"/>
      <c r="BK11" s="1215"/>
      <c r="BL11" s="1215"/>
      <c r="BM11" s="1215"/>
      <c r="BN11" s="1215"/>
      <c r="BO11" s="1215"/>
      <c r="BP11" s="1215"/>
      <c r="BQ11" s="1212"/>
      <c r="BR11" s="1212"/>
      <c r="BS11" s="1212"/>
      <c r="BT11" s="1212"/>
      <c r="BU11" s="1216"/>
    </row>
    <row r="12" spans="1:73" x14ac:dyDescent="0.25">
      <c r="A12" s="1217" t="s">
        <v>319</v>
      </c>
      <c r="B12" s="1218" t="s">
        <v>319</v>
      </c>
      <c r="C12" s="1219"/>
      <c r="D12" s="1220"/>
      <c r="E12" s="1221">
        <v>4301</v>
      </c>
      <c r="F12" s="4545" t="s">
        <v>1629</v>
      </c>
      <c r="G12" s="4517"/>
      <c r="H12" s="4517"/>
      <c r="I12" s="4517"/>
      <c r="J12" s="4517"/>
      <c r="K12" s="4517"/>
      <c r="L12" s="4517"/>
      <c r="M12" s="4517"/>
      <c r="N12" s="4517"/>
      <c r="O12" s="4517"/>
      <c r="P12" s="4517"/>
      <c r="Q12" s="4517"/>
      <c r="R12" s="4517"/>
      <c r="S12" s="4517"/>
      <c r="T12" s="4517"/>
      <c r="U12" s="1222" t="s">
        <v>319</v>
      </c>
      <c r="V12" s="1222" t="s">
        <v>319</v>
      </c>
      <c r="W12" s="1222" t="s">
        <v>319</v>
      </c>
      <c r="X12" s="1222" t="s">
        <v>319</v>
      </c>
      <c r="Y12" s="1222"/>
      <c r="Z12" s="1222"/>
      <c r="AA12" s="1222" t="s">
        <v>319</v>
      </c>
      <c r="AB12" s="1223" t="s">
        <v>319</v>
      </c>
      <c r="AC12" s="1222" t="s">
        <v>319</v>
      </c>
      <c r="AD12" s="1224" t="s">
        <v>319</v>
      </c>
      <c r="AE12" s="1224"/>
      <c r="AF12" s="1224" t="s">
        <v>319</v>
      </c>
      <c r="AG12" s="1224"/>
      <c r="AH12" s="1224" t="s">
        <v>319</v>
      </c>
      <c r="AI12" s="1224"/>
      <c r="AJ12" s="1224" t="s">
        <v>319</v>
      </c>
      <c r="AK12" s="1224"/>
      <c r="AL12" s="1224" t="s">
        <v>319</v>
      </c>
      <c r="AM12" s="1224"/>
      <c r="AN12" s="1224" t="s">
        <v>319</v>
      </c>
      <c r="AO12" s="1224"/>
      <c r="AP12" s="1224" t="s">
        <v>319</v>
      </c>
      <c r="AQ12" s="1224"/>
      <c r="AR12" s="1224" t="s">
        <v>319</v>
      </c>
      <c r="AS12" s="1224"/>
      <c r="AT12" s="1224" t="s">
        <v>319</v>
      </c>
      <c r="AU12" s="1224"/>
      <c r="AV12" s="1224" t="s">
        <v>319</v>
      </c>
      <c r="AW12" s="1224"/>
      <c r="AX12" s="1224" t="s">
        <v>319</v>
      </c>
      <c r="AY12" s="1224"/>
      <c r="AZ12" s="1224" t="s">
        <v>319</v>
      </c>
      <c r="BA12" s="1224"/>
      <c r="BB12" s="1225" t="s">
        <v>319</v>
      </c>
      <c r="BC12" s="1225"/>
      <c r="BD12" s="1225" t="s">
        <v>319</v>
      </c>
      <c r="BE12" s="1225"/>
      <c r="BF12" s="1225" t="s">
        <v>319</v>
      </c>
      <c r="BG12" s="1225"/>
      <c r="BH12" s="1225" t="s">
        <v>319</v>
      </c>
      <c r="BI12" s="1225"/>
      <c r="BJ12" s="1225"/>
      <c r="BK12" s="1225"/>
      <c r="BL12" s="1225"/>
      <c r="BM12" s="1225"/>
      <c r="BN12" s="1226"/>
      <c r="BO12" s="1226"/>
      <c r="BP12" s="1225"/>
      <c r="BQ12" s="1227" t="s">
        <v>319</v>
      </c>
      <c r="BR12" s="1227"/>
      <c r="BS12" s="1227" t="s">
        <v>319</v>
      </c>
      <c r="BT12" s="1227"/>
      <c r="BU12" s="1228" t="s">
        <v>319</v>
      </c>
    </row>
    <row r="13" spans="1:73" ht="102.75" customHeight="1" x14ac:dyDescent="0.25">
      <c r="A13" s="1229"/>
      <c r="B13" s="1033"/>
      <c r="C13" s="1021"/>
      <c r="D13" s="1016"/>
      <c r="E13" s="1030"/>
      <c r="F13" s="1031"/>
      <c r="G13" s="4488" t="s">
        <v>74</v>
      </c>
      <c r="H13" s="4494" t="s">
        <v>1630</v>
      </c>
      <c r="I13" s="4488">
        <v>4301004</v>
      </c>
      <c r="J13" s="4494" t="s">
        <v>496</v>
      </c>
      <c r="K13" s="4488" t="s">
        <v>74</v>
      </c>
      <c r="L13" s="4494" t="s">
        <v>1631</v>
      </c>
      <c r="M13" s="4488">
        <v>430100401</v>
      </c>
      <c r="N13" s="4546" t="s">
        <v>498</v>
      </c>
      <c r="O13" s="4488">
        <v>3</v>
      </c>
      <c r="P13" s="4488">
        <v>1</v>
      </c>
      <c r="Q13" s="4488" t="s">
        <v>1632</v>
      </c>
      <c r="R13" s="4494" t="s">
        <v>1633</v>
      </c>
      <c r="S13" s="4536">
        <f>SUM(X13:X14)/T13</f>
        <v>1</v>
      </c>
      <c r="T13" s="4518">
        <f>SUM(X13:X14)</f>
        <v>308302422.89999998</v>
      </c>
      <c r="U13" s="4494" t="s">
        <v>1634</v>
      </c>
      <c r="V13" s="1230" t="s">
        <v>1635</v>
      </c>
      <c r="W13" s="1027" t="s">
        <v>1636</v>
      </c>
      <c r="X13" s="1231">
        <v>202521845.94999999</v>
      </c>
      <c r="Y13" s="1231">
        <v>61672654.649999999</v>
      </c>
      <c r="Z13" s="1231">
        <v>3209423.5</v>
      </c>
      <c r="AA13" s="1232" t="s">
        <v>1637</v>
      </c>
      <c r="AB13" s="1233">
        <v>3</v>
      </c>
      <c r="AC13" s="1233" t="s">
        <v>456</v>
      </c>
      <c r="AD13" s="4488">
        <v>295972</v>
      </c>
      <c r="AE13" s="4488">
        <f>SUM(AD13*0.2)</f>
        <v>59194.400000000001</v>
      </c>
      <c r="AF13" s="4488">
        <v>285580</v>
      </c>
      <c r="AG13" s="4488">
        <f>SUM(AF13*0.2)</f>
        <v>57116</v>
      </c>
      <c r="AH13" s="4488">
        <v>135545</v>
      </c>
      <c r="AI13" s="4488">
        <f>SUM(AH13*0.2)</f>
        <v>27109</v>
      </c>
      <c r="AJ13" s="4488">
        <v>44254</v>
      </c>
      <c r="AK13" s="4488">
        <f>SUM(AJ13*0.2)</f>
        <v>8850.8000000000011</v>
      </c>
      <c r="AL13" s="4488">
        <v>309146</v>
      </c>
      <c r="AM13" s="4488">
        <f>SUM(AL13*0.2)</f>
        <v>61829.200000000004</v>
      </c>
      <c r="AN13" s="4488">
        <v>92607</v>
      </c>
      <c r="AO13" s="4488">
        <f>SUM(AN13*0.2)</f>
        <v>18521.400000000001</v>
      </c>
      <c r="AP13" s="4488">
        <v>2145</v>
      </c>
      <c r="AQ13" s="4488">
        <f>SUM(AP13*0.2)</f>
        <v>429</v>
      </c>
      <c r="AR13" s="4488">
        <v>12718</v>
      </c>
      <c r="AS13" s="4488">
        <f>SUM(AR13*0.2)</f>
        <v>2543.6000000000004</v>
      </c>
      <c r="AT13" s="4488">
        <v>26</v>
      </c>
      <c r="AU13" s="4488">
        <f>SUM(AT13*0.2)</f>
        <v>5.2</v>
      </c>
      <c r="AV13" s="4488">
        <v>37</v>
      </c>
      <c r="AW13" s="4488">
        <f>SUM(AV13*0.2)</f>
        <v>7.4</v>
      </c>
      <c r="AX13" s="4488" t="s">
        <v>319</v>
      </c>
      <c r="AY13" s="4488"/>
      <c r="AZ13" s="4488" t="s">
        <v>319</v>
      </c>
      <c r="BA13" s="4488"/>
      <c r="BB13" s="4488">
        <v>44350</v>
      </c>
      <c r="BC13" s="4488">
        <f>SUM(BB13*0.2)</f>
        <v>8870</v>
      </c>
      <c r="BD13" s="4488">
        <v>21944</v>
      </c>
      <c r="BE13" s="4488">
        <f>SUM(BD13*0.2)</f>
        <v>4388.8</v>
      </c>
      <c r="BF13" s="4488">
        <v>75687</v>
      </c>
      <c r="BG13" s="4488">
        <f>SUM(BF13*0.2)</f>
        <v>15137.400000000001</v>
      </c>
      <c r="BH13" s="4488">
        <v>581552</v>
      </c>
      <c r="BI13" s="4488">
        <f>SUM(BH13*0.2)</f>
        <v>116310.40000000001</v>
      </c>
      <c r="BJ13" s="4544">
        <v>1</v>
      </c>
      <c r="BK13" s="4522">
        <f>SUM(Y13:Y14)</f>
        <v>61672654.649999999</v>
      </c>
      <c r="BL13" s="4522">
        <f>SUM(Z13:Z14)</f>
        <v>3209423.5</v>
      </c>
      <c r="BM13" s="4524">
        <f>SUM(BK13/T13)</f>
        <v>0.20003947445461351</v>
      </c>
      <c r="BN13" s="1234">
        <v>3</v>
      </c>
      <c r="BO13" s="1234" t="s">
        <v>456</v>
      </c>
      <c r="BP13" s="4529" t="s">
        <v>1638</v>
      </c>
      <c r="BQ13" s="4507">
        <v>44197</v>
      </c>
      <c r="BR13" s="4507">
        <v>44197</v>
      </c>
      <c r="BS13" s="4507">
        <v>44561</v>
      </c>
      <c r="BT13" s="4507">
        <v>44561</v>
      </c>
      <c r="BU13" s="4488" t="s">
        <v>1639</v>
      </c>
    </row>
    <row r="14" spans="1:73" ht="102.75" customHeight="1" x14ac:dyDescent="0.25">
      <c r="A14" s="1229"/>
      <c r="B14" s="1033"/>
      <c r="C14" s="1022"/>
      <c r="D14" s="1032"/>
      <c r="E14" s="1022"/>
      <c r="F14" s="1032"/>
      <c r="G14" s="4490"/>
      <c r="H14" s="4495"/>
      <c r="I14" s="4490"/>
      <c r="J14" s="4495"/>
      <c r="K14" s="4490"/>
      <c r="L14" s="4495"/>
      <c r="M14" s="4490"/>
      <c r="N14" s="4547"/>
      <c r="O14" s="4490"/>
      <c r="P14" s="4490"/>
      <c r="Q14" s="4490"/>
      <c r="R14" s="4495"/>
      <c r="S14" s="4538"/>
      <c r="T14" s="4520"/>
      <c r="U14" s="4495"/>
      <c r="V14" s="1235" t="s">
        <v>1640</v>
      </c>
      <c r="W14" s="1026" t="s">
        <v>1641</v>
      </c>
      <c r="X14" s="1236">
        <v>105780576.95</v>
      </c>
      <c r="Y14" s="1236">
        <v>0</v>
      </c>
      <c r="Z14" s="1236">
        <v>0</v>
      </c>
      <c r="AA14" s="1237" t="s">
        <v>1642</v>
      </c>
      <c r="AB14" s="1238">
        <v>3</v>
      </c>
      <c r="AC14" s="1238" t="s">
        <v>456</v>
      </c>
      <c r="AD14" s="4490"/>
      <c r="AE14" s="4490"/>
      <c r="AF14" s="4490"/>
      <c r="AG14" s="4490"/>
      <c r="AH14" s="4490"/>
      <c r="AI14" s="4490"/>
      <c r="AJ14" s="4490"/>
      <c r="AK14" s="4490"/>
      <c r="AL14" s="4490"/>
      <c r="AM14" s="4490"/>
      <c r="AN14" s="4490"/>
      <c r="AO14" s="4490"/>
      <c r="AP14" s="4490"/>
      <c r="AQ14" s="4490"/>
      <c r="AR14" s="4490"/>
      <c r="AS14" s="4490"/>
      <c r="AT14" s="4490"/>
      <c r="AU14" s="4490"/>
      <c r="AV14" s="4490"/>
      <c r="AW14" s="4490"/>
      <c r="AX14" s="4490"/>
      <c r="AY14" s="4490"/>
      <c r="AZ14" s="4490"/>
      <c r="BA14" s="4490"/>
      <c r="BB14" s="4490"/>
      <c r="BC14" s="4490"/>
      <c r="BD14" s="4490"/>
      <c r="BE14" s="4490"/>
      <c r="BF14" s="4490"/>
      <c r="BG14" s="4490"/>
      <c r="BH14" s="4490"/>
      <c r="BI14" s="4490"/>
      <c r="BJ14" s="4152"/>
      <c r="BK14" s="4490"/>
      <c r="BL14" s="4490"/>
      <c r="BM14" s="4526"/>
      <c r="BN14" s="1239">
        <v>3</v>
      </c>
      <c r="BO14" s="1239" t="s">
        <v>456</v>
      </c>
      <c r="BP14" s="4531"/>
      <c r="BQ14" s="4509"/>
      <c r="BR14" s="4509"/>
      <c r="BS14" s="4509"/>
      <c r="BT14" s="4509"/>
      <c r="BU14" s="4490"/>
    </row>
    <row r="15" spans="1:73" ht="29.25" customHeight="1" x14ac:dyDescent="0.25">
      <c r="A15" s="1229"/>
      <c r="B15" s="1016"/>
      <c r="C15" s="1240">
        <v>22</v>
      </c>
      <c r="D15" s="2618" t="s">
        <v>442</v>
      </c>
      <c r="E15" s="3156"/>
      <c r="F15" s="3156"/>
      <c r="G15" s="3156"/>
      <c r="H15" s="3156"/>
      <c r="I15" s="862"/>
      <c r="J15" s="862"/>
      <c r="K15" s="862"/>
      <c r="L15" s="1241"/>
      <c r="M15" s="862"/>
      <c r="N15" s="862"/>
      <c r="O15" s="862"/>
      <c r="P15" s="862"/>
      <c r="Q15" s="862"/>
      <c r="R15" s="1241"/>
      <c r="S15" s="1242"/>
      <c r="T15" s="1243"/>
      <c r="U15" s="1241"/>
      <c r="V15" s="1241"/>
      <c r="W15" s="1241"/>
      <c r="X15" s="1244"/>
      <c r="Y15" s="1244"/>
      <c r="Z15" s="1244"/>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2"/>
      <c r="BJ15" s="862"/>
      <c r="BK15" s="862"/>
      <c r="BL15" s="862"/>
      <c r="BM15" s="862"/>
      <c r="BN15" s="844"/>
      <c r="BO15" s="844"/>
      <c r="BP15" s="862"/>
      <c r="BQ15" s="862"/>
      <c r="BR15" s="862"/>
      <c r="BS15" s="862"/>
      <c r="BT15" s="862"/>
      <c r="BU15" s="1245"/>
    </row>
    <row r="16" spans="1:73" ht="29.25" customHeight="1" x14ac:dyDescent="0.25">
      <c r="A16" s="1217" t="s">
        <v>319</v>
      </c>
      <c r="B16" s="44" t="s">
        <v>319</v>
      </c>
      <c r="C16" s="320"/>
      <c r="D16" s="46"/>
      <c r="E16" s="1246">
        <v>2201</v>
      </c>
      <c r="F16" s="1247" t="s">
        <v>1643</v>
      </c>
      <c r="G16" s="1248"/>
      <c r="H16" s="1249"/>
      <c r="I16" s="1248"/>
      <c r="J16" s="1248"/>
      <c r="K16" s="1248"/>
      <c r="L16" s="1249"/>
      <c r="M16" s="1248"/>
      <c r="N16" s="1248"/>
      <c r="O16" s="1248"/>
      <c r="P16" s="1248"/>
      <c r="Q16" s="1248"/>
      <c r="R16" s="1249"/>
      <c r="S16" s="1223" t="s">
        <v>319</v>
      </c>
      <c r="T16" s="1250" t="s">
        <v>319</v>
      </c>
      <c r="U16" s="1251" t="s">
        <v>319</v>
      </c>
      <c r="V16" s="1251" t="s">
        <v>319</v>
      </c>
      <c r="W16" s="1251" t="s">
        <v>319</v>
      </c>
      <c r="X16" s="1252"/>
      <c r="Y16" s="1252"/>
      <c r="Z16" s="1252"/>
      <c r="AA16" s="1223" t="s">
        <v>319</v>
      </c>
      <c r="AB16" s="1223" t="s">
        <v>319</v>
      </c>
      <c r="AC16" s="1223" t="s">
        <v>319</v>
      </c>
      <c r="AD16" s="1253" t="s">
        <v>319</v>
      </c>
      <c r="AE16" s="1253"/>
      <c r="AF16" s="1253" t="s">
        <v>319</v>
      </c>
      <c r="AG16" s="1253"/>
      <c r="AH16" s="1253" t="s">
        <v>319</v>
      </c>
      <c r="AI16" s="1253"/>
      <c r="AJ16" s="1253" t="s">
        <v>319</v>
      </c>
      <c r="AK16" s="1253"/>
      <c r="AL16" s="1253" t="s">
        <v>319</v>
      </c>
      <c r="AM16" s="1253"/>
      <c r="AN16" s="1253" t="s">
        <v>319</v>
      </c>
      <c r="AO16" s="1253"/>
      <c r="AP16" s="1253" t="s">
        <v>319</v>
      </c>
      <c r="AQ16" s="1253"/>
      <c r="AR16" s="1253" t="s">
        <v>319</v>
      </c>
      <c r="AS16" s="1253"/>
      <c r="AT16" s="1253" t="s">
        <v>319</v>
      </c>
      <c r="AU16" s="1253"/>
      <c r="AV16" s="1253" t="s">
        <v>319</v>
      </c>
      <c r="AW16" s="1253"/>
      <c r="AX16" s="1253" t="s">
        <v>319</v>
      </c>
      <c r="AY16" s="1253"/>
      <c r="AZ16" s="1253" t="s">
        <v>319</v>
      </c>
      <c r="BA16" s="1253"/>
      <c r="BB16" s="1254" t="s">
        <v>319</v>
      </c>
      <c r="BC16" s="1254"/>
      <c r="BD16" s="1254" t="s">
        <v>319</v>
      </c>
      <c r="BE16" s="1254"/>
      <c r="BF16" s="1254" t="s">
        <v>319</v>
      </c>
      <c r="BG16" s="1254"/>
      <c r="BH16" s="1254" t="s">
        <v>319</v>
      </c>
      <c r="BI16" s="1254"/>
      <c r="BJ16" s="1254"/>
      <c r="BK16" s="1254"/>
      <c r="BL16" s="1254"/>
      <c r="BM16" s="1254"/>
      <c r="BN16" s="1255"/>
      <c r="BO16" s="1254"/>
      <c r="BP16" s="1254"/>
      <c r="BQ16" s="1256" t="s">
        <v>319</v>
      </c>
      <c r="BR16" s="1256"/>
      <c r="BS16" s="1256" t="s">
        <v>319</v>
      </c>
      <c r="BT16" s="1256"/>
      <c r="BU16" s="1257" t="s">
        <v>319</v>
      </c>
    </row>
    <row r="17" spans="1:73" ht="105" customHeight="1" x14ac:dyDescent="0.25">
      <c r="A17" s="1258" t="s">
        <v>319</v>
      </c>
      <c r="B17" s="1238" t="s">
        <v>319</v>
      </c>
      <c r="C17" s="1259"/>
      <c r="D17" s="1238"/>
      <c r="E17" s="1259" t="s">
        <v>319</v>
      </c>
      <c r="F17" s="1259" t="s">
        <v>319</v>
      </c>
      <c r="G17" s="4488" t="s">
        <v>1411</v>
      </c>
      <c r="H17" s="4499" t="s">
        <v>1644</v>
      </c>
      <c r="I17" s="4488">
        <v>2201062</v>
      </c>
      <c r="J17" s="4494" t="s">
        <v>445</v>
      </c>
      <c r="K17" s="4488" t="s">
        <v>74</v>
      </c>
      <c r="L17" s="4494" t="s">
        <v>1645</v>
      </c>
      <c r="M17" s="4488">
        <v>220106200</v>
      </c>
      <c r="N17" s="4543" t="s">
        <v>447</v>
      </c>
      <c r="O17" s="4488">
        <v>15</v>
      </c>
      <c r="P17" s="4488">
        <v>0</v>
      </c>
      <c r="Q17" s="4488" t="s">
        <v>1646</v>
      </c>
      <c r="R17" s="4494" t="s">
        <v>1647</v>
      </c>
      <c r="S17" s="4536">
        <f>SUM(X17:X18)/T17</f>
        <v>1</v>
      </c>
      <c r="T17" s="4518">
        <f>SUM(X17:X18)</f>
        <v>308302422.89999998</v>
      </c>
      <c r="U17" s="4494" t="s">
        <v>1648</v>
      </c>
      <c r="V17" s="1235" t="s">
        <v>1649</v>
      </c>
      <c r="W17" s="1027" t="s">
        <v>1650</v>
      </c>
      <c r="X17" s="1231">
        <v>202521845.94999999</v>
      </c>
      <c r="Y17" s="1231">
        <v>15000000</v>
      </c>
      <c r="Z17" s="1231">
        <v>3209423.5</v>
      </c>
      <c r="AA17" s="1232" t="s">
        <v>1651</v>
      </c>
      <c r="AB17" s="1233">
        <v>3</v>
      </c>
      <c r="AC17" s="1233" t="s">
        <v>456</v>
      </c>
      <c r="AD17" s="4488">
        <v>295972</v>
      </c>
      <c r="AE17" s="4488">
        <f>SUM(AD17*0.05)</f>
        <v>14798.6</v>
      </c>
      <c r="AF17" s="4488">
        <v>285580</v>
      </c>
      <c r="AG17" s="4488">
        <f>SUM(AF17*0.05)</f>
        <v>14279</v>
      </c>
      <c r="AH17" s="4488">
        <v>135545</v>
      </c>
      <c r="AI17" s="4488">
        <f>SUM(AH17*0.05)</f>
        <v>6777.25</v>
      </c>
      <c r="AJ17" s="4488">
        <v>44254</v>
      </c>
      <c r="AK17" s="4488">
        <f>SUM(AJ17*0.05)</f>
        <v>2212.7000000000003</v>
      </c>
      <c r="AL17" s="4488">
        <v>309146</v>
      </c>
      <c r="AM17" s="4488">
        <f>SUM(AL17*0.05)</f>
        <v>15457.300000000001</v>
      </c>
      <c r="AN17" s="4488">
        <v>92607</v>
      </c>
      <c r="AO17" s="4488">
        <f>SUM(AN17*0.05)</f>
        <v>4630.3500000000004</v>
      </c>
      <c r="AP17" s="4488">
        <v>2145</v>
      </c>
      <c r="AQ17" s="4488">
        <f>SUM(AP17*0.05)</f>
        <v>107.25</v>
      </c>
      <c r="AR17" s="4488">
        <v>12718</v>
      </c>
      <c r="AS17" s="4488">
        <f>SUM(AR17*0.05)</f>
        <v>635.90000000000009</v>
      </c>
      <c r="AT17" s="4488">
        <v>26</v>
      </c>
      <c r="AU17" s="4488">
        <f>SUM(AT17*0.05)</f>
        <v>1.3</v>
      </c>
      <c r="AV17" s="4488">
        <v>37</v>
      </c>
      <c r="AW17" s="4488">
        <f>SUM(AV17*0.05)</f>
        <v>1.85</v>
      </c>
      <c r="AX17" s="4488" t="s">
        <v>319</v>
      </c>
      <c r="AY17" s="4488"/>
      <c r="AZ17" s="4488" t="s">
        <v>319</v>
      </c>
      <c r="BA17" s="4488"/>
      <c r="BB17" s="4488">
        <v>44350</v>
      </c>
      <c r="BC17" s="4488">
        <f>SUM(BB17*0.05)</f>
        <v>2217.5</v>
      </c>
      <c r="BD17" s="4488">
        <v>21944</v>
      </c>
      <c r="BE17" s="4488">
        <f>SUM(BD17*0.05)</f>
        <v>1097.2</v>
      </c>
      <c r="BF17" s="4488">
        <v>75687</v>
      </c>
      <c r="BG17" s="4488">
        <f>SUM(BF17*0.05)</f>
        <v>3784.3500000000004</v>
      </c>
      <c r="BH17" s="4488">
        <v>581552</v>
      </c>
      <c r="BI17" s="4488">
        <f>SUM(BH17*0.05)</f>
        <v>29077.600000000002</v>
      </c>
      <c r="BJ17" s="4488">
        <v>1</v>
      </c>
      <c r="BK17" s="4522">
        <f>SUM(Y17:Y18)</f>
        <v>15000000</v>
      </c>
      <c r="BL17" s="4522">
        <f>SUM(Z17:Z18)</f>
        <v>3209423.5</v>
      </c>
      <c r="BM17" s="4513">
        <f>SUM(BK17/T17)</f>
        <v>4.8653526167276841E-2</v>
      </c>
      <c r="BN17" s="1234">
        <v>3</v>
      </c>
      <c r="BO17" s="1234" t="s">
        <v>456</v>
      </c>
      <c r="BP17" s="4488" t="s">
        <v>1638</v>
      </c>
      <c r="BQ17" s="4507">
        <v>44197</v>
      </c>
      <c r="BR17" s="4507">
        <v>44197</v>
      </c>
      <c r="BS17" s="4507">
        <v>44561</v>
      </c>
      <c r="BT17" s="4507">
        <v>44561</v>
      </c>
      <c r="BU17" s="4488" t="s">
        <v>1639</v>
      </c>
    </row>
    <row r="18" spans="1:73" ht="105" customHeight="1" x14ac:dyDescent="0.25">
      <c r="A18" s="1260"/>
      <c r="B18" s="1233"/>
      <c r="C18" s="1261"/>
      <c r="D18" s="1233"/>
      <c r="E18" s="1259"/>
      <c r="F18" s="1259"/>
      <c r="G18" s="4490"/>
      <c r="H18" s="4501"/>
      <c r="I18" s="4490"/>
      <c r="J18" s="4495"/>
      <c r="K18" s="4490"/>
      <c r="L18" s="4495"/>
      <c r="M18" s="4490"/>
      <c r="N18" s="3185"/>
      <c r="O18" s="4490"/>
      <c r="P18" s="4490"/>
      <c r="Q18" s="4490"/>
      <c r="R18" s="4495"/>
      <c r="S18" s="4538"/>
      <c r="T18" s="4520"/>
      <c r="U18" s="4495"/>
      <c r="V18" s="1262" t="s">
        <v>1652</v>
      </c>
      <c r="W18" s="1025" t="s">
        <v>1653</v>
      </c>
      <c r="X18" s="1263">
        <v>105780576.95</v>
      </c>
      <c r="Y18" s="1263">
        <v>0</v>
      </c>
      <c r="Z18" s="1263">
        <v>0</v>
      </c>
      <c r="AA18" s="1237" t="s">
        <v>1654</v>
      </c>
      <c r="AB18" s="1238">
        <v>3</v>
      </c>
      <c r="AC18" s="1238" t="s">
        <v>456</v>
      </c>
      <c r="AD18" s="4490"/>
      <c r="AE18" s="4490"/>
      <c r="AF18" s="4490"/>
      <c r="AG18" s="4490"/>
      <c r="AH18" s="4490"/>
      <c r="AI18" s="4490"/>
      <c r="AJ18" s="4490"/>
      <c r="AK18" s="4490"/>
      <c r="AL18" s="4490"/>
      <c r="AM18" s="4490"/>
      <c r="AN18" s="4490"/>
      <c r="AO18" s="4490"/>
      <c r="AP18" s="4490"/>
      <c r="AQ18" s="4490"/>
      <c r="AR18" s="4490"/>
      <c r="AS18" s="4490"/>
      <c r="AT18" s="4490"/>
      <c r="AU18" s="4490"/>
      <c r="AV18" s="4490"/>
      <c r="AW18" s="4490"/>
      <c r="AX18" s="4490"/>
      <c r="AY18" s="4490"/>
      <c r="AZ18" s="4490"/>
      <c r="BA18" s="4490"/>
      <c r="BB18" s="4490"/>
      <c r="BC18" s="4490"/>
      <c r="BD18" s="4490"/>
      <c r="BE18" s="4490"/>
      <c r="BF18" s="4490"/>
      <c r="BG18" s="4490"/>
      <c r="BH18" s="4490"/>
      <c r="BI18" s="4490"/>
      <c r="BJ18" s="4490"/>
      <c r="BK18" s="4490"/>
      <c r="BL18" s="4490"/>
      <c r="BM18" s="4515"/>
      <c r="BN18" s="1239">
        <v>3</v>
      </c>
      <c r="BO18" s="1234" t="s">
        <v>456</v>
      </c>
      <c r="BP18" s="4490"/>
      <c r="BQ18" s="4509"/>
      <c r="BR18" s="4509"/>
      <c r="BS18" s="4509"/>
      <c r="BT18" s="4509"/>
      <c r="BU18" s="4490"/>
    </row>
    <row r="19" spans="1:73" ht="23.25" customHeight="1" x14ac:dyDescent="0.25">
      <c r="A19" s="18">
        <v>3</v>
      </c>
      <c r="B19" s="2338" t="s">
        <v>1655</v>
      </c>
      <c r="C19" s="2339"/>
      <c r="D19" s="2339"/>
      <c r="E19" s="4539"/>
      <c r="F19" s="4539"/>
      <c r="G19" s="1264"/>
      <c r="H19" s="1264"/>
      <c r="I19" s="1264"/>
      <c r="J19" s="1264"/>
      <c r="K19" s="1264"/>
      <c r="L19" s="1264"/>
      <c r="M19" s="1264"/>
      <c r="N19" s="1264"/>
      <c r="O19" s="1264" t="s">
        <v>319</v>
      </c>
      <c r="P19" s="1264"/>
      <c r="Q19" s="1264" t="s">
        <v>319</v>
      </c>
      <c r="R19" s="1265" t="s">
        <v>319</v>
      </c>
      <c r="S19" s="1264" t="s">
        <v>319</v>
      </c>
      <c r="T19" s="1266" t="s">
        <v>319</v>
      </c>
      <c r="U19" s="1264" t="s">
        <v>319</v>
      </c>
      <c r="V19" s="1264" t="s">
        <v>319</v>
      </c>
      <c r="W19" s="1264" t="s">
        <v>319</v>
      </c>
      <c r="X19" s="1267" t="s">
        <v>319</v>
      </c>
      <c r="Y19" s="1267"/>
      <c r="Z19" s="1267"/>
      <c r="AA19" s="1264" t="s">
        <v>319</v>
      </c>
      <c r="AB19" s="1264" t="s">
        <v>319</v>
      </c>
      <c r="AC19" s="1264" t="s">
        <v>319</v>
      </c>
      <c r="AD19" s="1268" t="s">
        <v>319</v>
      </c>
      <c r="AE19" s="1268"/>
      <c r="AF19" s="1268" t="s">
        <v>319</v>
      </c>
      <c r="AG19" s="1268"/>
      <c r="AH19" s="1268" t="s">
        <v>319</v>
      </c>
      <c r="AI19" s="1268"/>
      <c r="AJ19" s="1268" t="s">
        <v>319</v>
      </c>
      <c r="AK19" s="1268"/>
      <c r="AL19" s="1268" t="s">
        <v>319</v>
      </c>
      <c r="AM19" s="1268"/>
      <c r="AN19" s="1268" t="s">
        <v>319</v>
      </c>
      <c r="AO19" s="1268"/>
      <c r="AP19" s="1268" t="s">
        <v>319</v>
      </c>
      <c r="AQ19" s="1268"/>
      <c r="AR19" s="1268" t="s">
        <v>319</v>
      </c>
      <c r="AS19" s="1268"/>
      <c r="AT19" s="1268" t="s">
        <v>319</v>
      </c>
      <c r="AU19" s="1268"/>
      <c r="AV19" s="1268" t="s">
        <v>319</v>
      </c>
      <c r="AW19" s="1268"/>
      <c r="AX19" s="1268" t="s">
        <v>319</v>
      </c>
      <c r="AY19" s="1268"/>
      <c r="AZ19" s="1268" t="s">
        <v>319</v>
      </c>
      <c r="BA19" s="1268"/>
      <c r="BB19" s="1269" t="s">
        <v>319</v>
      </c>
      <c r="BC19" s="1269"/>
      <c r="BD19" s="1269" t="s">
        <v>319</v>
      </c>
      <c r="BE19" s="1269"/>
      <c r="BF19" s="1269" t="s">
        <v>319</v>
      </c>
      <c r="BG19" s="1269"/>
      <c r="BH19" s="1269" t="s">
        <v>319</v>
      </c>
      <c r="BI19" s="1269"/>
      <c r="BJ19" s="1269"/>
      <c r="BK19" s="1269"/>
      <c r="BL19" s="1269"/>
      <c r="BM19" s="1269"/>
      <c r="BN19" s="1270"/>
      <c r="BO19" s="1269"/>
      <c r="BP19" s="1269"/>
      <c r="BQ19" s="1265" t="s">
        <v>319</v>
      </c>
      <c r="BR19" s="1265"/>
      <c r="BS19" s="1265" t="s">
        <v>319</v>
      </c>
      <c r="BT19" s="1265"/>
      <c r="BU19" s="1271" t="s">
        <v>319</v>
      </c>
    </row>
    <row r="20" spans="1:73" ht="23.25" customHeight="1" x14ac:dyDescent="0.25">
      <c r="A20" s="1219"/>
      <c r="B20" s="46"/>
      <c r="C20" s="1272">
        <v>24</v>
      </c>
      <c r="D20" s="1273" t="s">
        <v>526</v>
      </c>
      <c r="E20" s="1211"/>
      <c r="F20" s="1211"/>
      <c r="G20" s="1211"/>
      <c r="H20" s="1211"/>
      <c r="I20" s="1211"/>
      <c r="J20" s="1211"/>
      <c r="K20" s="1211"/>
      <c r="L20" s="1211"/>
      <c r="M20" s="1211"/>
      <c r="N20" s="1211"/>
      <c r="O20" s="1211"/>
      <c r="P20" s="1211"/>
      <c r="Q20" s="1211"/>
      <c r="R20" s="540"/>
      <c r="S20" s="1211"/>
      <c r="T20" s="1274"/>
      <c r="U20" s="1211"/>
      <c r="V20" s="1211"/>
      <c r="W20" s="1211"/>
      <c r="X20" s="1275"/>
      <c r="Y20" s="1275"/>
      <c r="Z20" s="1275"/>
      <c r="AA20" s="1211"/>
      <c r="AB20" s="1211"/>
      <c r="AC20" s="1211"/>
      <c r="AD20" s="1276"/>
      <c r="AE20" s="1276"/>
      <c r="AF20" s="1276"/>
      <c r="AG20" s="1276"/>
      <c r="AH20" s="1276"/>
      <c r="AI20" s="1276"/>
      <c r="AJ20" s="1276"/>
      <c r="AK20" s="1276"/>
      <c r="AL20" s="1276"/>
      <c r="AM20" s="1276"/>
      <c r="AN20" s="1276"/>
      <c r="AO20" s="1276"/>
      <c r="AP20" s="1276"/>
      <c r="AQ20" s="1276"/>
      <c r="AR20" s="1276"/>
      <c r="AS20" s="1276"/>
      <c r="AT20" s="1276"/>
      <c r="AU20" s="1276"/>
      <c r="AV20" s="1276"/>
      <c r="AW20" s="1276"/>
      <c r="AX20" s="1276"/>
      <c r="AY20" s="1276"/>
      <c r="AZ20" s="1276"/>
      <c r="BA20" s="1276"/>
      <c r="BB20" s="1277"/>
      <c r="BC20" s="1277"/>
      <c r="BD20" s="1277"/>
      <c r="BE20" s="1277"/>
      <c r="BF20" s="1277"/>
      <c r="BG20" s="1277"/>
      <c r="BH20" s="1277"/>
      <c r="BI20" s="1277"/>
      <c r="BJ20" s="1277"/>
      <c r="BK20" s="1277"/>
      <c r="BL20" s="1277"/>
      <c r="BM20" s="1277"/>
      <c r="BN20" s="1277"/>
      <c r="BO20" s="1277"/>
      <c r="BP20" s="1277"/>
      <c r="BQ20" s="540"/>
      <c r="BR20" s="540"/>
      <c r="BS20" s="540"/>
      <c r="BT20" s="540"/>
      <c r="BU20" s="1278"/>
    </row>
    <row r="21" spans="1:73" ht="23.25" customHeight="1" x14ac:dyDescent="0.25">
      <c r="A21" s="1217" t="s">
        <v>319</v>
      </c>
      <c r="B21" s="44" t="s">
        <v>319</v>
      </c>
      <c r="C21" s="45"/>
      <c r="D21" s="46"/>
      <c r="E21" s="1246">
        <v>2402</v>
      </c>
      <c r="F21" s="3161" t="s">
        <v>527</v>
      </c>
      <c r="G21" s="3065"/>
      <c r="H21" s="3065"/>
      <c r="I21" s="3065"/>
      <c r="J21" s="3065"/>
      <c r="K21" s="3065"/>
      <c r="L21" s="3065"/>
      <c r="M21" s="3065"/>
      <c r="N21" s="3065"/>
      <c r="O21" s="3065"/>
      <c r="P21" s="3065"/>
      <c r="Q21" s="3065"/>
      <c r="R21" s="90" t="s">
        <v>319</v>
      </c>
      <c r="S21" s="391" t="s">
        <v>319</v>
      </c>
      <c r="T21" s="1279" t="s">
        <v>319</v>
      </c>
      <c r="U21" s="391" t="s">
        <v>319</v>
      </c>
      <c r="V21" s="1280" t="s">
        <v>319</v>
      </c>
      <c r="W21" s="391" t="s">
        <v>319</v>
      </c>
      <c r="X21" s="936"/>
      <c r="Y21" s="936"/>
      <c r="Z21" s="936"/>
      <c r="AA21" s="391" t="s">
        <v>319</v>
      </c>
      <c r="AB21" s="391" t="s">
        <v>319</v>
      </c>
      <c r="AC21" s="391" t="s">
        <v>319</v>
      </c>
      <c r="AD21" s="1281" t="s">
        <v>319</v>
      </c>
      <c r="AE21" s="1281"/>
      <c r="AF21" s="1281" t="s">
        <v>319</v>
      </c>
      <c r="AG21" s="1281"/>
      <c r="AH21" s="1281" t="s">
        <v>319</v>
      </c>
      <c r="AI21" s="1281"/>
      <c r="AJ21" s="1281" t="s">
        <v>319</v>
      </c>
      <c r="AK21" s="1281"/>
      <c r="AL21" s="1281" t="s">
        <v>319</v>
      </c>
      <c r="AM21" s="1281"/>
      <c r="AN21" s="1281" t="s">
        <v>319</v>
      </c>
      <c r="AO21" s="1281"/>
      <c r="AP21" s="1281" t="s">
        <v>319</v>
      </c>
      <c r="AQ21" s="1281"/>
      <c r="AR21" s="1281" t="s">
        <v>319</v>
      </c>
      <c r="AS21" s="1281"/>
      <c r="AT21" s="1281" t="s">
        <v>319</v>
      </c>
      <c r="AU21" s="1281"/>
      <c r="AV21" s="1281" t="s">
        <v>319</v>
      </c>
      <c r="AW21" s="1281"/>
      <c r="AX21" s="1281" t="s">
        <v>319</v>
      </c>
      <c r="AY21" s="1281"/>
      <c r="AZ21" s="1281" t="s">
        <v>319</v>
      </c>
      <c r="BA21" s="1281"/>
      <c r="BB21" s="1282" t="s">
        <v>319</v>
      </c>
      <c r="BC21" s="1282"/>
      <c r="BD21" s="1282" t="s">
        <v>319</v>
      </c>
      <c r="BE21" s="1282"/>
      <c r="BF21" s="1282" t="s">
        <v>319</v>
      </c>
      <c r="BG21" s="1282"/>
      <c r="BH21" s="1282" t="s">
        <v>319</v>
      </c>
      <c r="BI21" s="1282"/>
      <c r="BJ21" s="1282"/>
      <c r="BK21" s="1282"/>
      <c r="BL21" s="1282"/>
      <c r="BM21" s="1282"/>
      <c r="BN21" s="1283"/>
      <c r="BO21" s="1283"/>
      <c r="BP21" s="1282"/>
      <c r="BQ21" s="90" t="s">
        <v>319</v>
      </c>
      <c r="BR21" s="90"/>
      <c r="BS21" s="90" t="s">
        <v>319</v>
      </c>
      <c r="BT21" s="90"/>
      <c r="BU21" s="1284" t="s">
        <v>319</v>
      </c>
    </row>
    <row r="22" spans="1:73" ht="82.5" customHeight="1" x14ac:dyDescent="0.25">
      <c r="A22" s="1258" t="s">
        <v>319</v>
      </c>
      <c r="B22" s="1238" t="s">
        <v>319</v>
      </c>
      <c r="C22" s="1285"/>
      <c r="D22" s="1238"/>
      <c r="E22" s="1259" t="s">
        <v>319</v>
      </c>
      <c r="F22" s="1259" t="s">
        <v>319</v>
      </c>
      <c r="G22" s="4496" t="s">
        <v>1411</v>
      </c>
      <c r="H22" s="4499" t="s">
        <v>1656</v>
      </c>
      <c r="I22" s="4496">
        <v>2402041</v>
      </c>
      <c r="J22" s="4540" t="s">
        <v>544</v>
      </c>
      <c r="K22" s="4488" t="s">
        <v>74</v>
      </c>
      <c r="L22" s="4494" t="s">
        <v>1657</v>
      </c>
      <c r="M22" s="4488">
        <v>240204100</v>
      </c>
      <c r="N22" s="4535" t="s">
        <v>546</v>
      </c>
      <c r="O22" s="4488">
        <v>130</v>
      </c>
      <c r="P22" s="4488">
        <v>3.3</v>
      </c>
      <c r="Q22" s="4488" t="s">
        <v>1658</v>
      </c>
      <c r="R22" s="4494" t="s">
        <v>1659</v>
      </c>
      <c r="S22" s="4536">
        <f>SUM(X22:X24)/T22</f>
        <v>1</v>
      </c>
      <c r="T22" s="4518">
        <f>SUM(X22:X24)</f>
        <v>199461691.19999999</v>
      </c>
      <c r="U22" s="4494" t="s">
        <v>1660</v>
      </c>
      <c r="V22" s="1024" t="s">
        <v>1661</v>
      </c>
      <c r="W22" s="1027" t="s">
        <v>1662</v>
      </c>
      <c r="X22" s="1231">
        <v>139623124</v>
      </c>
      <c r="Y22" s="1231">
        <v>0</v>
      </c>
      <c r="Z22" s="1231">
        <v>0</v>
      </c>
      <c r="AA22" s="1232" t="s">
        <v>1663</v>
      </c>
      <c r="AB22" s="1233">
        <v>4</v>
      </c>
      <c r="AC22" s="1233" t="s">
        <v>1664</v>
      </c>
      <c r="AD22" s="4488">
        <v>295972</v>
      </c>
      <c r="AE22" s="4488">
        <v>0</v>
      </c>
      <c r="AF22" s="4488">
        <v>285580</v>
      </c>
      <c r="AG22" s="4488">
        <v>0</v>
      </c>
      <c r="AH22" s="4488">
        <v>135545</v>
      </c>
      <c r="AI22" s="4488">
        <v>0</v>
      </c>
      <c r="AJ22" s="4488">
        <v>44254</v>
      </c>
      <c r="AK22" s="4488">
        <v>0</v>
      </c>
      <c r="AL22" s="4488">
        <v>309146</v>
      </c>
      <c r="AM22" s="4488">
        <v>0</v>
      </c>
      <c r="AN22" s="4488">
        <v>92607</v>
      </c>
      <c r="AO22" s="4488">
        <v>0</v>
      </c>
      <c r="AP22" s="4488">
        <v>2145</v>
      </c>
      <c r="AQ22" s="4488">
        <v>0</v>
      </c>
      <c r="AR22" s="4488">
        <v>12718</v>
      </c>
      <c r="AS22" s="4488">
        <v>0</v>
      </c>
      <c r="AT22" s="4488">
        <v>26</v>
      </c>
      <c r="AU22" s="4488">
        <v>0</v>
      </c>
      <c r="AV22" s="4488">
        <v>37</v>
      </c>
      <c r="AW22" s="4488">
        <v>0</v>
      </c>
      <c r="AX22" s="4488" t="s">
        <v>319</v>
      </c>
      <c r="AY22" s="4488"/>
      <c r="AZ22" s="4488" t="s">
        <v>319</v>
      </c>
      <c r="BA22" s="4488"/>
      <c r="BB22" s="4488">
        <v>44350</v>
      </c>
      <c r="BC22" s="4488">
        <v>0</v>
      </c>
      <c r="BD22" s="4488">
        <v>21944</v>
      </c>
      <c r="BE22" s="4488">
        <v>0</v>
      </c>
      <c r="BF22" s="4488">
        <v>75687</v>
      </c>
      <c r="BG22" s="4488">
        <v>0</v>
      </c>
      <c r="BH22" s="4488">
        <v>581552</v>
      </c>
      <c r="BI22" s="4488">
        <v>0</v>
      </c>
      <c r="BJ22" s="4532">
        <v>5</v>
      </c>
      <c r="BK22" s="4522">
        <f>SUM(Y22:Y24)</f>
        <v>8780000</v>
      </c>
      <c r="BL22" s="4522">
        <f>SUM(Z22:Z24)</f>
        <v>2000000</v>
      </c>
      <c r="BM22" s="4524">
        <f>SUM(BK22/T22)</f>
        <v>4.4018477669460369E-2</v>
      </c>
      <c r="BN22" s="4527">
        <v>4</v>
      </c>
      <c r="BO22" s="4527" t="s">
        <v>1664</v>
      </c>
      <c r="BP22" s="4529" t="s">
        <v>1638</v>
      </c>
      <c r="BQ22" s="4507">
        <v>44197</v>
      </c>
      <c r="BR22" s="4507">
        <v>44197</v>
      </c>
      <c r="BS22" s="4507">
        <v>44561</v>
      </c>
      <c r="BT22" s="4507">
        <v>44561</v>
      </c>
      <c r="BU22" s="4488" t="s">
        <v>1639</v>
      </c>
    </row>
    <row r="23" spans="1:73" ht="75" customHeight="1" x14ac:dyDescent="0.25">
      <c r="A23" s="1258"/>
      <c r="B23" s="1238"/>
      <c r="C23" s="1285"/>
      <c r="D23" s="1238"/>
      <c r="E23" s="1259"/>
      <c r="F23" s="1259"/>
      <c r="G23" s="4497"/>
      <c r="H23" s="4500"/>
      <c r="I23" s="4497"/>
      <c r="J23" s="4541"/>
      <c r="K23" s="4489"/>
      <c r="L23" s="2615"/>
      <c r="M23" s="4489"/>
      <c r="N23" s="2326"/>
      <c r="O23" s="4489"/>
      <c r="P23" s="4489"/>
      <c r="Q23" s="4489"/>
      <c r="R23" s="2615"/>
      <c r="S23" s="4537"/>
      <c r="T23" s="4519"/>
      <c r="U23" s="2615"/>
      <c r="V23" s="2557" t="s">
        <v>1665</v>
      </c>
      <c r="W23" s="2614" t="s">
        <v>1666</v>
      </c>
      <c r="X23" s="1286">
        <v>9363750</v>
      </c>
      <c r="Y23" s="1286">
        <v>0</v>
      </c>
      <c r="Z23" s="1286">
        <v>0</v>
      </c>
      <c r="AA23" s="1239" t="s">
        <v>1667</v>
      </c>
      <c r="AB23" s="1239">
        <v>4</v>
      </c>
      <c r="AC23" s="1239" t="s">
        <v>1664</v>
      </c>
      <c r="AD23" s="4489"/>
      <c r="AE23" s="4489"/>
      <c r="AF23" s="4489"/>
      <c r="AG23" s="4489"/>
      <c r="AH23" s="4489"/>
      <c r="AI23" s="4489"/>
      <c r="AJ23" s="4489"/>
      <c r="AK23" s="4489"/>
      <c r="AL23" s="4489"/>
      <c r="AM23" s="4489"/>
      <c r="AN23" s="4489"/>
      <c r="AO23" s="4489"/>
      <c r="AP23" s="4489"/>
      <c r="AQ23" s="4489"/>
      <c r="AR23" s="4489"/>
      <c r="AS23" s="4489"/>
      <c r="AT23" s="4489"/>
      <c r="AU23" s="4489"/>
      <c r="AV23" s="4489"/>
      <c r="AW23" s="4489"/>
      <c r="AX23" s="4489"/>
      <c r="AY23" s="4489"/>
      <c r="AZ23" s="4489"/>
      <c r="BA23" s="4489"/>
      <c r="BB23" s="4489"/>
      <c r="BC23" s="4489"/>
      <c r="BD23" s="4489"/>
      <c r="BE23" s="4489"/>
      <c r="BF23" s="4489"/>
      <c r="BG23" s="4489"/>
      <c r="BH23" s="4489"/>
      <c r="BI23" s="4489"/>
      <c r="BJ23" s="4533"/>
      <c r="BK23" s="4523"/>
      <c r="BL23" s="4523"/>
      <c r="BM23" s="4525"/>
      <c r="BN23" s="4489"/>
      <c r="BO23" s="4489"/>
      <c r="BP23" s="4530"/>
      <c r="BQ23" s="4508"/>
      <c r="BR23" s="4508"/>
      <c r="BS23" s="4508"/>
      <c r="BT23" s="4508"/>
      <c r="BU23" s="4489"/>
    </row>
    <row r="24" spans="1:73" ht="75" customHeight="1" x14ac:dyDescent="0.25">
      <c r="A24" s="1258"/>
      <c r="B24" s="1238"/>
      <c r="C24" s="1287"/>
      <c r="D24" s="1233"/>
      <c r="E24" s="1259"/>
      <c r="F24" s="1259"/>
      <c r="G24" s="4498"/>
      <c r="H24" s="4501"/>
      <c r="I24" s="4498"/>
      <c r="J24" s="4542"/>
      <c r="K24" s="4490"/>
      <c r="L24" s="4495"/>
      <c r="M24" s="4490"/>
      <c r="N24" s="4153"/>
      <c r="O24" s="4490"/>
      <c r="P24" s="4490"/>
      <c r="Q24" s="4490"/>
      <c r="R24" s="4495"/>
      <c r="S24" s="4538"/>
      <c r="T24" s="4520"/>
      <c r="U24" s="4495"/>
      <c r="V24" s="2557"/>
      <c r="W24" s="4495"/>
      <c r="X24" s="1286">
        <v>50474817.200000003</v>
      </c>
      <c r="Y24" s="1286">
        <v>8780000</v>
      </c>
      <c r="Z24" s="1286">
        <v>2000000</v>
      </c>
      <c r="AA24" s="1239" t="s">
        <v>1668</v>
      </c>
      <c r="AB24" s="1239">
        <v>4</v>
      </c>
      <c r="AC24" s="1239" t="s">
        <v>1664</v>
      </c>
      <c r="AD24" s="4490"/>
      <c r="AE24" s="4490"/>
      <c r="AF24" s="4490"/>
      <c r="AG24" s="4490"/>
      <c r="AH24" s="4490"/>
      <c r="AI24" s="4490"/>
      <c r="AJ24" s="4490"/>
      <c r="AK24" s="4490"/>
      <c r="AL24" s="4490"/>
      <c r="AM24" s="4490"/>
      <c r="AN24" s="4490"/>
      <c r="AO24" s="4490"/>
      <c r="AP24" s="4490"/>
      <c r="AQ24" s="4490"/>
      <c r="AR24" s="4490"/>
      <c r="AS24" s="4490"/>
      <c r="AT24" s="4490"/>
      <c r="AU24" s="4490"/>
      <c r="AV24" s="4490"/>
      <c r="AW24" s="4490"/>
      <c r="AX24" s="4490"/>
      <c r="AY24" s="4490"/>
      <c r="AZ24" s="4490"/>
      <c r="BA24" s="4490"/>
      <c r="BB24" s="4490"/>
      <c r="BC24" s="4490"/>
      <c r="BD24" s="4490"/>
      <c r="BE24" s="4490"/>
      <c r="BF24" s="4490"/>
      <c r="BG24" s="4490"/>
      <c r="BH24" s="4490"/>
      <c r="BI24" s="4490"/>
      <c r="BJ24" s="4534"/>
      <c r="BK24" s="4490"/>
      <c r="BL24" s="4490"/>
      <c r="BM24" s="4526"/>
      <c r="BN24" s="4528"/>
      <c r="BO24" s="4528"/>
      <c r="BP24" s="4531"/>
      <c r="BQ24" s="4509"/>
      <c r="BR24" s="4509"/>
      <c r="BS24" s="4509"/>
      <c r="BT24" s="4509"/>
      <c r="BU24" s="4490"/>
    </row>
    <row r="25" spans="1:73" s="1291" customFormat="1" ht="27" customHeight="1" x14ac:dyDescent="0.25">
      <c r="A25" s="1285"/>
      <c r="B25" s="1238"/>
      <c r="C25" s="1211">
        <v>40</v>
      </c>
      <c r="D25" s="1288" t="s">
        <v>640</v>
      </c>
      <c r="E25" s="1289"/>
      <c r="F25" s="1289"/>
      <c r="G25" s="1289"/>
      <c r="H25" s="1289"/>
      <c r="I25" s="1034"/>
      <c r="J25" s="1034"/>
      <c r="K25" s="862"/>
      <c r="L25" s="862"/>
      <c r="M25" s="862"/>
      <c r="N25" s="862"/>
      <c r="O25" s="862"/>
      <c r="P25" s="862"/>
      <c r="Q25" s="862"/>
      <c r="R25" s="862"/>
      <c r="S25" s="862"/>
      <c r="T25" s="1243"/>
      <c r="U25" s="862"/>
      <c r="V25" s="844"/>
      <c r="W25" s="862"/>
      <c r="X25" s="1290"/>
      <c r="Y25" s="1290"/>
      <c r="Z25" s="1290"/>
      <c r="AA25" s="844"/>
      <c r="AB25" s="844"/>
      <c r="AC25" s="844"/>
      <c r="AD25" s="862"/>
      <c r="AE25" s="862"/>
      <c r="AF25" s="862"/>
      <c r="AG25" s="862"/>
      <c r="AH25" s="862"/>
      <c r="AI25" s="862"/>
      <c r="AJ25" s="862"/>
      <c r="AK25" s="862"/>
      <c r="AL25" s="862"/>
      <c r="AM25" s="862"/>
      <c r="AN25" s="862"/>
      <c r="AO25" s="862"/>
      <c r="AP25" s="862"/>
      <c r="AQ25" s="862"/>
      <c r="AR25" s="862"/>
      <c r="AS25" s="862"/>
      <c r="AT25" s="862"/>
      <c r="AU25" s="862"/>
      <c r="AV25" s="862"/>
      <c r="AW25" s="862"/>
      <c r="AX25" s="862"/>
      <c r="AY25" s="862"/>
      <c r="AZ25" s="862"/>
      <c r="BA25" s="862"/>
      <c r="BB25" s="862"/>
      <c r="BC25" s="862"/>
      <c r="BD25" s="862"/>
      <c r="BE25" s="862"/>
      <c r="BF25" s="862"/>
      <c r="BG25" s="862"/>
      <c r="BH25" s="862"/>
      <c r="BI25" s="862"/>
      <c r="BJ25" s="862"/>
      <c r="BK25" s="862"/>
      <c r="BL25" s="862"/>
      <c r="BM25" s="862"/>
      <c r="BN25" s="844"/>
      <c r="BO25" s="844"/>
      <c r="BP25" s="862"/>
      <c r="BQ25" s="862"/>
      <c r="BR25" s="862"/>
      <c r="BS25" s="862"/>
      <c r="BT25" s="862"/>
      <c r="BU25" s="1245"/>
    </row>
    <row r="26" spans="1:73" s="1291" customFormat="1" ht="27" customHeight="1" x14ac:dyDescent="0.25">
      <c r="A26" s="1036" t="s">
        <v>319</v>
      </c>
      <c r="B26" s="44" t="s">
        <v>319</v>
      </c>
      <c r="C26" s="45"/>
      <c r="D26" s="46"/>
      <c r="E26" s="47">
        <v>4001</v>
      </c>
      <c r="F26" s="4516" t="s">
        <v>641</v>
      </c>
      <c r="G26" s="4517"/>
      <c r="H26" s="4517"/>
      <c r="I26" s="4517"/>
      <c r="J26" s="4517"/>
      <c r="K26" s="4517"/>
      <c r="L26" s="4517"/>
      <c r="M26" s="4517"/>
      <c r="N26" s="4517"/>
      <c r="O26" s="4517"/>
      <c r="P26" s="1292"/>
      <c r="Q26" s="1223" t="s">
        <v>319</v>
      </c>
      <c r="R26" s="1256" t="s">
        <v>319</v>
      </c>
      <c r="S26" s="1223" t="s">
        <v>319</v>
      </c>
      <c r="T26" s="1250" t="s">
        <v>319</v>
      </c>
      <c r="U26" s="1223" t="s">
        <v>319</v>
      </c>
      <c r="V26" s="1223" t="s">
        <v>319</v>
      </c>
      <c r="W26" s="1223" t="s">
        <v>1669</v>
      </c>
      <c r="X26" s="1252"/>
      <c r="Y26" s="1252"/>
      <c r="Z26" s="1252"/>
      <c r="AA26" s="1223"/>
      <c r="AB26" s="1223" t="s">
        <v>319</v>
      </c>
      <c r="AC26" s="1223" t="s">
        <v>319</v>
      </c>
      <c r="AD26" s="1253" t="s">
        <v>319</v>
      </c>
      <c r="AE26" s="1253"/>
      <c r="AF26" s="1253" t="s">
        <v>319</v>
      </c>
      <c r="AG26" s="1253"/>
      <c r="AH26" s="1253" t="s">
        <v>319</v>
      </c>
      <c r="AI26" s="1253"/>
      <c r="AJ26" s="1253" t="s">
        <v>319</v>
      </c>
      <c r="AK26" s="1253"/>
      <c r="AL26" s="1253" t="s">
        <v>319</v>
      </c>
      <c r="AM26" s="1253"/>
      <c r="AN26" s="1253" t="s">
        <v>319</v>
      </c>
      <c r="AO26" s="1253"/>
      <c r="AP26" s="1253" t="s">
        <v>319</v>
      </c>
      <c r="AQ26" s="1253"/>
      <c r="AR26" s="1253" t="s">
        <v>319</v>
      </c>
      <c r="AS26" s="1253"/>
      <c r="AT26" s="1253" t="s">
        <v>319</v>
      </c>
      <c r="AU26" s="1253"/>
      <c r="AV26" s="1253" t="s">
        <v>319</v>
      </c>
      <c r="AW26" s="1253"/>
      <c r="AX26" s="1253" t="s">
        <v>319</v>
      </c>
      <c r="AY26" s="1253"/>
      <c r="AZ26" s="1253" t="s">
        <v>319</v>
      </c>
      <c r="BA26" s="1253"/>
      <c r="BB26" s="1254" t="s">
        <v>319</v>
      </c>
      <c r="BC26" s="1254"/>
      <c r="BD26" s="1254" t="s">
        <v>319</v>
      </c>
      <c r="BE26" s="1254"/>
      <c r="BF26" s="1254" t="s">
        <v>319</v>
      </c>
      <c r="BG26" s="1254"/>
      <c r="BH26" s="1254" t="s">
        <v>319</v>
      </c>
      <c r="BI26" s="1254"/>
      <c r="BJ26" s="1254"/>
      <c r="BK26" s="1254"/>
      <c r="BL26" s="1254"/>
      <c r="BM26" s="1254"/>
      <c r="BN26" s="1255"/>
      <c r="BO26" s="1255"/>
      <c r="BP26" s="1254"/>
      <c r="BQ26" s="1256" t="s">
        <v>319</v>
      </c>
      <c r="BR26" s="1256"/>
      <c r="BS26" s="1256" t="s">
        <v>319</v>
      </c>
      <c r="BT26" s="1256"/>
      <c r="BU26" s="1257" t="s">
        <v>319</v>
      </c>
    </row>
    <row r="27" spans="1:73" ht="120" x14ac:dyDescent="0.25">
      <c r="A27" s="1258" t="s">
        <v>319</v>
      </c>
      <c r="B27" s="1238" t="s">
        <v>319</v>
      </c>
      <c r="C27" s="1285"/>
      <c r="D27" s="1238"/>
      <c r="E27" s="1259" t="s">
        <v>319</v>
      </c>
      <c r="F27" s="1259" t="s">
        <v>319</v>
      </c>
      <c r="G27" s="1293">
        <v>4001001</v>
      </c>
      <c r="H27" s="1294" t="s">
        <v>1670</v>
      </c>
      <c r="I27" s="1293">
        <v>4001001</v>
      </c>
      <c r="J27" s="1294" t="s">
        <v>1670</v>
      </c>
      <c r="K27" s="1295">
        <v>400100100</v>
      </c>
      <c r="L27" s="1296" t="s">
        <v>1671</v>
      </c>
      <c r="M27" s="1295">
        <v>400100100</v>
      </c>
      <c r="N27" s="1295" t="s">
        <v>1671</v>
      </c>
      <c r="O27" s="1295">
        <v>3</v>
      </c>
      <c r="P27" s="1295">
        <v>0</v>
      </c>
      <c r="Q27" s="4488" t="s">
        <v>1672</v>
      </c>
      <c r="R27" s="4494" t="s">
        <v>1673</v>
      </c>
      <c r="S27" s="1297">
        <f>X27/T27</f>
        <v>8.2496046859452683E-3</v>
      </c>
      <c r="T27" s="4518">
        <f>SUM(X27:X49)</f>
        <v>1208916662.03</v>
      </c>
      <c r="U27" s="1296" t="s">
        <v>1674</v>
      </c>
      <c r="V27" s="4488" t="s">
        <v>1675</v>
      </c>
      <c r="W27" s="1298" t="s">
        <v>1671</v>
      </c>
      <c r="X27" s="1299">
        <v>9973084.5600000005</v>
      </c>
      <c r="Y27" s="1299">
        <v>0</v>
      </c>
      <c r="Z27" s="1299">
        <v>0</v>
      </c>
      <c r="AA27" s="1237" t="s">
        <v>1676</v>
      </c>
      <c r="AB27" s="1237">
        <v>4</v>
      </c>
      <c r="AC27" s="1237" t="s">
        <v>1664</v>
      </c>
      <c r="AD27" s="4504">
        <v>295972</v>
      </c>
      <c r="AE27" s="4504">
        <f>SUM(AD27*0.32)</f>
        <v>94711.040000000008</v>
      </c>
      <c r="AF27" s="4504">
        <v>285580</v>
      </c>
      <c r="AG27" s="4504">
        <f>SUM(AF27*0.32)</f>
        <v>91385.600000000006</v>
      </c>
      <c r="AH27" s="4504">
        <v>135545</v>
      </c>
      <c r="AI27" s="4504">
        <f>SUM(AH27*0.32)</f>
        <v>43374.400000000001</v>
      </c>
      <c r="AJ27" s="4504">
        <v>44254</v>
      </c>
      <c r="AK27" s="4504">
        <f>SUM(AJ27*0.32)</f>
        <v>14161.28</v>
      </c>
      <c r="AL27" s="4504">
        <v>309146</v>
      </c>
      <c r="AM27" s="4504">
        <f>SUM(AL27*0.32)</f>
        <v>98926.720000000001</v>
      </c>
      <c r="AN27" s="4504">
        <v>92607</v>
      </c>
      <c r="AO27" s="4504">
        <f>SUM(AN27*0.32)</f>
        <v>29634.240000000002</v>
      </c>
      <c r="AP27" s="4504">
        <v>2145</v>
      </c>
      <c r="AQ27" s="4504">
        <f>SUM(AP27*0.32)</f>
        <v>686.4</v>
      </c>
      <c r="AR27" s="4504">
        <v>12718</v>
      </c>
      <c r="AS27" s="4504">
        <f>SUM(AR27*0.32)</f>
        <v>4069.76</v>
      </c>
      <c r="AT27" s="4504">
        <v>26</v>
      </c>
      <c r="AU27" s="4504">
        <f>SUM(AT27*0.32)</f>
        <v>8.32</v>
      </c>
      <c r="AV27" s="4504">
        <v>37</v>
      </c>
      <c r="AW27" s="4504">
        <f>SUM(AV27*0.32)</f>
        <v>11.84</v>
      </c>
      <c r="AX27" s="4504" t="s">
        <v>319</v>
      </c>
      <c r="AY27" s="4504"/>
      <c r="AZ27" s="4504" t="s">
        <v>319</v>
      </c>
      <c r="BA27" s="4504"/>
      <c r="BB27" s="4504">
        <v>44350</v>
      </c>
      <c r="BC27" s="4504">
        <f>SUM(BB27*0.32)</f>
        <v>14192</v>
      </c>
      <c r="BD27" s="4504">
        <v>21944</v>
      </c>
      <c r="BE27" s="4504">
        <f>SUM(BD27*0.32)</f>
        <v>7022.08</v>
      </c>
      <c r="BF27" s="4504">
        <v>75687</v>
      </c>
      <c r="BG27" s="4504">
        <f>SUM(BF27*0.32)</f>
        <v>24219.84</v>
      </c>
      <c r="BH27" s="4504">
        <v>581552</v>
      </c>
      <c r="BI27" s="4504">
        <f>SUM(BH27*0.32)</f>
        <v>186096.64000000001</v>
      </c>
      <c r="BJ27" s="4504">
        <v>31</v>
      </c>
      <c r="BK27" s="4510">
        <f>SUM(Y27:Y49)</f>
        <v>391200300.90000004</v>
      </c>
      <c r="BL27" s="4510">
        <f>SUM(Z27:Z49)</f>
        <v>42740447.590000004</v>
      </c>
      <c r="BM27" s="4513">
        <f>SUM(BK27/T27)</f>
        <v>0.32359575575962418</v>
      </c>
      <c r="BN27" s="4503">
        <v>3</v>
      </c>
      <c r="BO27" s="4503" t="s">
        <v>1677</v>
      </c>
      <c r="BP27" s="4504" t="s">
        <v>1638</v>
      </c>
      <c r="BQ27" s="4507">
        <v>44197</v>
      </c>
      <c r="BR27" s="4507">
        <v>44197</v>
      </c>
      <c r="BS27" s="4507">
        <v>44561</v>
      </c>
      <c r="BT27" s="4507">
        <v>44561</v>
      </c>
      <c r="BU27" s="4488" t="s">
        <v>1639</v>
      </c>
    </row>
    <row r="28" spans="1:73" ht="53.25" customHeight="1" x14ac:dyDescent="0.25">
      <c r="A28" s="1258" t="s">
        <v>319</v>
      </c>
      <c r="B28" s="1238" t="s">
        <v>319</v>
      </c>
      <c r="C28" s="1285"/>
      <c r="D28" s="1238"/>
      <c r="E28" s="1259" t="s">
        <v>319</v>
      </c>
      <c r="F28" s="1259" t="s">
        <v>319</v>
      </c>
      <c r="G28" s="4496">
        <v>4001017</v>
      </c>
      <c r="H28" s="4499" t="s">
        <v>1678</v>
      </c>
      <c r="I28" s="4496">
        <v>4001017</v>
      </c>
      <c r="J28" s="4499" t="s">
        <v>1678</v>
      </c>
      <c r="K28" s="4488">
        <v>400101700</v>
      </c>
      <c r="L28" s="4494" t="s">
        <v>1679</v>
      </c>
      <c r="M28" s="4488">
        <v>400101700</v>
      </c>
      <c r="N28" s="4488" t="s">
        <v>1679</v>
      </c>
      <c r="O28" s="4488">
        <v>25</v>
      </c>
      <c r="P28" s="4488">
        <v>16</v>
      </c>
      <c r="Q28" s="4489"/>
      <c r="R28" s="2615"/>
      <c r="S28" s="4491">
        <f>SUM(X28:X33)/T27</f>
        <v>0.15818333289317715</v>
      </c>
      <c r="T28" s="4519"/>
      <c r="U28" s="4494" t="s">
        <v>1674</v>
      </c>
      <c r="V28" s="4489"/>
      <c r="W28" s="1015" t="s">
        <v>1679</v>
      </c>
      <c r="X28" s="1300">
        <v>105002114.67</v>
      </c>
      <c r="Y28" s="1300">
        <v>0</v>
      </c>
      <c r="Z28" s="1300">
        <v>0</v>
      </c>
      <c r="AA28" s="1239" t="s">
        <v>1680</v>
      </c>
      <c r="AB28" s="1301">
        <v>3</v>
      </c>
      <c r="AC28" s="1301" t="s">
        <v>456</v>
      </c>
      <c r="AD28" s="4505"/>
      <c r="AE28" s="4505"/>
      <c r="AF28" s="4505"/>
      <c r="AG28" s="4505"/>
      <c r="AH28" s="4505"/>
      <c r="AI28" s="4505"/>
      <c r="AJ28" s="4505"/>
      <c r="AK28" s="4505"/>
      <c r="AL28" s="4505"/>
      <c r="AM28" s="4505"/>
      <c r="AN28" s="4505"/>
      <c r="AO28" s="4505"/>
      <c r="AP28" s="4505"/>
      <c r="AQ28" s="4505"/>
      <c r="AR28" s="4505"/>
      <c r="AS28" s="4505"/>
      <c r="AT28" s="4505"/>
      <c r="AU28" s="4505"/>
      <c r="AV28" s="4505"/>
      <c r="AW28" s="4505"/>
      <c r="AX28" s="4505"/>
      <c r="AY28" s="4505"/>
      <c r="AZ28" s="4505"/>
      <c r="BA28" s="4505"/>
      <c r="BB28" s="4505"/>
      <c r="BC28" s="4505"/>
      <c r="BD28" s="4505"/>
      <c r="BE28" s="4505"/>
      <c r="BF28" s="4505"/>
      <c r="BG28" s="4505"/>
      <c r="BH28" s="4505"/>
      <c r="BI28" s="4505"/>
      <c r="BJ28" s="4505"/>
      <c r="BK28" s="4511"/>
      <c r="BL28" s="4511"/>
      <c r="BM28" s="4514"/>
      <c r="BN28" s="4503"/>
      <c r="BO28" s="4503"/>
      <c r="BP28" s="4505"/>
      <c r="BQ28" s="4508"/>
      <c r="BR28" s="4508"/>
      <c r="BS28" s="4508"/>
      <c r="BT28" s="4508"/>
      <c r="BU28" s="4489"/>
    </row>
    <row r="29" spans="1:73" ht="53.25" customHeight="1" x14ac:dyDescent="0.25">
      <c r="A29" s="1258"/>
      <c r="B29" s="1238"/>
      <c r="C29" s="1285"/>
      <c r="D29" s="1238"/>
      <c r="E29" s="1259"/>
      <c r="F29" s="1259"/>
      <c r="G29" s="4497"/>
      <c r="H29" s="4500"/>
      <c r="I29" s="4497"/>
      <c r="J29" s="4500"/>
      <c r="K29" s="4489"/>
      <c r="L29" s="2615"/>
      <c r="M29" s="4489"/>
      <c r="N29" s="4489"/>
      <c r="O29" s="4489"/>
      <c r="P29" s="4489"/>
      <c r="Q29" s="4489"/>
      <c r="R29" s="2615"/>
      <c r="S29" s="4492"/>
      <c r="T29" s="4519"/>
      <c r="U29" s="2615"/>
      <c r="V29" s="4489"/>
      <c r="W29" s="1015" t="s">
        <v>1679</v>
      </c>
      <c r="X29" s="1300">
        <v>5967500</v>
      </c>
      <c r="Y29" s="1300">
        <v>5967500</v>
      </c>
      <c r="Z29" s="1300">
        <v>5967500</v>
      </c>
      <c r="AA29" s="1232" t="s">
        <v>1681</v>
      </c>
      <c r="AB29" s="1233">
        <v>3</v>
      </c>
      <c r="AC29" s="1233" t="s">
        <v>456</v>
      </c>
      <c r="AD29" s="4505"/>
      <c r="AE29" s="4505"/>
      <c r="AF29" s="4505"/>
      <c r="AG29" s="4505"/>
      <c r="AH29" s="4505"/>
      <c r="AI29" s="4505"/>
      <c r="AJ29" s="4505"/>
      <c r="AK29" s="4505"/>
      <c r="AL29" s="4505"/>
      <c r="AM29" s="4505"/>
      <c r="AN29" s="4505"/>
      <c r="AO29" s="4505"/>
      <c r="AP29" s="4505"/>
      <c r="AQ29" s="4505"/>
      <c r="AR29" s="4505"/>
      <c r="AS29" s="4505"/>
      <c r="AT29" s="4505"/>
      <c r="AU29" s="4505"/>
      <c r="AV29" s="4505"/>
      <c r="AW29" s="4505"/>
      <c r="AX29" s="4505"/>
      <c r="AY29" s="4505"/>
      <c r="AZ29" s="4505"/>
      <c r="BA29" s="4505"/>
      <c r="BB29" s="4505"/>
      <c r="BC29" s="4505"/>
      <c r="BD29" s="4505"/>
      <c r="BE29" s="4505"/>
      <c r="BF29" s="4505"/>
      <c r="BG29" s="4505"/>
      <c r="BH29" s="4505"/>
      <c r="BI29" s="4505"/>
      <c r="BJ29" s="4505"/>
      <c r="BK29" s="4511"/>
      <c r="BL29" s="4511"/>
      <c r="BM29" s="4514"/>
      <c r="BN29" s="4503"/>
      <c r="BO29" s="4503"/>
      <c r="BP29" s="4505"/>
      <c r="BQ29" s="4508"/>
      <c r="BR29" s="4508"/>
      <c r="BS29" s="4508"/>
      <c r="BT29" s="4508"/>
      <c r="BU29" s="4489"/>
    </row>
    <row r="30" spans="1:73" ht="53.25" customHeight="1" x14ac:dyDescent="0.25">
      <c r="A30" s="1258"/>
      <c r="B30" s="1238"/>
      <c r="C30" s="1285"/>
      <c r="D30" s="1238"/>
      <c r="E30" s="1259"/>
      <c r="F30" s="1259"/>
      <c r="G30" s="4497"/>
      <c r="H30" s="4500"/>
      <c r="I30" s="4497"/>
      <c r="J30" s="4500"/>
      <c r="K30" s="4489"/>
      <c r="L30" s="2615"/>
      <c r="M30" s="4489"/>
      <c r="N30" s="4489"/>
      <c r="O30" s="4489"/>
      <c r="P30" s="4489"/>
      <c r="Q30" s="4489"/>
      <c r="R30" s="2615"/>
      <c r="S30" s="4492"/>
      <c r="T30" s="4519"/>
      <c r="U30" s="2615"/>
      <c r="V30" s="4489"/>
      <c r="W30" s="879" t="s">
        <v>1666</v>
      </c>
      <c r="X30" s="1302">
        <v>2623845.34</v>
      </c>
      <c r="Y30" s="1302">
        <v>800000</v>
      </c>
      <c r="Z30" s="1302">
        <v>800000</v>
      </c>
      <c r="AA30" s="1232" t="s">
        <v>1682</v>
      </c>
      <c r="AB30" s="1233">
        <v>3</v>
      </c>
      <c r="AC30" s="1233" t="s">
        <v>456</v>
      </c>
      <c r="AD30" s="4505"/>
      <c r="AE30" s="4505"/>
      <c r="AF30" s="4505"/>
      <c r="AG30" s="4505"/>
      <c r="AH30" s="4505"/>
      <c r="AI30" s="4505"/>
      <c r="AJ30" s="4505"/>
      <c r="AK30" s="4505"/>
      <c r="AL30" s="4505"/>
      <c r="AM30" s="4505"/>
      <c r="AN30" s="4505"/>
      <c r="AO30" s="4505"/>
      <c r="AP30" s="4505"/>
      <c r="AQ30" s="4505"/>
      <c r="AR30" s="4505"/>
      <c r="AS30" s="4505"/>
      <c r="AT30" s="4505"/>
      <c r="AU30" s="4505"/>
      <c r="AV30" s="4505"/>
      <c r="AW30" s="4505"/>
      <c r="AX30" s="4505"/>
      <c r="AY30" s="4505"/>
      <c r="AZ30" s="4505"/>
      <c r="BA30" s="4505"/>
      <c r="BB30" s="4505"/>
      <c r="BC30" s="4505"/>
      <c r="BD30" s="4505"/>
      <c r="BE30" s="4505"/>
      <c r="BF30" s="4505"/>
      <c r="BG30" s="4505"/>
      <c r="BH30" s="4505"/>
      <c r="BI30" s="4505"/>
      <c r="BJ30" s="4505"/>
      <c r="BK30" s="4511"/>
      <c r="BL30" s="4511"/>
      <c r="BM30" s="4514"/>
      <c r="BN30" s="4503"/>
      <c r="BO30" s="4503"/>
      <c r="BP30" s="4505"/>
      <c r="BQ30" s="4508"/>
      <c r="BR30" s="4508"/>
      <c r="BS30" s="4508"/>
      <c r="BT30" s="4508"/>
      <c r="BU30" s="4489"/>
    </row>
    <row r="31" spans="1:73" ht="53.25" customHeight="1" x14ac:dyDescent="0.25">
      <c r="A31" s="1258"/>
      <c r="B31" s="1238"/>
      <c r="C31" s="1285"/>
      <c r="D31" s="1238"/>
      <c r="E31" s="1259"/>
      <c r="F31" s="1259"/>
      <c r="G31" s="4497"/>
      <c r="H31" s="4500"/>
      <c r="I31" s="4497"/>
      <c r="J31" s="4500"/>
      <c r="K31" s="4489"/>
      <c r="L31" s="2615"/>
      <c r="M31" s="4489"/>
      <c r="N31" s="4489"/>
      <c r="O31" s="4489"/>
      <c r="P31" s="4489"/>
      <c r="Q31" s="4489"/>
      <c r="R31" s="2615"/>
      <c r="S31" s="4492"/>
      <c r="T31" s="4519"/>
      <c r="U31" s="2615"/>
      <c r="V31" s="4489"/>
      <c r="W31" s="1303" t="s">
        <v>1679</v>
      </c>
      <c r="X31" s="1304">
        <v>55534506.780000001</v>
      </c>
      <c r="Y31" s="1304">
        <v>0</v>
      </c>
      <c r="Z31" s="1304">
        <v>0</v>
      </c>
      <c r="AA31" s="1232" t="s">
        <v>1680</v>
      </c>
      <c r="AB31" s="1233">
        <v>4</v>
      </c>
      <c r="AC31" s="1233" t="s">
        <v>1664</v>
      </c>
      <c r="AD31" s="4505"/>
      <c r="AE31" s="4505"/>
      <c r="AF31" s="4505"/>
      <c r="AG31" s="4505"/>
      <c r="AH31" s="4505"/>
      <c r="AI31" s="4505"/>
      <c r="AJ31" s="4505"/>
      <c r="AK31" s="4505"/>
      <c r="AL31" s="4505"/>
      <c r="AM31" s="4505"/>
      <c r="AN31" s="4505"/>
      <c r="AO31" s="4505"/>
      <c r="AP31" s="4505"/>
      <c r="AQ31" s="4505"/>
      <c r="AR31" s="4505"/>
      <c r="AS31" s="4505"/>
      <c r="AT31" s="4505"/>
      <c r="AU31" s="4505"/>
      <c r="AV31" s="4505"/>
      <c r="AW31" s="4505"/>
      <c r="AX31" s="4505"/>
      <c r="AY31" s="4505"/>
      <c r="AZ31" s="4505"/>
      <c r="BA31" s="4505"/>
      <c r="BB31" s="4505"/>
      <c r="BC31" s="4505"/>
      <c r="BD31" s="4505"/>
      <c r="BE31" s="4505"/>
      <c r="BF31" s="4505"/>
      <c r="BG31" s="4505"/>
      <c r="BH31" s="4505"/>
      <c r="BI31" s="4505"/>
      <c r="BJ31" s="4505"/>
      <c r="BK31" s="4511"/>
      <c r="BL31" s="4511"/>
      <c r="BM31" s="4514"/>
      <c r="BN31" s="4503"/>
      <c r="BO31" s="4503"/>
      <c r="BP31" s="4505"/>
      <c r="BQ31" s="4508"/>
      <c r="BR31" s="4508"/>
      <c r="BS31" s="4508"/>
      <c r="BT31" s="4508"/>
      <c r="BU31" s="4489"/>
    </row>
    <row r="32" spans="1:73" ht="53.25" customHeight="1" x14ac:dyDescent="0.25">
      <c r="A32" s="1258"/>
      <c r="B32" s="1238"/>
      <c r="C32" s="1285"/>
      <c r="D32" s="1238"/>
      <c r="E32" s="1259"/>
      <c r="F32" s="1259"/>
      <c r="G32" s="4497"/>
      <c r="H32" s="4500"/>
      <c r="I32" s="4497"/>
      <c r="J32" s="4500"/>
      <c r="K32" s="4489"/>
      <c r="L32" s="2615"/>
      <c r="M32" s="4489"/>
      <c r="N32" s="4489"/>
      <c r="O32" s="4489"/>
      <c r="P32" s="4489"/>
      <c r="Q32" s="4489"/>
      <c r="R32" s="2615"/>
      <c r="S32" s="4492"/>
      <c r="T32" s="4519"/>
      <c r="U32" s="2615"/>
      <c r="V32" s="4489"/>
      <c r="W32" s="1303" t="s">
        <v>1679</v>
      </c>
      <c r="X32" s="1304">
        <v>12918750</v>
      </c>
      <c r="Y32" s="1304">
        <v>12918750</v>
      </c>
      <c r="Z32" s="1304">
        <v>12918750</v>
      </c>
      <c r="AA32" s="1232" t="s">
        <v>1681</v>
      </c>
      <c r="AB32" s="1233">
        <v>4</v>
      </c>
      <c r="AC32" s="1233" t="s">
        <v>1664</v>
      </c>
      <c r="AD32" s="4505"/>
      <c r="AE32" s="4505"/>
      <c r="AF32" s="4505"/>
      <c r="AG32" s="4505"/>
      <c r="AH32" s="4505"/>
      <c r="AI32" s="4505"/>
      <c r="AJ32" s="4505"/>
      <c r="AK32" s="4505"/>
      <c r="AL32" s="4505"/>
      <c r="AM32" s="4505"/>
      <c r="AN32" s="4505"/>
      <c r="AO32" s="4505"/>
      <c r="AP32" s="4505"/>
      <c r="AQ32" s="4505"/>
      <c r="AR32" s="4505"/>
      <c r="AS32" s="4505"/>
      <c r="AT32" s="4505"/>
      <c r="AU32" s="4505"/>
      <c r="AV32" s="4505"/>
      <c r="AW32" s="4505"/>
      <c r="AX32" s="4505"/>
      <c r="AY32" s="4505"/>
      <c r="AZ32" s="4505"/>
      <c r="BA32" s="4505"/>
      <c r="BB32" s="4505"/>
      <c r="BC32" s="4505"/>
      <c r="BD32" s="4505"/>
      <c r="BE32" s="4505"/>
      <c r="BF32" s="4505"/>
      <c r="BG32" s="4505"/>
      <c r="BH32" s="4505"/>
      <c r="BI32" s="4505"/>
      <c r="BJ32" s="4505"/>
      <c r="BK32" s="4511"/>
      <c r="BL32" s="4511"/>
      <c r="BM32" s="4514"/>
      <c r="BN32" s="4503"/>
      <c r="BO32" s="4503"/>
      <c r="BP32" s="4505"/>
      <c r="BQ32" s="4508"/>
      <c r="BR32" s="4508"/>
      <c r="BS32" s="4508"/>
      <c r="BT32" s="4508"/>
      <c r="BU32" s="4489"/>
    </row>
    <row r="33" spans="1:73" ht="53.25" customHeight="1" x14ac:dyDescent="0.25">
      <c r="A33" s="1258"/>
      <c r="B33" s="1238"/>
      <c r="C33" s="1285"/>
      <c r="D33" s="1238"/>
      <c r="E33" s="1259"/>
      <c r="F33" s="1259"/>
      <c r="G33" s="4498"/>
      <c r="H33" s="4501"/>
      <c r="I33" s="4498"/>
      <c r="J33" s="4501"/>
      <c r="K33" s="4490"/>
      <c r="L33" s="4495"/>
      <c r="M33" s="4490"/>
      <c r="N33" s="4490"/>
      <c r="O33" s="4490"/>
      <c r="P33" s="4490"/>
      <c r="Q33" s="4489"/>
      <c r="R33" s="2615"/>
      <c r="S33" s="4502"/>
      <c r="T33" s="4519"/>
      <c r="U33" s="4495"/>
      <c r="V33" s="4489"/>
      <c r="W33" s="1303" t="s">
        <v>1666</v>
      </c>
      <c r="X33" s="1304">
        <v>9183750</v>
      </c>
      <c r="Y33" s="1304">
        <v>7751250</v>
      </c>
      <c r="Z33" s="1304">
        <v>0</v>
      </c>
      <c r="AA33" s="1232" t="s">
        <v>1682</v>
      </c>
      <c r="AB33" s="1233">
        <v>4</v>
      </c>
      <c r="AC33" s="1233" t="s">
        <v>1664</v>
      </c>
      <c r="AD33" s="4505"/>
      <c r="AE33" s="4505"/>
      <c r="AF33" s="4505"/>
      <c r="AG33" s="4505"/>
      <c r="AH33" s="4505"/>
      <c r="AI33" s="4505"/>
      <c r="AJ33" s="4505"/>
      <c r="AK33" s="4505"/>
      <c r="AL33" s="4505"/>
      <c r="AM33" s="4505"/>
      <c r="AN33" s="4505"/>
      <c r="AO33" s="4505"/>
      <c r="AP33" s="4505"/>
      <c r="AQ33" s="4505"/>
      <c r="AR33" s="4505"/>
      <c r="AS33" s="4505"/>
      <c r="AT33" s="4505"/>
      <c r="AU33" s="4505"/>
      <c r="AV33" s="4505"/>
      <c r="AW33" s="4505"/>
      <c r="AX33" s="4505"/>
      <c r="AY33" s="4505"/>
      <c r="AZ33" s="4505"/>
      <c r="BA33" s="4505"/>
      <c r="BB33" s="4505"/>
      <c r="BC33" s="4505"/>
      <c r="BD33" s="4505"/>
      <c r="BE33" s="4505"/>
      <c r="BF33" s="4505"/>
      <c r="BG33" s="4505"/>
      <c r="BH33" s="4505"/>
      <c r="BI33" s="4505"/>
      <c r="BJ33" s="4505"/>
      <c r="BK33" s="4511"/>
      <c r="BL33" s="4511"/>
      <c r="BM33" s="4514"/>
      <c r="BN33" s="4503"/>
      <c r="BO33" s="4503"/>
      <c r="BP33" s="4505"/>
      <c r="BQ33" s="4508"/>
      <c r="BR33" s="4508"/>
      <c r="BS33" s="4508"/>
      <c r="BT33" s="4508"/>
      <c r="BU33" s="4489"/>
    </row>
    <row r="34" spans="1:73" ht="53.25" customHeight="1" x14ac:dyDescent="0.25">
      <c r="A34" s="1258" t="s">
        <v>319</v>
      </c>
      <c r="B34" s="1238" t="s">
        <v>319</v>
      </c>
      <c r="C34" s="1285"/>
      <c r="D34" s="1238"/>
      <c r="E34" s="1259" t="s">
        <v>319</v>
      </c>
      <c r="F34" s="1259" t="s">
        <v>319</v>
      </c>
      <c r="G34" s="4496">
        <v>4001018</v>
      </c>
      <c r="H34" s="4499" t="s">
        <v>1683</v>
      </c>
      <c r="I34" s="4496">
        <v>4001018</v>
      </c>
      <c r="J34" s="4499" t="s">
        <v>1683</v>
      </c>
      <c r="K34" s="4488">
        <v>400101800</v>
      </c>
      <c r="L34" s="4494" t="s">
        <v>1684</v>
      </c>
      <c r="M34" s="4488">
        <v>400101800</v>
      </c>
      <c r="N34" s="4488" t="s">
        <v>1684</v>
      </c>
      <c r="O34" s="4488">
        <v>75</v>
      </c>
      <c r="P34" s="4488">
        <v>0</v>
      </c>
      <c r="Q34" s="4489"/>
      <c r="R34" s="2615"/>
      <c r="S34" s="4491">
        <f>SUM(X34:X37)/T27</f>
        <v>0.1612106559460785</v>
      </c>
      <c r="T34" s="4519"/>
      <c r="U34" s="4494" t="s">
        <v>1674</v>
      </c>
      <c r="V34" s="4489"/>
      <c r="W34" s="1303" t="s">
        <v>1684</v>
      </c>
      <c r="X34" s="1304">
        <v>107535900.62</v>
      </c>
      <c r="Y34" s="1304">
        <v>0</v>
      </c>
      <c r="Z34" s="1304">
        <v>0</v>
      </c>
      <c r="AA34" s="1232" t="s">
        <v>1685</v>
      </c>
      <c r="AB34" s="1233">
        <v>3</v>
      </c>
      <c r="AC34" s="1233" t="s">
        <v>456</v>
      </c>
      <c r="AD34" s="4505"/>
      <c r="AE34" s="4505"/>
      <c r="AF34" s="4505"/>
      <c r="AG34" s="4505"/>
      <c r="AH34" s="4505"/>
      <c r="AI34" s="4505"/>
      <c r="AJ34" s="4505"/>
      <c r="AK34" s="4505"/>
      <c r="AL34" s="4505"/>
      <c r="AM34" s="4505"/>
      <c r="AN34" s="4505"/>
      <c r="AO34" s="4505"/>
      <c r="AP34" s="4505"/>
      <c r="AQ34" s="4505"/>
      <c r="AR34" s="4505"/>
      <c r="AS34" s="4505"/>
      <c r="AT34" s="4505"/>
      <c r="AU34" s="4505"/>
      <c r="AV34" s="4505"/>
      <c r="AW34" s="4505"/>
      <c r="AX34" s="4505"/>
      <c r="AY34" s="4505"/>
      <c r="AZ34" s="4505"/>
      <c r="BA34" s="4505"/>
      <c r="BB34" s="4505"/>
      <c r="BC34" s="4505"/>
      <c r="BD34" s="4505"/>
      <c r="BE34" s="4505"/>
      <c r="BF34" s="4505"/>
      <c r="BG34" s="4505"/>
      <c r="BH34" s="4505"/>
      <c r="BI34" s="4505"/>
      <c r="BJ34" s="4505"/>
      <c r="BK34" s="4511"/>
      <c r="BL34" s="4511"/>
      <c r="BM34" s="4514"/>
      <c r="BN34" s="4503"/>
      <c r="BO34" s="4503"/>
      <c r="BP34" s="4505"/>
      <c r="BQ34" s="4508"/>
      <c r="BR34" s="4508"/>
      <c r="BS34" s="4508"/>
      <c r="BT34" s="4508"/>
      <c r="BU34" s="4489"/>
    </row>
    <row r="35" spans="1:73" ht="53.25" customHeight="1" x14ac:dyDescent="0.25">
      <c r="A35" s="1258"/>
      <c r="B35" s="1238"/>
      <c r="C35" s="1285"/>
      <c r="D35" s="1238"/>
      <c r="E35" s="1259"/>
      <c r="F35" s="1259"/>
      <c r="G35" s="4497"/>
      <c r="H35" s="4500"/>
      <c r="I35" s="4497"/>
      <c r="J35" s="4500"/>
      <c r="K35" s="4489"/>
      <c r="L35" s="2615"/>
      <c r="M35" s="4489"/>
      <c r="N35" s="4489"/>
      <c r="O35" s="4489"/>
      <c r="P35" s="4489"/>
      <c r="Q35" s="4489"/>
      <c r="R35" s="2615"/>
      <c r="S35" s="4492"/>
      <c r="T35" s="4519"/>
      <c r="U35" s="2615"/>
      <c r="V35" s="4489"/>
      <c r="W35" s="1303" t="s">
        <v>1666</v>
      </c>
      <c r="X35" s="1304">
        <v>48710730.979999997</v>
      </c>
      <c r="Y35" s="1304">
        <v>0</v>
      </c>
      <c r="Z35" s="1304">
        <v>0</v>
      </c>
      <c r="AA35" s="1232" t="s">
        <v>1686</v>
      </c>
      <c r="AB35" s="1233">
        <v>3</v>
      </c>
      <c r="AC35" s="1233" t="s">
        <v>456</v>
      </c>
      <c r="AD35" s="4505"/>
      <c r="AE35" s="4505"/>
      <c r="AF35" s="4505"/>
      <c r="AG35" s="4505"/>
      <c r="AH35" s="4505"/>
      <c r="AI35" s="4505"/>
      <c r="AJ35" s="4505"/>
      <c r="AK35" s="4505"/>
      <c r="AL35" s="4505"/>
      <c r="AM35" s="4505"/>
      <c r="AN35" s="4505"/>
      <c r="AO35" s="4505"/>
      <c r="AP35" s="4505"/>
      <c r="AQ35" s="4505"/>
      <c r="AR35" s="4505"/>
      <c r="AS35" s="4505"/>
      <c r="AT35" s="4505"/>
      <c r="AU35" s="4505"/>
      <c r="AV35" s="4505"/>
      <c r="AW35" s="4505"/>
      <c r="AX35" s="4505"/>
      <c r="AY35" s="4505"/>
      <c r="AZ35" s="4505"/>
      <c r="BA35" s="4505"/>
      <c r="BB35" s="4505"/>
      <c r="BC35" s="4505"/>
      <c r="BD35" s="4505"/>
      <c r="BE35" s="4505"/>
      <c r="BF35" s="4505"/>
      <c r="BG35" s="4505"/>
      <c r="BH35" s="4505"/>
      <c r="BI35" s="4505"/>
      <c r="BJ35" s="4505"/>
      <c r="BK35" s="4511"/>
      <c r="BL35" s="4511"/>
      <c r="BM35" s="4514"/>
      <c r="BN35" s="4503"/>
      <c r="BO35" s="4503"/>
      <c r="BP35" s="4505"/>
      <c r="BQ35" s="4508"/>
      <c r="BR35" s="4508"/>
      <c r="BS35" s="4508"/>
      <c r="BT35" s="4508"/>
      <c r="BU35" s="4489"/>
    </row>
    <row r="36" spans="1:73" ht="53.25" customHeight="1" x14ac:dyDescent="0.25">
      <c r="A36" s="1258"/>
      <c r="B36" s="1238"/>
      <c r="C36" s="1285"/>
      <c r="D36" s="1238"/>
      <c r="E36" s="1259"/>
      <c r="F36" s="1259"/>
      <c r="G36" s="4497"/>
      <c r="H36" s="4500"/>
      <c r="I36" s="4497"/>
      <c r="J36" s="4500"/>
      <c r="K36" s="4489"/>
      <c r="L36" s="2615"/>
      <c r="M36" s="4489"/>
      <c r="N36" s="4489"/>
      <c r="O36" s="4489"/>
      <c r="P36" s="4489"/>
      <c r="Q36" s="4489"/>
      <c r="R36" s="2615"/>
      <c r="S36" s="4492"/>
      <c r="T36" s="4519"/>
      <c r="U36" s="2615"/>
      <c r="V36" s="4489"/>
      <c r="W36" s="1305" t="s">
        <v>1684</v>
      </c>
      <c r="X36" s="1304">
        <v>36338563.399999999</v>
      </c>
      <c r="Y36" s="1304">
        <v>0</v>
      </c>
      <c r="Z36" s="1304">
        <v>0</v>
      </c>
      <c r="AA36" s="1232" t="s">
        <v>1685</v>
      </c>
      <c r="AB36" s="1233">
        <v>4</v>
      </c>
      <c r="AC36" s="1233" t="s">
        <v>1664</v>
      </c>
      <c r="AD36" s="4505"/>
      <c r="AE36" s="4505"/>
      <c r="AF36" s="4505"/>
      <c r="AG36" s="4505"/>
      <c r="AH36" s="4505"/>
      <c r="AI36" s="4505"/>
      <c r="AJ36" s="4505"/>
      <c r="AK36" s="4505"/>
      <c r="AL36" s="4505"/>
      <c r="AM36" s="4505"/>
      <c r="AN36" s="4505"/>
      <c r="AO36" s="4505"/>
      <c r="AP36" s="4505"/>
      <c r="AQ36" s="4505"/>
      <c r="AR36" s="4505"/>
      <c r="AS36" s="4505"/>
      <c r="AT36" s="4505"/>
      <c r="AU36" s="4505"/>
      <c r="AV36" s="4505"/>
      <c r="AW36" s="4505"/>
      <c r="AX36" s="4505"/>
      <c r="AY36" s="4505"/>
      <c r="AZ36" s="4505"/>
      <c r="BA36" s="4505"/>
      <c r="BB36" s="4505"/>
      <c r="BC36" s="4505"/>
      <c r="BD36" s="4505"/>
      <c r="BE36" s="4505"/>
      <c r="BF36" s="4505"/>
      <c r="BG36" s="4505"/>
      <c r="BH36" s="4505"/>
      <c r="BI36" s="4505"/>
      <c r="BJ36" s="4505"/>
      <c r="BK36" s="4511"/>
      <c r="BL36" s="4511"/>
      <c r="BM36" s="4514"/>
      <c r="BN36" s="4503"/>
      <c r="BO36" s="4503"/>
      <c r="BP36" s="4505"/>
      <c r="BQ36" s="4508"/>
      <c r="BR36" s="4508"/>
      <c r="BS36" s="4508"/>
      <c r="BT36" s="4508"/>
      <c r="BU36" s="4489"/>
    </row>
    <row r="37" spans="1:73" ht="53.25" customHeight="1" x14ac:dyDescent="0.25">
      <c r="A37" s="1258"/>
      <c r="B37" s="1238"/>
      <c r="C37" s="1285"/>
      <c r="D37" s="1238"/>
      <c r="E37" s="1259"/>
      <c r="F37" s="1259"/>
      <c r="G37" s="4498"/>
      <c r="H37" s="4501"/>
      <c r="I37" s="4498"/>
      <c r="J37" s="4501"/>
      <c r="K37" s="4490"/>
      <c r="L37" s="4495"/>
      <c r="M37" s="4490"/>
      <c r="N37" s="4490"/>
      <c r="O37" s="4490"/>
      <c r="P37" s="4490"/>
      <c r="Q37" s="4489"/>
      <c r="R37" s="2615"/>
      <c r="S37" s="4502"/>
      <c r="T37" s="4519"/>
      <c r="U37" s="4495"/>
      <c r="V37" s="4489"/>
      <c r="W37" s="1305" t="s">
        <v>1666</v>
      </c>
      <c r="X37" s="1304">
        <v>2305053.0699999998</v>
      </c>
      <c r="Y37" s="1304">
        <v>0</v>
      </c>
      <c r="Z37" s="1304">
        <v>0</v>
      </c>
      <c r="AA37" s="1232" t="s">
        <v>1686</v>
      </c>
      <c r="AB37" s="1233">
        <v>4</v>
      </c>
      <c r="AC37" s="1233" t="s">
        <v>1664</v>
      </c>
      <c r="AD37" s="4505"/>
      <c r="AE37" s="4505"/>
      <c r="AF37" s="4505"/>
      <c r="AG37" s="4505"/>
      <c r="AH37" s="4505"/>
      <c r="AI37" s="4505"/>
      <c r="AJ37" s="4505"/>
      <c r="AK37" s="4505"/>
      <c r="AL37" s="4505"/>
      <c r="AM37" s="4505"/>
      <c r="AN37" s="4505"/>
      <c r="AO37" s="4505"/>
      <c r="AP37" s="4505"/>
      <c r="AQ37" s="4505"/>
      <c r="AR37" s="4505"/>
      <c r="AS37" s="4505"/>
      <c r="AT37" s="4505"/>
      <c r="AU37" s="4505"/>
      <c r="AV37" s="4505"/>
      <c r="AW37" s="4505"/>
      <c r="AX37" s="4505"/>
      <c r="AY37" s="4505"/>
      <c r="AZ37" s="4505"/>
      <c r="BA37" s="4505"/>
      <c r="BB37" s="4505"/>
      <c r="BC37" s="4505"/>
      <c r="BD37" s="4505"/>
      <c r="BE37" s="4505"/>
      <c r="BF37" s="4505"/>
      <c r="BG37" s="4505"/>
      <c r="BH37" s="4505"/>
      <c r="BI37" s="4505"/>
      <c r="BJ37" s="4505"/>
      <c r="BK37" s="4511"/>
      <c r="BL37" s="4511"/>
      <c r="BM37" s="4514"/>
      <c r="BN37" s="4503"/>
      <c r="BO37" s="4503"/>
      <c r="BP37" s="4505"/>
      <c r="BQ37" s="4508"/>
      <c r="BR37" s="4508"/>
      <c r="BS37" s="4508"/>
      <c r="BT37" s="4508"/>
      <c r="BU37" s="4489"/>
    </row>
    <row r="38" spans="1:73" ht="120" x14ac:dyDescent="0.25">
      <c r="A38" s="1258" t="s">
        <v>319</v>
      </c>
      <c r="B38" s="1238" t="s">
        <v>319</v>
      </c>
      <c r="C38" s="1285"/>
      <c r="D38" s="1238"/>
      <c r="E38" s="1259" t="s">
        <v>319</v>
      </c>
      <c r="F38" s="1259" t="s">
        <v>319</v>
      </c>
      <c r="G38" s="1293">
        <v>4001030</v>
      </c>
      <c r="H38" s="1294" t="s">
        <v>1687</v>
      </c>
      <c r="I38" s="1293">
        <v>4001030</v>
      </c>
      <c r="J38" s="1294" t="s">
        <v>1687</v>
      </c>
      <c r="K38" s="1295">
        <v>400103000</v>
      </c>
      <c r="L38" s="1296" t="s">
        <v>712</v>
      </c>
      <c r="M38" s="1295">
        <v>400103000</v>
      </c>
      <c r="N38" s="1295" t="s">
        <v>712</v>
      </c>
      <c r="O38" s="1295">
        <v>3</v>
      </c>
      <c r="P38" s="1295">
        <v>3</v>
      </c>
      <c r="Q38" s="4489"/>
      <c r="R38" s="2615"/>
      <c r="S38" s="1297">
        <f>SUM(X38)/T27</f>
        <v>8.2496046859452683E-3</v>
      </c>
      <c r="T38" s="4519"/>
      <c r="U38" s="1296" t="s">
        <v>1674</v>
      </c>
      <c r="V38" s="4521" t="s">
        <v>1688</v>
      </c>
      <c r="W38" s="1306" t="s">
        <v>712</v>
      </c>
      <c r="X38" s="1307">
        <v>9973084.5600000005</v>
      </c>
      <c r="Y38" s="1304">
        <v>9973084.5600000005</v>
      </c>
      <c r="Z38" s="1304">
        <v>2346610</v>
      </c>
      <c r="AA38" s="1234" t="s">
        <v>1689</v>
      </c>
      <c r="AB38" s="1234">
        <v>4</v>
      </c>
      <c r="AC38" s="1234" t="s">
        <v>1664</v>
      </c>
      <c r="AD38" s="4505"/>
      <c r="AE38" s="4505"/>
      <c r="AF38" s="4505"/>
      <c r="AG38" s="4505"/>
      <c r="AH38" s="4505"/>
      <c r="AI38" s="4505"/>
      <c r="AJ38" s="4505"/>
      <c r="AK38" s="4505"/>
      <c r="AL38" s="4505"/>
      <c r="AM38" s="4505"/>
      <c r="AN38" s="4505"/>
      <c r="AO38" s="4505"/>
      <c r="AP38" s="4505"/>
      <c r="AQ38" s="4505"/>
      <c r="AR38" s="4505"/>
      <c r="AS38" s="4505"/>
      <c r="AT38" s="4505"/>
      <c r="AU38" s="4505"/>
      <c r="AV38" s="4505"/>
      <c r="AW38" s="4505"/>
      <c r="AX38" s="4505"/>
      <c r="AY38" s="4505"/>
      <c r="AZ38" s="4505"/>
      <c r="BA38" s="4505"/>
      <c r="BB38" s="4505"/>
      <c r="BC38" s="4505"/>
      <c r="BD38" s="4505"/>
      <c r="BE38" s="4505"/>
      <c r="BF38" s="4505"/>
      <c r="BG38" s="4505"/>
      <c r="BH38" s="4505"/>
      <c r="BI38" s="4505"/>
      <c r="BJ38" s="4505"/>
      <c r="BK38" s="4511"/>
      <c r="BL38" s="4511"/>
      <c r="BM38" s="4514"/>
      <c r="BN38" s="4503"/>
      <c r="BO38" s="4503"/>
      <c r="BP38" s="4505"/>
      <c r="BQ38" s="4508"/>
      <c r="BR38" s="4508"/>
      <c r="BS38" s="4508"/>
      <c r="BT38" s="4508"/>
      <c r="BU38" s="4489"/>
    </row>
    <row r="39" spans="1:73" ht="50.25" customHeight="1" x14ac:dyDescent="0.25">
      <c r="A39" s="1258" t="s">
        <v>319</v>
      </c>
      <c r="B39" s="1238" t="s">
        <v>319</v>
      </c>
      <c r="C39" s="1285"/>
      <c r="D39" s="1238"/>
      <c r="E39" s="1259" t="s">
        <v>319</v>
      </c>
      <c r="F39" s="1259" t="s">
        <v>319</v>
      </c>
      <c r="G39" s="4496">
        <v>4001031</v>
      </c>
      <c r="H39" s="4499" t="s">
        <v>1690</v>
      </c>
      <c r="I39" s="4496">
        <v>4001031</v>
      </c>
      <c r="J39" s="4499" t="s">
        <v>1690</v>
      </c>
      <c r="K39" s="4488">
        <v>400103103</v>
      </c>
      <c r="L39" s="4494" t="s">
        <v>1691</v>
      </c>
      <c r="M39" s="4488">
        <v>400103103</v>
      </c>
      <c r="N39" s="4488" t="s">
        <v>1691</v>
      </c>
      <c r="O39" s="4488">
        <v>8</v>
      </c>
      <c r="P39" s="4488">
        <v>5</v>
      </c>
      <c r="Q39" s="4489"/>
      <c r="R39" s="2615"/>
      <c r="S39" s="4491">
        <f>SUM(X39:X41)/T27</f>
        <v>0.4949762811567161</v>
      </c>
      <c r="T39" s="4519"/>
      <c r="U39" s="4494" t="s">
        <v>1674</v>
      </c>
      <c r="V39" s="4521"/>
      <c r="W39" s="1308" t="s">
        <v>1692</v>
      </c>
      <c r="X39" s="1300">
        <v>405579701</v>
      </c>
      <c r="Y39" s="1304">
        <v>303046241.60000002</v>
      </c>
      <c r="Z39" s="1304">
        <v>19107587.59</v>
      </c>
      <c r="AA39" s="1239" t="s">
        <v>1693</v>
      </c>
      <c r="AB39" s="1301">
        <v>4</v>
      </c>
      <c r="AC39" s="1301" t="s">
        <v>1664</v>
      </c>
      <c r="AD39" s="4505"/>
      <c r="AE39" s="4505"/>
      <c r="AF39" s="4505"/>
      <c r="AG39" s="4505"/>
      <c r="AH39" s="4505"/>
      <c r="AI39" s="4505"/>
      <c r="AJ39" s="4505"/>
      <c r="AK39" s="4505"/>
      <c r="AL39" s="4505"/>
      <c r="AM39" s="4505"/>
      <c r="AN39" s="4505"/>
      <c r="AO39" s="4505"/>
      <c r="AP39" s="4505"/>
      <c r="AQ39" s="4505"/>
      <c r="AR39" s="4505"/>
      <c r="AS39" s="4505"/>
      <c r="AT39" s="4505"/>
      <c r="AU39" s="4505"/>
      <c r="AV39" s="4505"/>
      <c r="AW39" s="4505"/>
      <c r="AX39" s="4505"/>
      <c r="AY39" s="4505"/>
      <c r="AZ39" s="4505"/>
      <c r="BA39" s="4505"/>
      <c r="BB39" s="4505"/>
      <c r="BC39" s="4505"/>
      <c r="BD39" s="4505"/>
      <c r="BE39" s="4505"/>
      <c r="BF39" s="4505"/>
      <c r="BG39" s="4505"/>
      <c r="BH39" s="4505"/>
      <c r="BI39" s="4505"/>
      <c r="BJ39" s="4505"/>
      <c r="BK39" s="4511"/>
      <c r="BL39" s="4511"/>
      <c r="BM39" s="4514"/>
      <c r="BN39" s="4503">
        <v>4</v>
      </c>
      <c r="BO39" s="4503" t="s">
        <v>1694</v>
      </c>
      <c r="BP39" s="4505"/>
      <c r="BQ39" s="4508"/>
      <c r="BR39" s="4508"/>
      <c r="BS39" s="4508"/>
      <c r="BT39" s="4508"/>
      <c r="BU39" s="4489"/>
    </row>
    <row r="40" spans="1:73" ht="50.25" customHeight="1" x14ac:dyDescent="0.25">
      <c r="A40" s="1258"/>
      <c r="B40" s="1238"/>
      <c r="C40" s="1285"/>
      <c r="D40" s="1238"/>
      <c r="E40" s="1259"/>
      <c r="F40" s="1259"/>
      <c r="G40" s="4497"/>
      <c r="H40" s="4500"/>
      <c r="I40" s="4497"/>
      <c r="J40" s="4500"/>
      <c r="K40" s="4489"/>
      <c r="L40" s="2615"/>
      <c r="M40" s="4489"/>
      <c r="N40" s="4489"/>
      <c r="O40" s="4489"/>
      <c r="P40" s="4489"/>
      <c r="Q40" s="4489"/>
      <c r="R40" s="2615"/>
      <c r="S40" s="4492"/>
      <c r="T40" s="4519"/>
      <c r="U40" s="2615"/>
      <c r="V40" s="4521"/>
      <c r="W40" s="1305" t="s">
        <v>1666</v>
      </c>
      <c r="X40" s="1304">
        <v>22301737.370000001</v>
      </c>
      <c r="Y40" s="1304">
        <v>13501737.369999999</v>
      </c>
      <c r="Z40" s="1304">
        <v>800000</v>
      </c>
      <c r="AA40" s="1232" t="s">
        <v>1695</v>
      </c>
      <c r="AB40" s="1301">
        <v>4</v>
      </c>
      <c r="AC40" s="1301" t="s">
        <v>1664</v>
      </c>
      <c r="AD40" s="4505"/>
      <c r="AE40" s="4505"/>
      <c r="AF40" s="4505"/>
      <c r="AG40" s="4505"/>
      <c r="AH40" s="4505"/>
      <c r="AI40" s="4505"/>
      <c r="AJ40" s="4505"/>
      <c r="AK40" s="4505"/>
      <c r="AL40" s="4505"/>
      <c r="AM40" s="4505"/>
      <c r="AN40" s="4505"/>
      <c r="AO40" s="4505"/>
      <c r="AP40" s="4505"/>
      <c r="AQ40" s="4505"/>
      <c r="AR40" s="4505"/>
      <c r="AS40" s="4505"/>
      <c r="AT40" s="4505"/>
      <c r="AU40" s="4505"/>
      <c r="AV40" s="4505"/>
      <c r="AW40" s="4505"/>
      <c r="AX40" s="4505"/>
      <c r="AY40" s="4505"/>
      <c r="AZ40" s="4505"/>
      <c r="BA40" s="4505"/>
      <c r="BB40" s="4505"/>
      <c r="BC40" s="4505"/>
      <c r="BD40" s="4505"/>
      <c r="BE40" s="4505"/>
      <c r="BF40" s="4505"/>
      <c r="BG40" s="4505"/>
      <c r="BH40" s="4505"/>
      <c r="BI40" s="4505"/>
      <c r="BJ40" s="4505"/>
      <c r="BK40" s="4511"/>
      <c r="BL40" s="4511"/>
      <c r="BM40" s="4514"/>
      <c r="BN40" s="4503"/>
      <c r="BO40" s="4503"/>
      <c r="BP40" s="4505"/>
      <c r="BQ40" s="4508"/>
      <c r="BR40" s="4508"/>
      <c r="BS40" s="4508"/>
      <c r="BT40" s="4508"/>
      <c r="BU40" s="4489"/>
    </row>
    <row r="41" spans="1:73" ht="50.25" customHeight="1" x14ac:dyDescent="0.25">
      <c r="A41" s="1258"/>
      <c r="B41" s="1238"/>
      <c r="C41" s="1285"/>
      <c r="D41" s="1238"/>
      <c r="E41" s="1259"/>
      <c r="F41" s="1259"/>
      <c r="G41" s="4498"/>
      <c r="H41" s="4501"/>
      <c r="I41" s="4498"/>
      <c r="J41" s="4501"/>
      <c r="K41" s="4490"/>
      <c r="L41" s="4495"/>
      <c r="M41" s="4490"/>
      <c r="N41" s="4490"/>
      <c r="O41" s="4490"/>
      <c r="P41" s="4490"/>
      <c r="Q41" s="4489"/>
      <c r="R41" s="2615"/>
      <c r="S41" s="4502"/>
      <c r="T41" s="4519"/>
      <c r="U41" s="4495"/>
      <c r="V41" s="4521"/>
      <c r="W41" s="1305" t="s">
        <v>1666</v>
      </c>
      <c r="X41" s="1304">
        <v>170503635.22999999</v>
      </c>
      <c r="Y41" s="1304">
        <v>37241737.370000005</v>
      </c>
      <c r="Z41" s="1304">
        <v>800000</v>
      </c>
      <c r="AA41" s="1232" t="s">
        <v>1696</v>
      </c>
      <c r="AB41" s="1233">
        <v>4</v>
      </c>
      <c r="AC41" s="1233" t="s">
        <v>1664</v>
      </c>
      <c r="AD41" s="4505"/>
      <c r="AE41" s="4505"/>
      <c r="AF41" s="4505"/>
      <c r="AG41" s="4505"/>
      <c r="AH41" s="4505"/>
      <c r="AI41" s="4505"/>
      <c r="AJ41" s="4505"/>
      <c r="AK41" s="4505"/>
      <c r="AL41" s="4505"/>
      <c r="AM41" s="4505"/>
      <c r="AN41" s="4505"/>
      <c r="AO41" s="4505"/>
      <c r="AP41" s="4505"/>
      <c r="AQ41" s="4505"/>
      <c r="AR41" s="4505"/>
      <c r="AS41" s="4505"/>
      <c r="AT41" s="4505"/>
      <c r="AU41" s="4505"/>
      <c r="AV41" s="4505"/>
      <c r="AW41" s="4505"/>
      <c r="AX41" s="4505"/>
      <c r="AY41" s="4505"/>
      <c r="AZ41" s="4505"/>
      <c r="BA41" s="4505"/>
      <c r="BB41" s="4505"/>
      <c r="BC41" s="4505"/>
      <c r="BD41" s="4505"/>
      <c r="BE41" s="4505"/>
      <c r="BF41" s="4505"/>
      <c r="BG41" s="4505"/>
      <c r="BH41" s="4505"/>
      <c r="BI41" s="4505"/>
      <c r="BJ41" s="4505"/>
      <c r="BK41" s="4511"/>
      <c r="BL41" s="4511"/>
      <c r="BM41" s="4514"/>
      <c r="BN41" s="4503"/>
      <c r="BO41" s="4503"/>
      <c r="BP41" s="4505"/>
      <c r="BQ41" s="4508"/>
      <c r="BR41" s="4508"/>
      <c r="BS41" s="4508"/>
      <c r="BT41" s="4508"/>
      <c r="BU41" s="4489"/>
    </row>
    <row r="42" spans="1:73" ht="50.25" customHeight="1" x14ac:dyDescent="0.25">
      <c r="A42" s="1258" t="s">
        <v>319</v>
      </c>
      <c r="B42" s="1238" t="s">
        <v>319</v>
      </c>
      <c r="C42" s="1285"/>
      <c r="D42" s="1238"/>
      <c r="E42" s="1259" t="s">
        <v>319</v>
      </c>
      <c r="F42" s="1259" t="s">
        <v>319</v>
      </c>
      <c r="G42" s="4496">
        <v>4001014</v>
      </c>
      <c r="H42" s="4499" t="s">
        <v>1697</v>
      </c>
      <c r="I42" s="4496">
        <v>4001014</v>
      </c>
      <c r="J42" s="4499" t="s">
        <v>1697</v>
      </c>
      <c r="K42" s="4488">
        <v>400101400</v>
      </c>
      <c r="L42" s="4494" t="s">
        <v>1697</v>
      </c>
      <c r="M42" s="4488">
        <v>400101400</v>
      </c>
      <c r="N42" s="4488" t="s">
        <v>1697</v>
      </c>
      <c r="O42" s="4488">
        <v>35</v>
      </c>
      <c r="P42" s="4488">
        <v>0</v>
      </c>
      <c r="Q42" s="4489"/>
      <c r="R42" s="2615"/>
      <c r="S42" s="4491">
        <f>SUM(X42:X45)/T27</f>
        <v>1.3987228905924685E-2</v>
      </c>
      <c r="T42" s="4519"/>
      <c r="U42" s="4494" t="s">
        <v>1674</v>
      </c>
      <c r="V42" s="4521"/>
      <c r="W42" s="1305" t="s">
        <v>1697</v>
      </c>
      <c r="X42" s="1304">
        <v>0</v>
      </c>
      <c r="Y42" s="1304">
        <v>0</v>
      </c>
      <c r="Z42" s="1304">
        <v>0</v>
      </c>
      <c r="AA42" s="1232" t="s">
        <v>1698</v>
      </c>
      <c r="AB42" s="1233">
        <v>3</v>
      </c>
      <c r="AC42" s="1233" t="s">
        <v>456</v>
      </c>
      <c r="AD42" s="4505"/>
      <c r="AE42" s="4505"/>
      <c r="AF42" s="4505"/>
      <c r="AG42" s="4505"/>
      <c r="AH42" s="4505"/>
      <c r="AI42" s="4505"/>
      <c r="AJ42" s="4505"/>
      <c r="AK42" s="4505"/>
      <c r="AL42" s="4505"/>
      <c r="AM42" s="4505"/>
      <c r="AN42" s="4505"/>
      <c r="AO42" s="4505"/>
      <c r="AP42" s="4505"/>
      <c r="AQ42" s="4505"/>
      <c r="AR42" s="4505"/>
      <c r="AS42" s="4505"/>
      <c r="AT42" s="4505"/>
      <c r="AU42" s="4505"/>
      <c r="AV42" s="4505"/>
      <c r="AW42" s="4505"/>
      <c r="AX42" s="4505"/>
      <c r="AY42" s="4505"/>
      <c r="AZ42" s="4505"/>
      <c r="BA42" s="4505"/>
      <c r="BB42" s="4505"/>
      <c r="BC42" s="4505"/>
      <c r="BD42" s="4505"/>
      <c r="BE42" s="4505"/>
      <c r="BF42" s="4505"/>
      <c r="BG42" s="4505"/>
      <c r="BH42" s="4505"/>
      <c r="BI42" s="4505"/>
      <c r="BJ42" s="4505"/>
      <c r="BK42" s="4511"/>
      <c r="BL42" s="4511"/>
      <c r="BM42" s="4514"/>
      <c r="BN42" s="4503"/>
      <c r="BO42" s="4503"/>
      <c r="BP42" s="4505"/>
      <c r="BQ42" s="4508"/>
      <c r="BR42" s="4508"/>
      <c r="BS42" s="4508"/>
      <c r="BT42" s="4508"/>
      <c r="BU42" s="4489"/>
    </row>
    <row r="43" spans="1:73" ht="50.25" customHeight="1" x14ac:dyDescent="0.25">
      <c r="A43" s="1258"/>
      <c r="B43" s="1238"/>
      <c r="C43" s="1285"/>
      <c r="D43" s="1238"/>
      <c r="E43" s="1259"/>
      <c r="F43" s="1259"/>
      <c r="G43" s="4497"/>
      <c r="H43" s="4500"/>
      <c r="I43" s="4497"/>
      <c r="J43" s="4500"/>
      <c r="K43" s="4489"/>
      <c r="L43" s="2615"/>
      <c r="M43" s="4489"/>
      <c r="N43" s="4489"/>
      <c r="O43" s="4489"/>
      <c r="P43" s="4489"/>
      <c r="Q43" s="4489"/>
      <c r="R43" s="2615"/>
      <c r="S43" s="4492"/>
      <c r="T43" s="4519"/>
      <c r="U43" s="2615"/>
      <c r="V43" s="4521"/>
      <c r="W43" s="1305" t="s">
        <v>1666</v>
      </c>
      <c r="X43" s="1304">
        <v>14757393.789999999</v>
      </c>
      <c r="Y43" s="1304">
        <v>0</v>
      </c>
      <c r="Z43" s="1304">
        <v>0</v>
      </c>
      <c r="AA43" s="1232" t="s">
        <v>1699</v>
      </c>
      <c r="AB43" s="1233">
        <v>3</v>
      </c>
      <c r="AC43" s="1233" t="s">
        <v>456</v>
      </c>
      <c r="AD43" s="4505"/>
      <c r="AE43" s="4505"/>
      <c r="AF43" s="4505"/>
      <c r="AG43" s="4505"/>
      <c r="AH43" s="4505"/>
      <c r="AI43" s="4505"/>
      <c r="AJ43" s="4505"/>
      <c r="AK43" s="4505"/>
      <c r="AL43" s="4505"/>
      <c r="AM43" s="4505"/>
      <c r="AN43" s="4505"/>
      <c r="AO43" s="4505"/>
      <c r="AP43" s="4505"/>
      <c r="AQ43" s="4505"/>
      <c r="AR43" s="4505"/>
      <c r="AS43" s="4505"/>
      <c r="AT43" s="4505"/>
      <c r="AU43" s="4505"/>
      <c r="AV43" s="4505"/>
      <c r="AW43" s="4505"/>
      <c r="AX43" s="4505"/>
      <c r="AY43" s="4505"/>
      <c r="AZ43" s="4505"/>
      <c r="BA43" s="4505"/>
      <c r="BB43" s="4505"/>
      <c r="BC43" s="4505"/>
      <c r="BD43" s="4505"/>
      <c r="BE43" s="4505"/>
      <c r="BF43" s="4505"/>
      <c r="BG43" s="4505"/>
      <c r="BH43" s="4505"/>
      <c r="BI43" s="4505"/>
      <c r="BJ43" s="4505"/>
      <c r="BK43" s="4511"/>
      <c r="BL43" s="4511"/>
      <c r="BM43" s="4514"/>
      <c r="BN43" s="4503"/>
      <c r="BO43" s="4503"/>
      <c r="BP43" s="4505"/>
      <c r="BQ43" s="4508"/>
      <c r="BR43" s="4508"/>
      <c r="BS43" s="4508"/>
      <c r="BT43" s="4508"/>
      <c r="BU43" s="4489"/>
    </row>
    <row r="44" spans="1:73" ht="50.25" customHeight="1" x14ac:dyDescent="0.25">
      <c r="A44" s="1258"/>
      <c r="B44" s="1238"/>
      <c r="C44" s="1285"/>
      <c r="D44" s="1238"/>
      <c r="E44" s="1259"/>
      <c r="F44" s="1259"/>
      <c r="G44" s="4497"/>
      <c r="H44" s="4500"/>
      <c r="I44" s="4497"/>
      <c r="J44" s="4500"/>
      <c r="K44" s="4489"/>
      <c r="L44" s="2615"/>
      <c r="M44" s="4489"/>
      <c r="N44" s="4489"/>
      <c r="O44" s="4489"/>
      <c r="P44" s="4489"/>
      <c r="Q44" s="4489"/>
      <c r="R44" s="2615"/>
      <c r="S44" s="4492"/>
      <c r="T44" s="4519"/>
      <c r="U44" s="2615"/>
      <c r="V44" s="4521"/>
      <c r="W44" s="1305" t="s">
        <v>1697</v>
      </c>
      <c r="X44" s="1304">
        <v>0</v>
      </c>
      <c r="Y44" s="1304">
        <v>0</v>
      </c>
      <c r="Z44" s="1304">
        <v>0</v>
      </c>
      <c r="AA44" s="1232" t="s">
        <v>1698</v>
      </c>
      <c r="AB44" s="1233">
        <v>4</v>
      </c>
      <c r="AC44" s="1233" t="s">
        <v>1664</v>
      </c>
      <c r="AD44" s="4505"/>
      <c r="AE44" s="4505"/>
      <c r="AF44" s="4505"/>
      <c r="AG44" s="4505"/>
      <c r="AH44" s="4505"/>
      <c r="AI44" s="4505"/>
      <c r="AJ44" s="4505"/>
      <c r="AK44" s="4505"/>
      <c r="AL44" s="4505"/>
      <c r="AM44" s="4505"/>
      <c r="AN44" s="4505"/>
      <c r="AO44" s="4505"/>
      <c r="AP44" s="4505"/>
      <c r="AQ44" s="4505"/>
      <c r="AR44" s="4505"/>
      <c r="AS44" s="4505"/>
      <c r="AT44" s="4505"/>
      <c r="AU44" s="4505"/>
      <c r="AV44" s="4505"/>
      <c r="AW44" s="4505"/>
      <c r="AX44" s="4505"/>
      <c r="AY44" s="4505"/>
      <c r="AZ44" s="4505"/>
      <c r="BA44" s="4505"/>
      <c r="BB44" s="4505"/>
      <c r="BC44" s="4505"/>
      <c r="BD44" s="4505"/>
      <c r="BE44" s="4505"/>
      <c r="BF44" s="4505"/>
      <c r="BG44" s="4505"/>
      <c r="BH44" s="4505"/>
      <c r="BI44" s="4505"/>
      <c r="BJ44" s="4505"/>
      <c r="BK44" s="4511"/>
      <c r="BL44" s="4511"/>
      <c r="BM44" s="4514"/>
      <c r="BN44" s="4503"/>
      <c r="BO44" s="4503"/>
      <c r="BP44" s="4505"/>
      <c r="BQ44" s="4508"/>
      <c r="BR44" s="4508"/>
      <c r="BS44" s="4508"/>
      <c r="BT44" s="4508"/>
      <c r="BU44" s="4489"/>
    </row>
    <row r="45" spans="1:73" ht="50.25" customHeight="1" x14ac:dyDescent="0.25">
      <c r="A45" s="1258"/>
      <c r="B45" s="1238"/>
      <c r="C45" s="1285"/>
      <c r="D45" s="1238"/>
      <c r="E45" s="1259"/>
      <c r="F45" s="1259"/>
      <c r="G45" s="4498"/>
      <c r="H45" s="4501"/>
      <c r="I45" s="4498"/>
      <c r="J45" s="4501"/>
      <c r="K45" s="4490"/>
      <c r="L45" s="4495"/>
      <c r="M45" s="4490"/>
      <c r="N45" s="4490"/>
      <c r="O45" s="4490"/>
      <c r="P45" s="4490"/>
      <c r="Q45" s="4489"/>
      <c r="R45" s="2615"/>
      <c r="S45" s="4502"/>
      <c r="T45" s="4519"/>
      <c r="U45" s="4495"/>
      <c r="V45" s="4521"/>
      <c r="W45" s="1305" t="s">
        <v>1666</v>
      </c>
      <c r="X45" s="1304">
        <v>2152000.29</v>
      </c>
      <c r="Y45" s="1304">
        <v>0</v>
      </c>
      <c r="Z45" s="1304">
        <v>0</v>
      </c>
      <c r="AA45" s="1232" t="s">
        <v>1699</v>
      </c>
      <c r="AB45" s="1233">
        <v>4</v>
      </c>
      <c r="AC45" s="1233" t="s">
        <v>1664</v>
      </c>
      <c r="AD45" s="4505"/>
      <c r="AE45" s="4505"/>
      <c r="AF45" s="4505"/>
      <c r="AG45" s="4505"/>
      <c r="AH45" s="4505"/>
      <c r="AI45" s="4505"/>
      <c r="AJ45" s="4505"/>
      <c r="AK45" s="4505"/>
      <c r="AL45" s="4505"/>
      <c r="AM45" s="4505"/>
      <c r="AN45" s="4505"/>
      <c r="AO45" s="4505"/>
      <c r="AP45" s="4505"/>
      <c r="AQ45" s="4505"/>
      <c r="AR45" s="4505"/>
      <c r="AS45" s="4505"/>
      <c r="AT45" s="4505"/>
      <c r="AU45" s="4505"/>
      <c r="AV45" s="4505"/>
      <c r="AW45" s="4505"/>
      <c r="AX45" s="4505"/>
      <c r="AY45" s="4505"/>
      <c r="AZ45" s="4505"/>
      <c r="BA45" s="4505"/>
      <c r="BB45" s="4505"/>
      <c r="BC45" s="4505"/>
      <c r="BD45" s="4505"/>
      <c r="BE45" s="4505"/>
      <c r="BF45" s="4505"/>
      <c r="BG45" s="4505"/>
      <c r="BH45" s="4505"/>
      <c r="BI45" s="4505"/>
      <c r="BJ45" s="4505"/>
      <c r="BK45" s="4511"/>
      <c r="BL45" s="4511"/>
      <c r="BM45" s="4514"/>
      <c r="BN45" s="4503"/>
      <c r="BO45" s="4503"/>
      <c r="BP45" s="4505"/>
      <c r="BQ45" s="4508"/>
      <c r="BR45" s="4508"/>
      <c r="BS45" s="4508"/>
      <c r="BT45" s="4508"/>
      <c r="BU45" s="4489"/>
    </row>
    <row r="46" spans="1:73" ht="50.25" customHeight="1" x14ac:dyDescent="0.25">
      <c r="A46" s="1258" t="s">
        <v>319</v>
      </c>
      <c r="B46" s="1238" t="s">
        <v>319</v>
      </c>
      <c r="C46" s="1285"/>
      <c r="D46" s="1238"/>
      <c r="E46" s="1259" t="s">
        <v>319</v>
      </c>
      <c r="F46" s="1259" t="s">
        <v>319</v>
      </c>
      <c r="G46" s="4496">
        <v>4001015</v>
      </c>
      <c r="H46" s="4499" t="s">
        <v>644</v>
      </c>
      <c r="I46" s="4496">
        <v>4001015</v>
      </c>
      <c r="J46" s="4499" t="s">
        <v>644</v>
      </c>
      <c r="K46" s="4488">
        <v>400101500</v>
      </c>
      <c r="L46" s="4494" t="s">
        <v>644</v>
      </c>
      <c r="M46" s="4488">
        <v>400101500</v>
      </c>
      <c r="N46" s="4488" t="s">
        <v>644</v>
      </c>
      <c r="O46" s="4488">
        <v>50</v>
      </c>
      <c r="P46" s="4488">
        <v>0</v>
      </c>
      <c r="Q46" s="4489"/>
      <c r="R46" s="2615"/>
      <c r="S46" s="4491">
        <f>SUM(X46:X49)/T27</f>
        <v>0.15514329172621302</v>
      </c>
      <c r="T46" s="4519"/>
      <c r="U46" s="4494" t="s">
        <v>1674</v>
      </c>
      <c r="V46" s="4521"/>
      <c r="W46" s="800" t="s">
        <v>644</v>
      </c>
      <c r="X46" s="1304">
        <v>102506015.98999999</v>
      </c>
      <c r="Y46" s="1231">
        <v>0</v>
      </c>
      <c r="Z46" s="1231">
        <v>0</v>
      </c>
      <c r="AA46" s="1232" t="s">
        <v>1700</v>
      </c>
      <c r="AB46" s="1233">
        <v>3</v>
      </c>
      <c r="AC46" s="1233" t="s">
        <v>456</v>
      </c>
      <c r="AD46" s="4505"/>
      <c r="AE46" s="4505"/>
      <c r="AF46" s="4505"/>
      <c r="AG46" s="4505"/>
      <c r="AH46" s="4505"/>
      <c r="AI46" s="4505"/>
      <c r="AJ46" s="4505"/>
      <c r="AK46" s="4505"/>
      <c r="AL46" s="4505"/>
      <c r="AM46" s="4505"/>
      <c r="AN46" s="4505"/>
      <c r="AO46" s="4505"/>
      <c r="AP46" s="4505"/>
      <c r="AQ46" s="4505"/>
      <c r="AR46" s="4505"/>
      <c r="AS46" s="4505"/>
      <c r="AT46" s="4505"/>
      <c r="AU46" s="4505"/>
      <c r="AV46" s="4505"/>
      <c r="AW46" s="4505"/>
      <c r="AX46" s="4505"/>
      <c r="AY46" s="4505"/>
      <c r="AZ46" s="4505"/>
      <c r="BA46" s="4505"/>
      <c r="BB46" s="4505"/>
      <c r="BC46" s="4505"/>
      <c r="BD46" s="4505"/>
      <c r="BE46" s="4505"/>
      <c r="BF46" s="4505"/>
      <c r="BG46" s="4505"/>
      <c r="BH46" s="4505"/>
      <c r="BI46" s="4505"/>
      <c r="BJ46" s="4505"/>
      <c r="BK46" s="4511"/>
      <c r="BL46" s="4511"/>
      <c r="BM46" s="4514"/>
      <c r="BN46" s="4503"/>
      <c r="BO46" s="4503"/>
      <c r="BP46" s="4505"/>
      <c r="BQ46" s="4508"/>
      <c r="BR46" s="4508"/>
      <c r="BS46" s="4508"/>
      <c r="BT46" s="4508"/>
      <c r="BU46" s="4489"/>
    </row>
    <row r="47" spans="1:73" ht="50.25" customHeight="1" x14ac:dyDescent="0.25">
      <c r="A47" s="1258"/>
      <c r="B47" s="1238"/>
      <c r="C47" s="1285"/>
      <c r="D47" s="1238"/>
      <c r="E47" s="1259"/>
      <c r="F47" s="1259"/>
      <c r="G47" s="4497"/>
      <c r="H47" s="4500"/>
      <c r="I47" s="4497"/>
      <c r="J47" s="4500"/>
      <c r="K47" s="4489"/>
      <c r="L47" s="2615"/>
      <c r="M47" s="4489"/>
      <c r="N47" s="4489"/>
      <c r="O47" s="4489"/>
      <c r="P47" s="4489"/>
      <c r="Q47" s="4489"/>
      <c r="R47" s="2615"/>
      <c r="S47" s="4492"/>
      <c r="T47" s="4519"/>
      <c r="U47" s="2615"/>
      <c r="V47" s="4521"/>
      <c r="W47" s="800" t="s">
        <v>1666</v>
      </c>
      <c r="X47" s="1304">
        <v>36338563.399999999</v>
      </c>
      <c r="Y47" s="1231">
        <v>0</v>
      </c>
      <c r="Z47" s="1231">
        <v>0</v>
      </c>
      <c r="AA47" s="1232" t="s">
        <v>1701</v>
      </c>
      <c r="AB47" s="1233">
        <v>3</v>
      </c>
      <c r="AC47" s="1233" t="s">
        <v>456</v>
      </c>
      <c r="AD47" s="4505"/>
      <c r="AE47" s="4505"/>
      <c r="AF47" s="4505"/>
      <c r="AG47" s="4505"/>
      <c r="AH47" s="4505"/>
      <c r="AI47" s="4505"/>
      <c r="AJ47" s="4505"/>
      <c r="AK47" s="4505"/>
      <c r="AL47" s="4505"/>
      <c r="AM47" s="4505"/>
      <c r="AN47" s="4505"/>
      <c r="AO47" s="4505"/>
      <c r="AP47" s="4505"/>
      <c r="AQ47" s="4505"/>
      <c r="AR47" s="4505"/>
      <c r="AS47" s="4505"/>
      <c r="AT47" s="4505"/>
      <c r="AU47" s="4505"/>
      <c r="AV47" s="4505"/>
      <c r="AW47" s="4505"/>
      <c r="AX47" s="4505"/>
      <c r="AY47" s="4505"/>
      <c r="AZ47" s="4505"/>
      <c r="BA47" s="4505"/>
      <c r="BB47" s="4505"/>
      <c r="BC47" s="4505"/>
      <c r="BD47" s="4505"/>
      <c r="BE47" s="4505"/>
      <c r="BF47" s="4505"/>
      <c r="BG47" s="4505"/>
      <c r="BH47" s="4505"/>
      <c r="BI47" s="4505"/>
      <c r="BJ47" s="4505"/>
      <c r="BK47" s="4511"/>
      <c r="BL47" s="4511"/>
      <c r="BM47" s="4514"/>
      <c r="BN47" s="4503"/>
      <c r="BO47" s="4503"/>
      <c r="BP47" s="4505"/>
      <c r="BQ47" s="4508"/>
      <c r="BR47" s="4508"/>
      <c r="BS47" s="4508"/>
      <c r="BT47" s="4508"/>
      <c r="BU47" s="4489"/>
    </row>
    <row r="48" spans="1:73" ht="50.25" customHeight="1" x14ac:dyDescent="0.25">
      <c r="A48" s="1258"/>
      <c r="B48" s="1238"/>
      <c r="C48" s="1285"/>
      <c r="D48" s="1238"/>
      <c r="E48" s="1259"/>
      <c r="F48" s="1259"/>
      <c r="G48" s="4497"/>
      <c r="H48" s="4500"/>
      <c r="I48" s="4497"/>
      <c r="J48" s="4500"/>
      <c r="K48" s="4489"/>
      <c r="L48" s="2615"/>
      <c r="M48" s="4489"/>
      <c r="N48" s="4489"/>
      <c r="O48" s="4489"/>
      <c r="P48" s="4489"/>
      <c r="Q48" s="4489"/>
      <c r="R48" s="2615"/>
      <c r="S48" s="4492"/>
      <c r="T48" s="4519"/>
      <c r="U48" s="2615"/>
      <c r="V48" s="4521"/>
      <c r="W48" s="800" t="s">
        <v>644</v>
      </c>
      <c r="X48" s="1304">
        <v>48710730.979999997</v>
      </c>
      <c r="Y48" s="1231">
        <v>0</v>
      </c>
      <c r="Z48" s="1231">
        <v>0</v>
      </c>
      <c r="AA48" s="1232" t="s">
        <v>1700</v>
      </c>
      <c r="AB48" s="1233">
        <v>4</v>
      </c>
      <c r="AC48" s="1233" t="s">
        <v>1664</v>
      </c>
      <c r="AD48" s="4505"/>
      <c r="AE48" s="4505"/>
      <c r="AF48" s="4505"/>
      <c r="AG48" s="4505"/>
      <c r="AH48" s="4505"/>
      <c r="AI48" s="4505"/>
      <c r="AJ48" s="4505"/>
      <c r="AK48" s="4505"/>
      <c r="AL48" s="4505"/>
      <c r="AM48" s="4505"/>
      <c r="AN48" s="4505"/>
      <c r="AO48" s="4505"/>
      <c r="AP48" s="4505"/>
      <c r="AQ48" s="4505"/>
      <c r="AR48" s="4505"/>
      <c r="AS48" s="4505"/>
      <c r="AT48" s="4505"/>
      <c r="AU48" s="4505"/>
      <c r="AV48" s="4505"/>
      <c r="AW48" s="4505"/>
      <c r="AX48" s="4505"/>
      <c r="AY48" s="4505"/>
      <c r="AZ48" s="4505"/>
      <c r="BA48" s="4505"/>
      <c r="BB48" s="4505"/>
      <c r="BC48" s="4505"/>
      <c r="BD48" s="4505"/>
      <c r="BE48" s="4505"/>
      <c r="BF48" s="4505"/>
      <c r="BG48" s="4505"/>
      <c r="BH48" s="4505"/>
      <c r="BI48" s="4505"/>
      <c r="BJ48" s="4505"/>
      <c r="BK48" s="4511"/>
      <c r="BL48" s="4511"/>
      <c r="BM48" s="4514"/>
      <c r="BN48" s="4503"/>
      <c r="BO48" s="4503"/>
      <c r="BP48" s="4505"/>
      <c r="BQ48" s="4508"/>
      <c r="BR48" s="4508"/>
      <c r="BS48" s="4508"/>
      <c r="BT48" s="4508"/>
      <c r="BU48" s="4489"/>
    </row>
    <row r="49" spans="1:73" ht="50.25" customHeight="1" x14ac:dyDescent="0.25">
      <c r="A49" s="1260"/>
      <c r="B49" s="1233"/>
      <c r="C49" s="1287"/>
      <c r="D49" s="1233"/>
      <c r="E49" s="1309"/>
      <c r="F49" s="1309"/>
      <c r="G49" s="4498"/>
      <c r="H49" s="4501"/>
      <c r="I49" s="4498"/>
      <c r="J49" s="4501"/>
      <c r="K49" s="4490"/>
      <c r="L49" s="4495"/>
      <c r="M49" s="4490"/>
      <c r="N49" s="4490"/>
      <c r="O49" s="4490"/>
      <c r="P49" s="4490"/>
      <c r="Q49" s="4490"/>
      <c r="R49" s="4495"/>
      <c r="S49" s="4493"/>
      <c r="T49" s="4520"/>
      <c r="U49" s="4495"/>
      <c r="V49" s="4521"/>
      <c r="W49" s="800" t="s">
        <v>1666</v>
      </c>
      <c r="X49" s="1304">
        <v>0</v>
      </c>
      <c r="Y49" s="1231">
        <v>0</v>
      </c>
      <c r="Z49" s="1231">
        <v>0</v>
      </c>
      <c r="AA49" s="1232" t="s">
        <v>1701</v>
      </c>
      <c r="AB49" s="1233">
        <v>4</v>
      </c>
      <c r="AC49" s="1233" t="s">
        <v>1664</v>
      </c>
      <c r="AD49" s="4506"/>
      <c r="AE49" s="4506"/>
      <c r="AF49" s="4506"/>
      <c r="AG49" s="4506"/>
      <c r="AH49" s="4506"/>
      <c r="AI49" s="4506"/>
      <c r="AJ49" s="4506"/>
      <c r="AK49" s="4506"/>
      <c r="AL49" s="4506"/>
      <c r="AM49" s="4506"/>
      <c r="AN49" s="4506"/>
      <c r="AO49" s="4506"/>
      <c r="AP49" s="4506"/>
      <c r="AQ49" s="4506"/>
      <c r="AR49" s="4506"/>
      <c r="AS49" s="4506"/>
      <c r="AT49" s="4506"/>
      <c r="AU49" s="4506"/>
      <c r="AV49" s="4506"/>
      <c r="AW49" s="4506"/>
      <c r="AX49" s="4506"/>
      <c r="AY49" s="4506"/>
      <c r="AZ49" s="4506"/>
      <c r="BA49" s="4506"/>
      <c r="BB49" s="4506"/>
      <c r="BC49" s="4506"/>
      <c r="BD49" s="4506"/>
      <c r="BE49" s="4506"/>
      <c r="BF49" s="4506"/>
      <c r="BG49" s="4506"/>
      <c r="BH49" s="4506"/>
      <c r="BI49" s="4506"/>
      <c r="BJ49" s="4506"/>
      <c r="BK49" s="4512"/>
      <c r="BL49" s="4512"/>
      <c r="BM49" s="4515"/>
      <c r="BN49" s="4503"/>
      <c r="BO49" s="4503"/>
      <c r="BP49" s="4506"/>
      <c r="BQ49" s="4509"/>
      <c r="BR49" s="4509"/>
      <c r="BS49" s="4509"/>
      <c r="BT49" s="4509"/>
      <c r="BU49" s="4490"/>
    </row>
    <row r="50" spans="1:73" ht="29.25" customHeight="1" x14ac:dyDescent="0.25">
      <c r="A50" s="1310" t="s">
        <v>319</v>
      </c>
      <c r="B50" s="1310" t="s">
        <v>319</v>
      </c>
      <c r="C50" s="1310"/>
      <c r="D50" s="1310"/>
      <c r="E50" s="1310" t="s">
        <v>319</v>
      </c>
      <c r="F50" s="1310" t="s">
        <v>319</v>
      </c>
      <c r="G50" s="1310" t="s">
        <v>319</v>
      </c>
      <c r="H50" s="1310" t="s">
        <v>319</v>
      </c>
      <c r="I50" s="1310"/>
      <c r="J50" s="1310"/>
      <c r="K50" s="1310" t="s">
        <v>319</v>
      </c>
      <c r="L50" s="1310" t="s">
        <v>319</v>
      </c>
      <c r="M50" s="1310"/>
      <c r="N50" s="1310"/>
      <c r="O50" s="1310" t="s">
        <v>319</v>
      </c>
      <c r="P50" s="1310"/>
      <c r="Q50" s="1310" t="s">
        <v>319</v>
      </c>
      <c r="R50" s="1310" t="s">
        <v>319</v>
      </c>
      <c r="S50" s="1310" t="s">
        <v>319</v>
      </c>
      <c r="T50" s="1311">
        <f>SUM(T13:T49)</f>
        <v>2024983199.03</v>
      </c>
      <c r="U50" s="1310" t="s">
        <v>319</v>
      </c>
      <c r="V50" s="1310" t="s">
        <v>319</v>
      </c>
      <c r="W50" s="1312" t="s">
        <v>319</v>
      </c>
      <c r="X50" s="1313">
        <f>SUM(X13:X49)</f>
        <v>2024983199.0299997</v>
      </c>
      <c r="Y50" s="1313"/>
      <c r="Z50" s="1313"/>
      <c r="AA50" s="1310" t="s">
        <v>319</v>
      </c>
      <c r="AB50" s="1310" t="s">
        <v>319</v>
      </c>
      <c r="AC50" s="1310" t="s">
        <v>319</v>
      </c>
      <c r="AD50" s="1314" t="s">
        <v>319</v>
      </c>
      <c r="AE50" s="1314"/>
      <c r="AF50" s="1314" t="s">
        <v>319</v>
      </c>
      <c r="AG50" s="1314"/>
      <c r="AH50" s="1314" t="s">
        <v>319</v>
      </c>
      <c r="AI50" s="1314"/>
      <c r="AJ50" s="1314" t="s">
        <v>319</v>
      </c>
      <c r="AK50" s="1314"/>
      <c r="AL50" s="1314" t="s">
        <v>319</v>
      </c>
      <c r="AM50" s="1314"/>
      <c r="AN50" s="1314" t="s">
        <v>319</v>
      </c>
      <c r="AO50" s="1314"/>
      <c r="AP50" s="1314" t="s">
        <v>319</v>
      </c>
      <c r="AQ50" s="1314"/>
      <c r="AR50" s="1314" t="s">
        <v>319</v>
      </c>
      <c r="AS50" s="1314"/>
      <c r="AT50" s="1314" t="s">
        <v>319</v>
      </c>
      <c r="AU50" s="1314"/>
      <c r="AV50" s="1314" t="s">
        <v>319</v>
      </c>
      <c r="AW50" s="1314"/>
      <c r="AX50" s="1314" t="s">
        <v>319</v>
      </c>
      <c r="AY50" s="1314"/>
      <c r="AZ50" s="1314" t="s">
        <v>319</v>
      </c>
      <c r="BA50" s="1314"/>
      <c r="BB50" s="1314" t="s">
        <v>319</v>
      </c>
      <c r="BC50" s="1314"/>
      <c r="BD50" s="1314" t="s">
        <v>319</v>
      </c>
      <c r="BE50" s="1314"/>
      <c r="BF50" s="1314" t="s">
        <v>319</v>
      </c>
      <c r="BG50" s="1314"/>
      <c r="BH50" s="1314" t="s">
        <v>319</v>
      </c>
      <c r="BI50" s="1314"/>
      <c r="BJ50" s="1314"/>
      <c r="BK50" s="1314"/>
      <c r="BL50" s="1314"/>
      <c r="BM50" s="1314"/>
      <c r="BN50" s="1314"/>
      <c r="BO50" s="1314"/>
      <c r="BP50" s="1314"/>
      <c r="BQ50" s="1315" t="s">
        <v>319</v>
      </c>
      <c r="BR50" s="1315"/>
      <c r="BS50" s="1315" t="s">
        <v>319</v>
      </c>
      <c r="BT50" s="1315"/>
      <c r="BU50" s="1316" t="s">
        <v>319</v>
      </c>
    </row>
  </sheetData>
  <sheetProtection algorithmName="SHA-512" hashValue="oWr0P3ksiLjK8xTJz3wkgUd+ogYCLz2SMswQa1uuvaWg5sZfBq8hHZao4WZBl6UVCraSGje9WF6LA1MYUn45YA==" saltValue="neRFvIGJ91TFfcwEed++VQ==" spinCount="100000" sheet="1" objects="1" scenarios="1"/>
  <mergeCells count="358">
    <mergeCell ref="A1:BS4"/>
    <mergeCell ref="A5:P6"/>
    <mergeCell ref="A7:B7"/>
    <mergeCell ref="C7:D7"/>
    <mergeCell ref="E7:F7"/>
    <mergeCell ref="G7:J7"/>
    <mergeCell ref="K7:N7"/>
    <mergeCell ref="O7:Z7"/>
    <mergeCell ref="AA7:AC7"/>
    <mergeCell ref="AD7:AG7"/>
    <mergeCell ref="BS7:BT8"/>
    <mergeCell ref="U8:U9"/>
    <mergeCell ref="I8:I9"/>
    <mergeCell ref="J8:J9"/>
    <mergeCell ref="K8:K9"/>
    <mergeCell ref="L8:L9"/>
    <mergeCell ref="M8:M9"/>
    <mergeCell ref="N8:N9"/>
    <mergeCell ref="BK8:BK9"/>
    <mergeCell ref="BL8:BL9"/>
    <mergeCell ref="BM8:BM9"/>
    <mergeCell ref="BN8:BO8"/>
    <mergeCell ref="BP8:BP9"/>
    <mergeCell ref="BU7:BU8"/>
    <mergeCell ref="A8:A9"/>
    <mergeCell ref="B8:B9"/>
    <mergeCell ref="C8:C9"/>
    <mergeCell ref="D8:D9"/>
    <mergeCell ref="E8:E9"/>
    <mergeCell ref="F8:F9"/>
    <mergeCell ref="G8:G9"/>
    <mergeCell ref="H8:H9"/>
    <mergeCell ref="AH7:AO7"/>
    <mergeCell ref="AP7:BA7"/>
    <mergeCell ref="BB7:BG7"/>
    <mergeCell ref="BH7:BI8"/>
    <mergeCell ref="BJ7:BP7"/>
    <mergeCell ref="BQ7:BR8"/>
    <mergeCell ref="AP8:AQ8"/>
    <mergeCell ref="AR8:AS8"/>
    <mergeCell ref="AT8:AU8"/>
    <mergeCell ref="AV8:AW8"/>
    <mergeCell ref="O8:P8"/>
    <mergeCell ref="Q8:Q9"/>
    <mergeCell ref="R8:R9"/>
    <mergeCell ref="S8:S9"/>
    <mergeCell ref="T8:T9"/>
    <mergeCell ref="B10:F10"/>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13:O14"/>
    <mergeCell ref="P13:P14"/>
    <mergeCell ref="Q13:Q14"/>
    <mergeCell ref="R13:R14"/>
    <mergeCell ref="S13:S14"/>
    <mergeCell ref="T13:T14"/>
    <mergeCell ref="D11:H11"/>
    <mergeCell ref="F12:T12"/>
    <mergeCell ref="G13:G14"/>
    <mergeCell ref="H13:H14"/>
    <mergeCell ref="I13:I14"/>
    <mergeCell ref="J13:J14"/>
    <mergeCell ref="K13:K14"/>
    <mergeCell ref="L13:L14"/>
    <mergeCell ref="M13:M14"/>
    <mergeCell ref="N13:N14"/>
    <mergeCell ref="AI13:AI14"/>
    <mergeCell ref="AJ13:AJ14"/>
    <mergeCell ref="AK13:AK14"/>
    <mergeCell ref="AL13:AL14"/>
    <mergeCell ref="AM13:AM14"/>
    <mergeCell ref="AN13:AN14"/>
    <mergeCell ref="U13:U14"/>
    <mergeCell ref="AD13:AD14"/>
    <mergeCell ref="AE13:AE14"/>
    <mergeCell ref="AF13:AF14"/>
    <mergeCell ref="AG13:AG14"/>
    <mergeCell ref="AH13:AH14"/>
    <mergeCell ref="AU13:AU14"/>
    <mergeCell ref="AV13:AV14"/>
    <mergeCell ref="AW13:AW14"/>
    <mergeCell ref="AX13:AX14"/>
    <mergeCell ref="AY13:AY14"/>
    <mergeCell ref="AZ13:AZ14"/>
    <mergeCell ref="AO13:AO14"/>
    <mergeCell ref="AP13:AP14"/>
    <mergeCell ref="AQ13:AQ14"/>
    <mergeCell ref="AR13:AR14"/>
    <mergeCell ref="AS13:AS14"/>
    <mergeCell ref="AT13:AT14"/>
    <mergeCell ref="BI13:BI14"/>
    <mergeCell ref="BJ13:BJ14"/>
    <mergeCell ref="BK13:BK14"/>
    <mergeCell ref="BL13:BL14"/>
    <mergeCell ref="BA13:BA14"/>
    <mergeCell ref="BB13:BB14"/>
    <mergeCell ref="BC13:BC14"/>
    <mergeCell ref="BD13:BD14"/>
    <mergeCell ref="BE13:BE14"/>
    <mergeCell ref="BF13:BF14"/>
    <mergeCell ref="O17:O18"/>
    <mergeCell ref="P17:P18"/>
    <mergeCell ref="Q17:Q18"/>
    <mergeCell ref="R17:R18"/>
    <mergeCell ref="S17:S18"/>
    <mergeCell ref="T17:T18"/>
    <mergeCell ref="BU13:BU14"/>
    <mergeCell ref="D15:H15"/>
    <mergeCell ref="G17:G18"/>
    <mergeCell ref="H17:H18"/>
    <mergeCell ref="I17:I18"/>
    <mergeCell ref="J17:J18"/>
    <mergeCell ref="K17:K18"/>
    <mergeCell ref="L17:L18"/>
    <mergeCell ref="M17:M18"/>
    <mergeCell ref="N17:N18"/>
    <mergeCell ref="BM13:BM14"/>
    <mergeCell ref="BP13:BP14"/>
    <mergeCell ref="BQ13:BQ14"/>
    <mergeCell ref="BR13:BR14"/>
    <mergeCell ref="BS13:BS14"/>
    <mergeCell ref="BT13:BT14"/>
    <mergeCell ref="BG13:BG14"/>
    <mergeCell ref="BH13:BH14"/>
    <mergeCell ref="AI17:AI18"/>
    <mergeCell ref="AJ17:AJ18"/>
    <mergeCell ref="AK17:AK18"/>
    <mergeCell ref="AL17:AL18"/>
    <mergeCell ref="AM17:AM18"/>
    <mergeCell ref="AN17:AN18"/>
    <mergeCell ref="U17:U18"/>
    <mergeCell ref="AD17:AD18"/>
    <mergeCell ref="AE17:AE18"/>
    <mergeCell ref="AF17:AF18"/>
    <mergeCell ref="AG17:AG18"/>
    <mergeCell ref="AH17:AH18"/>
    <mergeCell ref="AU17:AU18"/>
    <mergeCell ref="AV17:AV18"/>
    <mergeCell ref="AW17:AW18"/>
    <mergeCell ref="AX17:AX18"/>
    <mergeCell ref="AY17:AY18"/>
    <mergeCell ref="AZ17:AZ18"/>
    <mergeCell ref="AO17:AO18"/>
    <mergeCell ref="AP17:AP18"/>
    <mergeCell ref="AQ17:AQ18"/>
    <mergeCell ref="AR17:AR18"/>
    <mergeCell ref="AS17:AS18"/>
    <mergeCell ref="AT17:AT18"/>
    <mergeCell ref="BI17:BI18"/>
    <mergeCell ref="BJ17:BJ18"/>
    <mergeCell ref="BK17:BK18"/>
    <mergeCell ref="BL17:BL18"/>
    <mergeCell ref="BA17:BA18"/>
    <mergeCell ref="BB17:BB18"/>
    <mergeCell ref="BC17:BC18"/>
    <mergeCell ref="BD17:BD18"/>
    <mergeCell ref="BE17:BE18"/>
    <mergeCell ref="BF17:BF18"/>
    <mergeCell ref="N22:N24"/>
    <mergeCell ref="O22:O24"/>
    <mergeCell ref="P22:P24"/>
    <mergeCell ref="Q22:Q24"/>
    <mergeCell ref="R22:R24"/>
    <mergeCell ref="S22:S24"/>
    <mergeCell ref="BU17:BU18"/>
    <mergeCell ref="B19:F19"/>
    <mergeCell ref="F21:Q21"/>
    <mergeCell ref="G22:G24"/>
    <mergeCell ref="H22:H24"/>
    <mergeCell ref="I22:I24"/>
    <mergeCell ref="J22:J24"/>
    <mergeCell ref="K22:K24"/>
    <mergeCell ref="L22:L24"/>
    <mergeCell ref="M22:M24"/>
    <mergeCell ref="BM17:BM18"/>
    <mergeCell ref="BP17:BP18"/>
    <mergeCell ref="BQ17:BQ18"/>
    <mergeCell ref="BR17:BR18"/>
    <mergeCell ref="BS17:BS18"/>
    <mergeCell ref="BT17:BT18"/>
    <mergeCell ref="BG17:BG18"/>
    <mergeCell ref="BH17:BH18"/>
    <mergeCell ref="AH22:AH24"/>
    <mergeCell ref="AI22:AI24"/>
    <mergeCell ref="AJ22:AJ24"/>
    <mergeCell ref="AK22:AK24"/>
    <mergeCell ref="AL22:AL24"/>
    <mergeCell ref="AM22:AM24"/>
    <mergeCell ref="T22:T24"/>
    <mergeCell ref="U22:U24"/>
    <mergeCell ref="AD22:AD24"/>
    <mergeCell ref="AE22:AE24"/>
    <mergeCell ref="AF22:AF24"/>
    <mergeCell ref="AG22:AG24"/>
    <mergeCell ref="AT22:AT24"/>
    <mergeCell ref="AU22:AU24"/>
    <mergeCell ref="AV22:AV24"/>
    <mergeCell ref="AW22:AW24"/>
    <mergeCell ref="AX22:AX24"/>
    <mergeCell ref="AY22:AY24"/>
    <mergeCell ref="AN22:AN24"/>
    <mergeCell ref="AO22:AO24"/>
    <mergeCell ref="AP22:AP24"/>
    <mergeCell ref="AQ22:AQ24"/>
    <mergeCell ref="AR22:AR24"/>
    <mergeCell ref="AS22:AS24"/>
    <mergeCell ref="BR22:BR24"/>
    <mergeCell ref="BS22:BS24"/>
    <mergeCell ref="BT22:BT24"/>
    <mergeCell ref="BU22:BU24"/>
    <mergeCell ref="V23:V24"/>
    <mergeCell ref="W23:W24"/>
    <mergeCell ref="BL22:BL24"/>
    <mergeCell ref="BM22:BM24"/>
    <mergeCell ref="BN22:BN24"/>
    <mergeCell ref="BO22:BO24"/>
    <mergeCell ref="BP22:BP24"/>
    <mergeCell ref="BQ22:BQ24"/>
    <mergeCell ref="BF22:BF24"/>
    <mergeCell ref="BG22:BG24"/>
    <mergeCell ref="BH22:BH24"/>
    <mergeCell ref="BI22:BI24"/>
    <mergeCell ref="BJ22:BJ24"/>
    <mergeCell ref="BK22:BK24"/>
    <mergeCell ref="AZ22:AZ24"/>
    <mergeCell ref="BA22:BA24"/>
    <mergeCell ref="BB22:BB24"/>
    <mergeCell ref="BC22:BC24"/>
    <mergeCell ref="BD22:BD24"/>
    <mergeCell ref="BE22:BE24"/>
    <mergeCell ref="AE27:AE49"/>
    <mergeCell ref="AF27:AF49"/>
    <mergeCell ref="AG27:AG49"/>
    <mergeCell ref="AH27:AH49"/>
    <mergeCell ref="AI27:AI49"/>
    <mergeCell ref="AJ27:AJ49"/>
    <mergeCell ref="F26:O26"/>
    <mergeCell ref="Q27:Q49"/>
    <mergeCell ref="R27:R49"/>
    <mergeCell ref="T27:T49"/>
    <mergeCell ref="V27:V37"/>
    <mergeCell ref="AD27:AD49"/>
    <mergeCell ref="P28:P33"/>
    <mergeCell ref="S28:S33"/>
    <mergeCell ref="U28:U33"/>
    <mergeCell ref="G34:G37"/>
    <mergeCell ref="N34:N37"/>
    <mergeCell ref="O34:O37"/>
    <mergeCell ref="P34:P37"/>
    <mergeCell ref="S34:S37"/>
    <mergeCell ref="U34:U37"/>
    <mergeCell ref="V38:V49"/>
    <mergeCell ref="H34:H37"/>
    <mergeCell ref="I34:I37"/>
    <mergeCell ref="AQ27:AQ49"/>
    <mergeCell ref="AR27:AR49"/>
    <mergeCell ref="AS27:AS49"/>
    <mergeCell ref="AT27:AT49"/>
    <mergeCell ref="AU27:AU49"/>
    <mergeCell ref="AV27:AV49"/>
    <mergeCell ref="AK27:AK49"/>
    <mergeCell ref="AL27:AL49"/>
    <mergeCell ref="AM27:AM49"/>
    <mergeCell ref="AN27:AN49"/>
    <mergeCell ref="AO27:AO49"/>
    <mergeCell ref="AP27:AP49"/>
    <mergeCell ref="BC27:BC49"/>
    <mergeCell ref="BD27:BD49"/>
    <mergeCell ref="BE27:BE49"/>
    <mergeCell ref="BF27:BF49"/>
    <mergeCell ref="BG27:BG49"/>
    <mergeCell ref="BH27:BH49"/>
    <mergeCell ref="AW27:AW49"/>
    <mergeCell ref="AX27:AX49"/>
    <mergeCell ref="AY27:AY49"/>
    <mergeCell ref="AZ27:AZ49"/>
    <mergeCell ref="BA27:BA49"/>
    <mergeCell ref="BB27:BB49"/>
    <mergeCell ref="BU27:BU49"/>
    <mergeCell ref="G28:G33"/>
    <mergeCell ref="H28:H33"/>
    <mergeCell ref="I28:I33"/>
    <mergeCell ref="J28:J33"/>
    <mergeCell ref="K28:K33"/>
    <mergeCell ref="L28:L33"/>
    <mergeCell ref="M28:M33"/>
    <mergeCell ref="N28:N33"/>
    <mergeCell ref="O28:O33"/>
    <mergeCell ref="BO27:BO38"/>
    <mergeCell ref="BP27:BP49"/>
    <mergeCell ref="BQ27:BQ49"/>
    <mergeCell ref="BR27:BR49"/>
    <mergeCell ref="BS27:BS49"/>
    <mergeCell ref="BT27:BT49"/>
    <mergeCell ref="BO39:BO49"/>
    <mergeCell ref="BI27:BI49"/>
    <mergeCell ref="BJ27:BJ49"/>
    <mergeCell ref="BK27:BK49"/>
    <mergeCell ref="BL27:BL49"/>
    <mergeCell ref="BM27:BM49"/>
    <mergeCell ref="BN27:BN38"/>
    <mergeCell ref="BN39:BN49"/>
    <mergeCell ref="J34:J37"/>
    <mergeCell ref="K34:K37"/>
    <mergeCell ref="L34:L37"/>
    <mergeCell ref="M34:M37"/>
    <mergeCell ref="M39:M41"/>
    <mergeCell ref="N39:N41"/>
    <mergeCell ref="O39:O41"/>
    <mergeCell ref="P39:P41"/>
    <mergeCell ref="S39:S41"/>
    <mergeCell ref="U39:U41"/>
    <mergeCell ref="G39:G41"/>
    <mergeCell ref="H39:H41"/>
    <mergeCell ref="I39:I41"/>
    <mergeCell ref="J39:J41"/>
    <mergeCell ref="K39:K41"/>
    <mergeCell ref="L39:L41"/>
    <mergeCell ref="M42:M45"/>
    <mergeCell ref="N42:N45"/>
    <mergeCell ref="O42:O45"/>
    <mergeCell ref="P42:P45"/>
    <mergeCell ref="S42:S45"/>
    <mergeCell ref="U42:U45"/>
    <mergeCell ref="G42:G45"/>
    <mergeCell ref="H42:H45"/>
    <mergeCell ref="I42:I45"/>
    <mergeCell ref="J42:J45"/>
    <mergeCell ref="K42:K45"/>
    <mergeCell ref="L42:L45"/>
    <mergeCell ref="M46:M49"/>
    <mergeCell ref="N46:N49"/>
    <mergeCell ref="O46:O49"/>
    <mergeCell ref="P46:P49"/>
    <mergeCell ref="S46:S49"/>
    <mergeCell ref="U46:U49"/>
    <mergeCell ref="G46:G49"/>
    <mergeCell ref="H46:H49"/>
    <mergeCell ref="I46:I49"/>
    <mergeCell ref="J46:J49"/>
    <mergeCell ref="K46:K49"/>
    <mergeCell ref="L46:L49"/>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N35"/>
  <sheetViews>
    <sheetView showGridLines="0" zoomScale="70" zoomScaleNormal="70" workbookViewId="0">
      <selection activeCell="J14" sqref="J14"/>
    </sheetView>
  </sheetViews>
  <sheetFormatPr baseColWidth="10" defaultColWidth="9.140625" defaultRowHeight="14.25" x14ac:dyDescent="0.25"/>
  <cols>
    <col min="1" max="1" width="13.28515625" style="794" customWidth="1"/>
    <col min="2" max="4" width="15.140625" style="794" customWidth="1"/>
    <col min="5" max="5" width="12" style="794" customWidth="1"/>
    <col min="6" max="6" width="11.85546875" style="794" customWidth="1"/>
    <col min="7" max="7" width="15.5703125" style="794" customWidth="1"/>
    <col min="8" max="8" width="37" style="794" customWidth="1"/>
    <col min="9" max="9" width="20.140625" style="794" customWidth="1"/>
    <col min="10" max="10" width="37" style="794" customWidth="1"/>
    <col min="11" max="11" width="14.85546875" style="794" customWidth="1"/>
    <col min="12" max="14" width="26" style="794" customWidth="1"/>
    <col min="15" max="15" width="18.7109375" style="794" customWidth="1"/>
    <col min="16" max="16" width="15.7109375" style="794" customWidth="1"/>
    <col min="17" max="17" width="24.5703125" style="794" customWidth="1"/>
    <col min="18" max="18" width="28.140625" style="794" customWidth="1"/>
    <col min="19" max="19" width="16.5703125" style="794" customWidth="1"/>
    <col min="20" max="20" width="23.7109375" style="794" customWidth="1"/>
    <col min="21" max="21" width="22.140625" style="794" customWidth="1"/>
    <col min="22" max="22" width="26.140625" style="794" customWidth="1"/>
    <col min="23" max="23" width="22.85546875" style="794" customWidth="1"/>
    <col min="24" max="24" width="25" style="794" customWidth="1"/>
    <col min="25" max="25" width="24.28515625" style="794" customWidth="1"/>
    <col min="26" max="26" width="24.7109375" style="794" customWidth="1"/>
    <col min="27" max="27" width="21.28515625" style="794" customWidth="1"/>
    <col min="28" max="28" width="12.28515625" style="794" customWidth="1"/>
    <col min="29" max="29" width="21.140625" style="794" customWidth="1"/>
    <col min="30" max="30" width="9.140625" style="794" bestFit="1" customWidth="1"/>
    <col min="31" max="31" width="9.140625" style="794" customWidth="1"/>
    <col min="32" max="32" width="9.140625" style="794" bestFit="1" customWidth="1"/>
    <col min="33" max="33" width="9.140625" style="794" customWidth="1"/>
    <col min="34" max="35" width="10.7109375" style="794" customWidth="1"/>
    <col min="36" max="36" width="9.140625" style="794" bestFit="1" customWidth="1"/>
    <col min="37" max="37" width="9.140625" style="794" customWidth="1"/>
    <col min="38" max="38" width="9.140625" style="794" bestFit="1" customWidth="1"/>
    <col min="39" max="39" width="9.140625" style="794" customWidth="1"/>
    <col min="40" max="40" width="9.140625" style="794" bestFit="1" customWidth="1"/>
    <col min="41" max="41" width="9.140625" style="794" customWidth="1"/>
    <col min="42" max="42" width="9.140625" style="794" bestFit="1" customWidth="1"/>
    <col min="43" max="43" width="9.140625" style="794" customWidth="1"/>
    <col min="44" max="44" width="9.140625" style="794" bestFit="1" customWidth="1"/>
    <col min="45" max="45" width="9.140625" style="794" customWidth="1"/>
    <col min="46" max="46" width="9.140625" style="794" bestFit="1" customWidth="1"/>
    <col min="47" max="47" width="9.140625" style="794" customWidth="1"/>
    <col min="48" max="48" width="9.140625" style="794" bestFit="1" customWidth="1"/>
    <col min="49" max="49" width="9.140625" style="794" customWidth="1"/>
    <col min="50" max="50" width="9.140625" style="794" bestFit="1" customWidth="1"/>
    <col min="51" max="51" width="9.140625" style="794" customWidth="1"/>
    <col min="52" max="52" width="9.140625" style="794" bestFit="1" customWidth="1"/>
    <col min="53" max="53" width="9.140625" style="794" customWidth="1"/>
    <col min="54" max="54" width="9.140625" style="794" bestFit="1" customWidth="1"/>
    <col min="55" max="55" width="9.140625" style="794" customWidth="1"/>
    <col min="56" max="56" width="9.140625" style="794" bestFit="1" customWidth="1"/>
    <col min="57" max="57" width="9.140625" style="794" customWidth="1"/>
    <col min="58" max="58" width="9.140625" style="794" bestFit="1" customWidth="1"/>
    <col min="59" max="61" width="8.7109375" style="794" customWidth="1"/>
    <col min="62" max="62" width="14.7109375" style="794" customWidth="1"/>
    <col min="63" max="63" width="20.140625" style="794" customWidth="1"/>
    <col min="64" max="64" width="21.85546875" style="794" customWidth="1"/>
    <col min="65" max="65" width="14.5703125" style="794" customWidth="1"/>
    <col min="66" max="67" width="12.7109375" style="794" customWidth="1"/>
    <col min="68" max="68" width="19.7109375" style="794" customWidth="1"/>
    <col min="69" max="70" width="20.5703125" style="794" customWidth="1"/>
    <col min="71" max="72" width="18.140625" style="794" customWidth="1"/>
    <col min="73" max="73" width="32.28515625" style="794" customWidth="1"/>
    <col min="74" max="16384" width="9.140625" style="794"/>
  </cols>
  <sheetData>
    <row r="1" spans="1:92" s="3" customFormat="1" ht="18.75" customHeight="1" x14ac:dyDescent="0.25">
      <c r="A1" s="2518" t="s">
        <v>1030</v>
      </c>
      <c r="B1" s="2518"/>
      <c r="C1" s="2518"/>
      <c r="D1" s="2518"/>
      <c r="E1" s="2518"/>
      <c r="F1" s="2518"/>
      <c r="G1" s="2518"/>
      <c r="H1" s="2518"/>
      <c r="I1" s="2518"/>
      <c r="J1" s="2518"/>
      <c r="K1" s="2518"/>
      <c r="L1" s="2518"/>
      <c r="M1" s="2518"/>
      <c r="N1" s="2518"/>
      <c r="O1" s="2518"/>
      <c r="P1" s="2518"/>
      <c r="Q1" s="2518"/>
      <c r="R1" s="2518"/>
      <c r="S1" s="2518"/>
      <c r="T1" s="2518"/>
      <c r="U1" s="2518"/>
      <c r="V1" s="2518"/>
      <c r="W1" s="2518"/>
      <c r="X1" s="2518"/>
      <c r="Y1" s="2518"/>
      <c r="Z1" s="2518"/>
      <c r="AA1" s="2518"/>
      <c r="AB1" s="2518"/>
      <c r="AC1" s="2518"/>
      <c r="AD1" s="2518"/>
      <c r="AE1" s="2518"/>
      <c r="AF1" s="2518"/>
      <c r="AG1" s="2518"/>
      <c r="AH1" s="2518"/>
      <c r="AI1" s="2518"/>
      <c r="AJ1" s="2518"/>
      <c r="AK1" s="2518"/>
      <c r="AL1" s="2518"/>
      <c r="AM1" s="2518"/>
      <c r="AN1" s="2518"/>
      <c r="AO1" s="2518"/>
      <c r="AP1" s="2518"/>
      <c r="AQ1" s="2518"/>
      <c r="AR1" s="2518"/>
      <c r="AS1" s="2518"/>
      <c r="AT1" s="2518"/>
      <c r="AU1" s="2518"/>
      <c r="AV1" s="2518"/>
      <c r="AW1" s="2518"/>
      <c r="AX1" s="2518"/>
      <c r="AY1" s="2518"/>
      <c r="AZ1" s="2518"/>
      <c r="BA1" s="2518"/>
      <c r="BB1" s="2518"/>
      <c r="BC1" s="2518"/>
      <c r="BD1" s="2518"/>
      <c r="BE1" s="2518"/>
      <c r="BF1" s="2518"/>
      <c r="BG1" s="2518"/>
      <c r="BH1" s="2518"/>
      <c r="BI1" s="2518"/>
      <c r="BJ1" s="2518"/>
      <c r="BK1" s="2518"/>
      <c r="BL1" s="2518"/>
      <c r="BM1" s="2518"/>
      <c r="BN1" s="2518"/>
      <c r="BO1" s="2518"/>
      <c r="BP1" s="2518"/>
      <c r="BQ1" s="2518"/>
      <c r="BR1" s="2518"/>
      <c r="BS1" s="2733"/>
      <c r="BT1" s="598" t="s">
        <v>0</v>
      </c>
      <c r="BU1" s="598" t="s">
        <v>1</v>
      </c>
      <c r="BV1" s="2"/>
      <c r="BW1" s="2"/>
      <c r="BX1" s="2"/>
      <c r="BY1" s="2"/>
      <c r="BZ1" s="2"/>
      <c r="CA1" s="2"/>
      <c r="CB1" s="2"/>
      <c r="CC1" s="2"/>
      <c r="CD1" s="2"/>
      <c r="CE1" s="2"/>
      <c r="CF1" s="2"/>
      <c r="CG1" s="2"/>
      <c r="CH1" s="2"/>
      <c r="CI1" s="2"/>
      <c r="CJ1" s="2"/>
      <c r="CK1" s="2"/>
      <c r="CL1" s="2"/>
      <c r="CM1" s="2"/>
      <c r="CN1" s="2"/>
    </row>
    <row r="2" spans="1:92" s="3" customFormat="1" ht="15" customHeight="1" x14ac:dyDescent="0.2">
      <c r="A2" s="2518"/>
      <c r="B2" s="2518"/>
      <c r="C2" s="2518"/>
      <c r="D2" s="2518"/>
      <c r="E2" s="2518"/>
      <c r="F2" s="2518"/>
      <c r="G2" s="2518"/>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2518"/>
      <c r="BC2" s="2518"/>
      <c r="BD2" s="2518"/>
      <c r="BE2" s="2518"/>
      <c r="BF2" s="2518"/>
      <c r="BG2" s="2518"/>
      <c r="BH2" s="2518"/>
      <c r="BI2" s="2518"/>
      <c r="BJ2" s="2518"/>
      <c r="BK2" s="2518"/>
      <c r="BL2" s="2518"/>
      <c r="BM2" s="2518"/>
      <c r="BN2" s="2518"/>
      <c r="BO2" s="2518"/>
      <c r="BP2" s="2518"/>
      <c r="BQ2" s="2518"/>
      <c r="BR2" s="2518"/>
      <c r="BS2" s="2733"/>
      <c r="BT2" s="598" t="s">
        <v>2</v>
      </c>
      <c r="BU2" s="2229">
        <v>8</v>
      </c>
      <c r="BV2" s="2"/>
      <c r="BW2" s="2"/>
      <c r="BX2" s="2"/>
      <c r="BY2" s="2"/>
      <c r="BZ2" s="2"/>
      <c r="CA2" s="2"/>
      <c r="CB2" s="2"/>
      <c r="CC2" s="2"/>
      <c r="CD2" s="2"/>
      <c r="CE2" s="2"/>
      <c r="CF2" s="2"/>
      <c r="CG2" s="2"/>
      <c r="CH2" s="2"/>
      <c r="CI2" s="2"/>
      <c r="CJ2" s="2"/>
      <c r="CK2" s="2"/>
      <c r="CL2" s="2"/>
      <c r="CM2" s="2"/>
      <c r="CN2" s="2"/>
    </row>
    <row r="3" spans="1:92" s="3" customFormat="1" ht="17.25" customHeight="1" x14ac:dyDescent="0.2">
      <c r="A3" s="2518"/>
      <c r="B3" s="2518"/>
      <c r="C3" s="2518"/>
      <c r="D3" s="2518"/>
      <c r="E3" s="2518"/>
      <c r="F3" s="2518"/>
      <c r="G3" s="2518"/>
      <c r="H3" s="2518"/>
      <c r="I3" s="2518"/>
      <c r="J3" s="2518"/>
      <c r="K3" s="2518"/>
      <c r="L3" s="2518"/>
      <c r="M3" s="2518"/>
      <c r="N3" s="2518"/>
      <c r="O3" s="2518"/>
      <c r="P3" s="2518"/>
      <c r="Q3" s="2518"/>
      <c r="R3" s="2518"/>
      <c r="S3" s="2518"/>
      <c r="T3" s="2518"/>
      <c r="U3" s="2518"/>
      <c r="V3" s="2518"/>
      <c r="W3" s="2518"/>
      <c r="X3" s="2518"/>
      <c r="Y3" s="2518"/>
      <c r="Z3" s="2518"/>
      <c r="AA3" s="2518"/>
      <c r="AB3" s="2518"/>
      <c r="AC3" s="2518"/>
      <c r="AD3" s="2518"/>
      <c r="AE3" s="2518"/>
      <c r="AF3" s="2518"/>
      <c r="AG3" s="2518"/>
      <c r="AH3" s="2518"/>
      <c r="AI3" s="2518"/>
      <c r="AJ3" s="2518"/>
      <c r="AK3" s="2518"/>
      <c r="AL3" s="2518"/>
      <c r="AM3" s="2518"/>
      <c r="AN3" s="2518"/>
      <c r="AO3" s="2518"/>
      <c r="AP3" s="2518"/>
      <c r="AQ3" s="2518"/>
      <c r="AR3" s="2518"/>
      <c r="AS3" s="2518"/>
      <c r="AT3" s="2518"/>
      <c r="AU3" s="2518"/>
      <c r="AV3" s="2518"/>
      <c r="AW3" s="2518"/>
      <c r="AX3" s="2518"/>
      <c r="AY3" s="2518"/>
      <c r="AZ3" s="2518"/>
      <c r="BA3" s="2518"/>
      <c r="BB3" s="2518"/>
      <c r="BC3" s="2518"/>
      <c r="BD3" s="2518"/>
      <c r="BE3" s="2518"/>
      <c r="BF3" s="2518"/>
      <c r="BG3" s="2518"/>
      <c r="BH3" s="2518"/>
      <c r="BI3" s="2518"/>
      <c r="BJ3" s="2518"/>
      <c r="BK3" s="2518"/>
      <c r="BL3" s="2518"/>
      <c r="BM3" s="2518"/>
      <c r="BN3" s="2518"/>
      <c r="BO3" s="2518"/>
      <c r="BP3" s="2518"/>
      <c r="BQ3" s="2518"/>
      <c r="BR3" s="2518"/>
      <c r="BS3" s="2733"/>
      <c r="BT3" s="598" t="s">
        <v>4</v>
      </c>
      <c r="BU3" s="2230">
        <v>44266</v>
      </c>
      <c r="BV3" s="2"/>
      <c r="BW3" s="2"/>
      <c r="BX3" s="2"/>
      <c r="BY3" s="2"/>
      <c r="BZ3" s="2"/>
      <c r="CA3" s="2"/>
      <c r="CB3" s="2"/>
      <c r="CC3" s="2"/>
      <c r="CD3" s="2"/>
      <c r="CE3" s="2"/>
      <c r="CF3" s="2"/>
      <c r="CG3" s="2"/>
      <c r="CH3" s="2"/>
      <c r="CI3" s="2"/>
      <c r="CJ3" s="2"/>
      <c r="CK3" s="2"/>
      <c r="CL3" s="2"/>
      <c r="CM3" s="2"/>
      <c r="CN3" s="2"/>
    </row>
    <row r="4" spans="1:92" s="3" customFormat="1" ht="19.5" customHeight="1" x14ac:dyDescent="0.25">
      <c r="A4" s="3585"/>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2734"/>
      <c r="BT4" s="598" t="s">
        <v>5</v>
      </c>
      <c r="BU4" s="773" t="s">
        <v>6</v>
      </c>
      <c r="BV4" s="2"/>
      <c r="BW4" s="2"/>
      <c r="BX4" s="2"/>
      <c r="BY4" s="2"/>
      <c r="BZ4" s="2"/>
      <c r="CA4" s="2"/>
      <c r="CB4" s="2"/>
      <c r="CC4" s="2"/>
      <c r="CD4" s="2"/>
      <c r="CE4" s="2"/>
      <c r="CF4" s="2"/>
      <c r="CG4" s="2"/>
      <c r="CH4" s="2"/>
      <c r="CI4" s="2"/>
      <c r="CJ4" s="2"/>
      <c r="CK4" s="2"/>
      <c r="CL4" s="2"/>
      <c r="CM4" s="2"/>
      <c r="CN4" s="2"/>
    </row>
    <row r="5" spans="1:92" s="3" customFormat="1" ht="20.25" customHeight="1" x14ac:dyDescent="0.25">
      <c r="A5" s="2362" t="s">
        <v>7</v>
      </c>
      <c r="B5" s="2363"/>
      <c r="C5" s="2363"/>
      <c r="D5" s="2363"/>
      <c r="E5" s="2363"/>
      <c r="F5" s="2363"/>
      <c r="G5" s="2363"/>
      <c r="H5" s="2363"/>
      <c r="I5" s="2363"/>
      <c r="J5" s="2363"/>
      <c r="K5" s="2363"/>
      <c r="L5" s="2363"/>
      <c r="M5" s="2363"/>
      <c r="N5" s="2363"/>
      <c r="O5" s="3352"/>
      <c r="P5" s="2164"/>
      <c r="Q5" s="3587"/>
      <c r="R5" s="3587"/>
      <c r="S5" s="3587"/>
      <c r="T5" s="3587"/>
      <c r="U5" s="3587"/>
      <c r="V5" s="3587"/>
      <c r="W5" s="3587"/>
      <c r="X5" s="3587"/>
      <c r="Y5" s="3587"/>
      <c r="Z5" s="3587"/>
      <c r="AA5" s="3587"/>
      <c r="AB5" s="3587"/>
      <c r="AC5" s="3587"/>
      <c r="AD5" s="3587"/>
      <c r="AE5" s="3587"/>
      <c r="AF5" s="3587"/>
      <c r="AG5" s="3587"/>
      <c r="AH5" s="3587"/>
      <c r="AI5" s="3587"/>
      <c r="AJ5" s="3587"/>
      <c r="AK5" s="3587"/>
      <c r="AL5" s="3587"/>
      <c r="AM5" s="3587"/>
      <c r="AN5" s="3587"/>
      <c r="AO5" s="3587"/>
      <c r="AP5" s="3587"/>
      <c r="AQ5" s="3587"/>
      <c r="AR5" s="3587"/>
      <c r="AS5" s="3587"/>
      <c r="AT5" s="3587"/>
      <c r="AU5" s="3587"/>
      <c r="AV5" s="3587"/>
      <c r="AW5" s="3587"/>
      <c r="AX5" s="3587"/>
      <c r="AY5" s="3587"/>
      <c r="AZ5" s="3587"/>
      <c r="BA5" s="3587"/>
      <c r="BB5" s="3587"/>
      <c r="BC5" s="3587"/>
      <c r="BD5" s="3587"/>
      <c r="BE5" s="3587"/>
      <c r="BF5" s="3587"/>
      <c r="BG5" s="3587"/>
      <c r="BH5" s="3587"/>
      <c r="BI5" s="3587"/>
      <c r="BJ5" s="3587"/>
      <c r="BK5" s="3587"/>
      <c r="BL5" s="3587"/>
      <c r="BM5" s="3587"/>
      <c r="BN5" s="3587"/>
      <c r="BO5" s="3587"/>
      <c r="BP5" s="3587"/>
      <c r="BQ5" s="3587"/>
      <c r="BR5" s="3587"/>
      <c r="BS5" s="3587"/>
      <c r="BT5" s="3587"/>
      <c r="BU5" s="4209"/>
      <c r="BV5" s="2"/>
      <c r="BW5" s="2"/>
      <c r="BX5" s="2"/>
      <c r="BY5" s="2"/>
      <c r="BZ5" s="2"/>
      <c r="CA5" s="2"/>
      <c r="CB5" s="2"/>
      <c r="CC5" s="2"/>
      <c r="CD5" s="2"/>
      <c r="CE5" s="2"/>
      <c r="CF5" s="2"/>
      <c r="CG5" s="2"/>
      <c r="CH5" s="2"/>
      <c r="CI5" s="2"/>
      <c r="CJ5" s="2"/>
      <c r="CK5" s="2"/>
      <c r="CL5" s="2"/>
      <c r="CM5" s="2"/>
      <c r="CN5" s="2"/>
    </row>
    <row r="6" spans="1:92" s="3" customFormat="1" ht="16.5" customHeight="1" x14ac:dyDescent="0.25">
      <c r="A6" s="2364"/>
      <c r="B6" s="2365"/>
      <c r="C6" s="2365"/>
      <c r="D6" s="2365"/>
      <c r="E6" s="2365"/>
      <c r="F6" s="2365"/>
      <c r="G6" s="2365"/>
      <c r="H6" s="2365"/>
      <c r="I6" s="2365"/>
      <c r="J6" s="2365"/>
      <c r="K6" s="2365"/>
      <c r="L6" s="2365"/>
      <c r="M6" s="2365"/>
      <c r="N6" s="2365"/>
      <c r="O6" s="2369"/>
      <c r="P6" s="596"/>
      <c r="Q6" s="596"/>
      <c r="R6" s="596"/>
      <c r="S6" s="596"/>
      <c r="T6" s="596"/>
      <c r="U6" s="596"/>
      <c r="V6" s="596"/>
      <c r="W6" s="596"/>
      <c r="X6" s="596"/>
      <c r="Y6" s="596"/>
      <c r="Z6" s="596"/>
      <c r="AA6" s="596"/>
      <c r="AB6" s="596"/>
      <c r="AC6" s="596"/>
      <c r="AD6" s="596"/>
      <c r="AE6" s="596"/>
      <c r="AF6" s="596"/>
      <c r="AG6" s="596"/>
      <c r="AH6" s="2371" t="s">
        <v>8</v>
      </c>
      <c r="AI6" s="2367"/>
      <c r="AJ6" s="2367"/>
      <c r="AK6" s="2367"/>
      <c r="AL6" s="2367"/>
      <c r="AM6" s="2367"/>
      <c r="AN6" s="2367"/>
      <c r="AO6" s="2367"/>
      <c r="AP6" s="2367"/>
      <c r="AQ6" s="2367"/>
      <c r="AR6" s="2367"/>
      <c r="AS6" s="2367"/>
      <c r="AT6" s="2367"/>
      <c r="AU6" s="2367"/>
      <c r="AV6" s="2367"/>
      <c r="AW6" s="2367"/>
      <c r="AX6" s="2367"/>
      <c r="AY6" s="2367"/>
      <c r="AZ6" s="2367"/>
      <c r="BA6" s="2367"/>
      <c r="BB6" s="2367"/>
      <c r="BC6" s="2367"/>
      <c r="BD6" s="2367"/>
      <c r="BE6" s="2367"/>
      <c r="BF6" s="2367"/>
      <c r="BG6" s="2367"/>
      <c r="BH6" s="2367"/>
      <c r="BI6" s="2367"/>
      <c r="BJ6" s="2367"/>
      <c r="BK6" s="2367"/>
      <c r="BL6" s="2367"/>
      <c r="BM6" s="2367"/>
      <c r="BN6" s="2367"/>
      <c r="BO6" s="2367"/>
      <c r="BP6" s="2367"/>
      <c r="BQ6" s="2368"/>
      <c r="BR6" s="596"/>
      <c r="BS6" s="596"/>
      <c r="BT6" s="596"/>
      <c r="BU6" s="597"/>
      <c r="BV6" s="2"/>
      <c r="BW6" s="2"/>
      <c r="BX6" s="2"/>
      <c r="BY6" s="2"/>
      <c r="BZ6" s="2"/>
      <c r="CA6" s="2"/>
      <c r="CB6" s="2"/>
      <c r="CC6" s="2"/>
      <c r="CD6" s="2"/>
      <c r="CE6" s="2"/>
      <c r="CF6" s="2"/>
      <c r="CG6" s="2"/>
      <c r="CH6" s="2"/>
      <c r="CI6" s="2"/>
      <c r="CJ6" s="2"/>
      <c r="CK6" s="2"/>
      <c r="CL6" s="2"/>
      <c r="CM6" s="2"/>
      <c r="CN6" s="2"/>
    </row>
    <row r="7" spans="1:92" s="3" customFormat="1" ht="30.75" customHeight="1" x14ac:dyDescent="0.25">
      <c r="A7" s="2372" t="s">
        <v>9</v>
      </c>
      <c r="B7" s="2372"/>
      <c r="C7" s="2372" t="s">
        <v>10</v>
      </c>
      <c r="D7" s="2372"/>
      <c r="E7" s="2372" t="s">
        <v>11</v>
      </c>
      <c r="F7" s="2372"/>
      <c r="G7" s="2372" t="s">
        <v>12</v>
      </c>
      <c r="H7" s="2372"/>
      <c r="I7" s="2372"/>
      <c r="J7" s="2372"/>
      <c r="K7" s="2372" t="s">
        <v>13</v>
      </c>
      <c r="L7" s="2372"/>
      <c r="M7" s="2372"/>
      <c r="N7" s="2372"/>
      <c r="O7" s="4591" t="s">
        <v>14</v>
      </c>
      <c r="P7" s="4592"/>
      <c r="Q7" s="4592"/>
      <c r="R7" s="4592"/>
      <c r="S7" s="4592"/>
      <c r="T7" s="4592"/>
      <c r="U7" s="4592"/>
      <c r="V7" s="4592"/>
      <c r="W7" s="4592"/>
      <c r="X7" s="4592"/>
      <c r="Y7" s="4592"/>
      <c r="Z7" s="4593"/>
      <c r="AA7" s="2372" t="s">
        <v>15</v>
      </c>
      <c r="AB7" s="2372"/>
      <c r="AC7" s="2372"/>
      <c r="AD7" s="2349" t="s">
        <v>16</v>
      </c>
      <c r="AE7" s="2350"/>
      <c r="AF7" s="2350"/>
      <c r="AG7" s="2351"/>
      <c r="AH7" s="2352" t="s">
        <v>17</v>
      </c>
      <c r="AI7" s="2353"/>
      <c r="AJ7" s="2353"/>
      <c r="AK7" s="2353"/>
      <c r="AL7" s="2353"/>
      <c r="AM7" s="2354"/>
      <c r="AN7" s="2360" t="s">
        <v>18</v>
      </c>
      <c r="AO7" s="2507"/>
      <c r="AP7" s="2507"/>
      <c r="AQ7" s="2507"/>
      <c r="AR7" s="2507"/>
      <c r="AS7" s="2507"/>
      <c r="AT7" s="2507"/>
      <c r="AU7" s="2507"/>
      <c r="AV7" s="2507"/>
      <c r="AW7" s="2507"/>
      <c r="AX7" s="2507"/>
      <c r="AY7" s="2507"/>
      <c r="AZ7" s="2507"/>
      <c r="BA7" s="2361"/>
      <c r="BB7" s="2508" t="s">
        <v>19</v>
      </c>
      <c r="BC7" s="2509"/>
      <c r="BD7" s="2509"/>
      <c r="BE7" s="2509"/>
      <c r="BF7" s="2509"/>
      <c r="BG7" s="2510"/>
      <c r="BH7" s="4587" t="s">
        <v>20</v>
      </c>
      <c r="BI7" s="4588"/>
      <c r="BJ7" s="3358" t="s">
        <v>21</v>
      </c>
      <c r="BK7" s="3359"/>
      <c r="BL7" s="3359"/>
      <c r="BM7" s="3359"/>
      <c r="BN7" s="3359"/>
      <c r="BO7" s="3359"/>
      <c r="BP7" s="3360"/>
      <c r="BQ7" s="4213" t="s">
        <v>1031</v>
      </c>
      <c r="BR7" s="4214"/>
      <c r="BS7" s="4217" t="s">
        <v>1032</v>
      </c>
      <c r="BT7" s="4214"/>
      <c r="BU7" s="2380" t="s">
        <v>24</v>
      </c>
      <c r="BV7" s="2"/>
      <c r="BW7" s="2"/>
      <c r="BX7" s="2"/>
      <c r="BY7" s="2"/>
      <c r="BZ7" s="2"/>
      <c r="CA7" s="2"/>
      <c r="CB7" s="2"/>
      <c r="CC7" s="2"/>
      <c r="CD7" s="2"/>
      <c r="CE7" s="2"/>
      <c r="CF7" s="2"/>
      <c r="CG7" s="2"/>
      <c r="CH7" s="2"/>
      <c r="CI7" s="2"/>
      <c r="CJ7" s="2"/>
      <c r="CK7" s="2"/>
      <c r="CL7" s="2"/>
      <c r="CM7" s="2"/>
      <c r="CN7" s="2"/>
    </row>
    <row r="8" spans="1:92" s="3" customFormat="1" ht="105.75" customHeight="1" x14ac:dyDescent="0.25">
      <c r="A8" s="2343" t="s">
        <v>25</v>
      </c>
      <c r="B8" s="3356"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3356" t="s">
        <v>130</v>
      </c>
      <c r="P8" s="3356"/>
      <c r="Q8" s="3356" t="s">
        <v>35</v>
      </c>
      <c r="R8" s="3356" t="s">
        <v>36</v>
      </c>
      <c r="S8" s="3365" t="s">
        <v>37</v>
      </c>
      <c r="T8" s="3366" t="s">
        <v>38</v>
      </c>
      <c r="U8" s="3356" t="s">
        <v>39</v>
      </c>
      <c r="V8" s="3356" t="s">
        <v>40</v>
      </c>
      <c r="W8" s="3356" t="s">
        <v>41</v>
      </c>
      <c r="X8" s="3366" t="s">
        <v>1033</v>
      </c>
      <c r="Y8" s="3366"/>
      <c r="Z8" s="3366"/>
      <c r="AA8" s="3356" t="s">
        <v>1034</v>
      </c>
      <c r="AB8" s="2343" t="s">
        <v>44</v>
      </c>
      <c r="AC8" s="3356" t="s">
        <v>26</v>
      </c>
      <c r="AD8" s="2358" t="s">
        <v>45</v>
      </c>
      <c r="AE8" s="2359"/>
      <c r="AF8" s="2341" t="s">
        <v>46</v>
      </c>
      <c r="AG8" s="2342"/>
      <c r="AH8" s="2358" t="s">
        <v>47</v>
      </c>
      <c r="AI8" s="2359"/>
      <c r="AJ8" s="2358" t="s">
        <v>48</v>
      </c>
      <c r="AK8" s="2359"/>
      <c r="AL8" s="2358" t="s">
        <v>49</v>
      </c>
      <c r="AM8" s="2359"/>
      <c r="AN8" s="2358" t="s">
        <v>50</v>
      </c>
      <c r="AO8" s="2359"/>
      <c r="AP8" s="2358" t="s">
        <v>51</v>
      </c>
      <c r="AQ8" s="2359"/>
      <c r="AR8" s="2358" t="s">
        <v>52</v>
      </c>
      <c r="AS8" s="2359"/>
      <c r="AT8" s="2358" t="s">
        <v>53</v>
      </c>
      <c r="AU8" s="2359"/>
      <c r="AV8" s="2358" t="s">
        <v>54</v>
      </c>
      <c r="AW8" s="2359"/>
      <c r="AX8" s="2358" t="s">
        <v>55</v>
      </c>
      <c r="AY8" s="2359"/>
      <c r="AZ8" s="2358" t="s">
        <v>722</v>
      </c>
      <c r="BA8" s="2359"/>
      <c r="BB8" s="2358" t="s">
        <v>57</v>
      </c>
      <c r="BC8" s="2359"/>
      <c r="BD8" s="2358" t="s">
        <v>58</v>
      </c>
      <c r="BE8" s="2359"/>
      <c r="BF8" s="3368" t="s">
        <v>59</v>
      </c>
      <c r="BG8" s="3369"/>
      <c r="BH8" s="4589"/>
      <c r="BI8" s="4590"/>
      <c r="BJ8" s="2336" t="s">
        <v>60</v>
      </c>
      <c r="BK8" s="2499" t="s">
        <v>136</v>
      </c>
      <c r="BL8" s="2336" t="s">
        <v>137</v>
      </c>
      <c r="BM8" s="2501" t="s">
        <v>63</v>
      </c>
      <c r="BN8" s="2334" t="s">
        <v>64</v>
      </c>
      <c r="BO8" s="2335"/>
      <c r="BP8" s="2336" t="s">
        <v>65</v>
      </c>
      <c r="BQ8" s="4215"/>
      <c r="BR8" s="4216"/>
      <c r="BS8" s="4218"/>
      <c r="BT8" s="4216"/>
      <c r="BU8" s="2382"/>
      <c r="BV8" s="2"/>
      <c r="BW8" s="2"/>
      <c r="BX8" s="2"/>
      <c r="BY8" s="2"/>
      <c r="BZ8" s="2"/>
      <c r="CA8" s="2"/>
      <c r="CB8" s="2"/>
      <c r="CC8" s="2"/>
      <c r="CD8" s="2"/>
      <c r="CE8" s="2"/>
      <c r="CF8" s="2"/>
      <c r="CG8" s="2"/>
      <c r="CH8" s="2"/>
      <c r="CI8" s="2"/>
      <c r="CJ8" s="2"/>
      <c r="CK8" s="2"/>
      <c r="CL8" s="2"/>
      <c r="CM8" s="2"/>
      <c r="CN8" s="2"/>
    </row>
    <row r="9" spans="1:92" s="3" customFormat="1" ht="23.25" customHeight="1" x14ac:dyDescent="0.25">
      <c r="A9" s="2343"/>
      <c r="B9" s="3356"/>
      <c r="C9" s="2343"/>
      <c r="D9" s="3356"/>
      <c r="E9" s="3356"/>
      <c r="F9" s="3356"/>
      <c r="G9" s="3356"/>
      <c r="H9" s="3356"/>
      <c r="I9" s="3356"/>
      <c r="J9" s="3356"/>
      <c r="K9" s="3356"/>
      <c r="L9" s="3356"/>
      <c r="M9" s="3356"/>
      <c r="N9" s="3356"/>
      <c r="O9" s="774" t="s">
        <v>138</v>
      </c>
      <c r="P9" s="775" t="s">
        <v>139</v>
      </c>
      <c r="Q9" s="3356"/>
      <c r="R9" s="3356"/>
      <c r="S9" s="3365"/>
      <c r="T9" s="3366"/>
      <c r="U9" s="3356"/>
      <c r="V9" s="3356"/>
      <c r="W9" s="3356"/>
      <c r="X9" s="774" t="s">
        <v>68</v>
      </c>
      <c r="Y9" s="775" t="s">
        <v>69</v>
      </c>
      <c r="Z9" s="775" t="s">
        <v>70</v>
      </c>
      <c r="AA9" s="3356"/>
      <c r="AB9" s="2343"/>
      <c r="AC9" s="3356"/>
      <c r="AD9" s="12" t="s">
        <v>66</v>
      </c>
      <c r="AE9" s="12" t="s">
        <v>67</v>
      </c>
      <c r="AF9" s="12" t="s">
        <v>66</v>
      </c>
      <c r="AG9" s="12" t="s">
        <v>67</v>
      </c>
      <c r="AH9" s="12" t="s">
        <v>66</v>
      </c>
      <c r="AI9" s="12" t="s">
        <v>67</v>
      </c>
      <c r="AJ9" s="12" t="s">
        <v>66</v>
      </c>
      <c r="AK9" s="12" t="s">
        <v>67</v>
      </c>
      <c r="AL9" s="12" t="s">
        <v>66</v>
      </c>
      <c r="AM9" s="12" t="s">
        <v>67</v>
      </c>
      <c r="AN9" s="12" t="s">
        <v>66</v>
      </c>
      <c r="AO9" s="12" t="s">
        <v>67</v>
      </c>
      <c r="AP9" s="12" t="s">
        <v>66</v>
      </c>
      <c r="AQ9" s="12" t="s">
        <v>67</v>
      </c>
      <c r="AR9" s="12" t="s">
        <v>66</v>
      </c>
      <c r="AS9" s="12" t="s">
        <v>67</v>
      </c>
      <c r="AT9" s="12" t="s">
        <v>66</v>
      </c>
      <c r="AU9" s="12" t="s">
        <v>67</v>
      </c>
      <c r="AV9" s="12" t="s">
        <v>66</v>
      </c>
      <c r="AW9" s="12" t="s">
        <v>67</v>
      </c>
      <c r="AX9" s="12" t="s">
        <v>66</v>
      </c>
      <c r="AY9" s="12" t="s">
        <v>67</v>
      </c>
      <c r="AZ9" s="12" t="s">
        <v>66</v>
      </c>
      <c r="BA9" s="12" t="s">
        <v>67</v>
      </c>
      <c r="BB9" s="12" t="s">
        <v>66</v>
      </c>
      <c r="BC9" s="12" t="s">
        <v>67</v>
      </c>
      <c r="BD9" s="12" t="s">
        <v>66</v>
      </c>
      <c r="BE9" s="12" t="s">
        <v>67</v>
      </c>
      <c r="BF9" s="12" t="s">
        <v>66</v>
      </c>
      <c r="BG9" s="12" t="s">
        <v>67</v>
      </c>
      <c r="BH9" s="12" t="s">
        <v>66</v>
      </c>
      <c r="BI9" s="12" t="s">
        <v>67</v>
      </c>
      <c r="BJ9" s="2337"/>
      <c r="BK9" s="2500"/>
      <c r="BL9" s="2337"/>
      <c r="BM9" s="2502"/>
      <c r="BN9" s="15" t="s">
        <v>25</v>
      </c>
      <c r="BO9" s="595" t="s">
        <v>26</v>
      </c>
      <c r="BP9" s="2337"/>
      <c r="BQ9" s="776" t="s">
        <v>66</v>
      </c>
      <c r="BR9" s="777" t="s">
        <v>67</v>
      </c>
      <c r="BS9" s="777" t="s">
        <v>66</v>
      </c>
      <c r="BT9" s="777" t="s">
        <v>67</v>
      </c>
      <c r="BU9" s="600"/>
      <c r="BV9" s="2"/>
      <c r="BW9" s="2"/>
      <c r="BX9" s="2"/>
      <c r="BY9" s="2"/>
      <c r="BZ9" s="2"/>
      <c r="CA9" s="2"/>
      <c r="CB9" s="2"/>
      <c r="CC9" s="2"/>
      <c r="CD9" s="2"/>
      <c r="CE9" s="2"/>
      <c r="CF9" s="2"/>
      <c r="CG9" s="2"/>
      <c r="CH9" s="2"/>
      <c r="CI9" s="2"/>
      <c r="CJ9" s="2"/>
      <c r="CK9" s="2"/>
      <c r="CL9" s="2"/>
      <c r="CM9" s="2"/>
      <c r="CN9" s="2"/>
    </row>
    <row r="10" spans="1:92" s="3" customFormat="1" ht="21" customHeight="1" x14ac:dyDescent="0.25">
      <c r="A10" s="778">
        <v>3</v>
      </c>
      <c r="B10" s="4574" t="s">
        <v>525</v>
      </c>
      <c r="C10" s="4575"/>
      <c r="D10" s="4575"/>
      <c r="E10" s="4575"/>
      <c r="F10" s="4575"/>
      <c r="G10" s="779" t="s">
        <v>319</v>
      </c>
      <c r="H10" s="779" t="s">
        <v>319</v>
      </c>
      <c r="I10" s="779"/>
      <c r="J10" s="779"/>
      <c r="K10" s="19"/>
      <c r="L10" s="19"/>
      <c r="M10" s="19"/>
      <c r="N10" s="19"/>
      <c r="O10" s="19"/>
      <c r="P10" s="19"/>
      <c r="Q10" s="19"/>
      <c r="R10" s="19"/>
      <c r="S10" s="21"/>
      <c r="T10" s="22"/>
      <c r="U10" s="24"/>
      <c r="V10" s="19"/>
      <c r="W10" s="19"/>
      <c r="X10" s="19"/>
      <c r="Y10" s="19"/>
      <c r="Z10" s="19"/>
      <c r="AA10" s="19"/>
      <c r="AB10" s="19"/>
      <c r="AC10" s="19"/>
      <c r="AD10" s="24"/>
      <c r="AE10" s="24"/>
      <c r="AF10" s="25"/>
      <c r="AG10" s="25"/>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382"/>
      <c r="BV10" s="2"/>
      <c r="BW10" s="2"/>
      <c r="BX10" s="2"/>
      <c r="BY10" s="2"/>
      <c r="BZ10" s="2"/>
      <c r="CA10" s="2"/>
      <c r="CB10" s="2"/>
      <c r="CC10" s="2"/>
      <c r="CD10" s="2"/>
      <c r="CE10" s="2"/>
      <c r="CF10" s="2"/>
      <c r="CG10" s="2"/>
      <c r="CH10" s="2"/>
      <c r="CI10" s="2"/>
      <c r="CJ10" s="2"/>
      <c r="CK10" s="2"/>
      <c r="CL10" s="2"/>
    </row>
    <row r="11" spans="1:92" s="70" customFormat="1" ht="21" customHeight="1" x14ac:dyDescent="0.25">
      <c r="A11" s="780"/>
      <c r="B11" s="781"/>
      <c r="C11" s="782">
        <v>24</v>
      </c>
      <c r="D11" s="783" t="s">
        <v>526</v>
      </c>
      <c r="E11" s="784"/>
      <c r="F11" s="785"/>
      <c r="G11" s="785"/>
      <c r="H11" s="785"/>
      <c r="I11" s="785"/>
      <c r="J11" s="785"/>
      <c r="K11" s="33"/>
      <c r="L11" s="33"/>
      <c r="M11" s="33"/>
      <c r="N11" s="33"/>
      <c r="O11" s="33"/>
      <c r="P11" s="33"/>
      <c r="Q11" s="33"/>
      <c r="R11" s="33"/>
      <c r="S11" s="34"/>
      <c r="T11" s="35"/>
      <c r="U11" s="37"/>
      <c r="V11" s="33"/>
      <c r="W11" s="33"/>
      <c r="X11" s="33"/>
      <c r="Y11" s="33"/>
      <c r="Z11" s="33"/>
      <c r="AA11" s="33"/>
      <c r="AB11" s="33"/>
      <c r="AC11" s="33"/>
      <c r="AD11" s="37"/>
      <c r="AE11" s="37"/>
      <c r="AF11" s="38"/>
      <c r="AG11" s="38"/>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86"/>
    </row>
    <row r="12" spans="1:92" ht="21.75" customHeight="1" x14ac:dyDescent="0.25">
      <c r="A12" s="4576" t="s">
        <v>319</v>
      </c>
      <c r="B12" s="4577"/>
      <c r="C12" s="786"/>
      <c r="D12" s="787"/>
      <c r="E12" s="788">
        <v>2409</v>
      </c>
      <c r="F12" s="2620" t="s">
        <v>1035</v>
      </c>
      <c r="G12" s="3065"/>
      <c r="H12" s="3065"/>
      <c r="I12" s="3065"/>
      <c r="J12" s="3065"/>
      <c r="K12" s="3065"/>
      <c r="L12" s="789" t="s">
        <v>319</v>
      </c>
      <c r="M12" s="789"/>
      <c r="N12" s="789"/>
      <c r="O12" s="789" t="s">
        <v>319</v>
      </c>
      <c r="P12" s="790"/>
      <c r="Q12" s="789" t="s">
        <v>319</v>
      </c>
      <c r="R12" s="789" t="s">
        <v>319</v>
      </c>
      <c r="S12" s="789" t="s">
        <v>319</v>
      </c>
      <c r="T12" s="789" t="s">
        <v>319</v>
      </c>
      <c r="U12" s="789" t="s">
        <v>319</v>
      </c>
      <c r="V12" s="791" t="s">
        <v>319</v>
      </c>
      <c r="W12" s="789" t="s">
        <v>319</v>
      </c>
      <c r="X12" s="789" t="s">
        <v>319</v>
      </c>
      <c r="Y12" s="790"/>
      <c r="Z12" s="790"/>
      <c r="AA12" s="789" t="s">
        <v>319</v>
      </c>
      <c r="AB12" s="789" t="s">
        <v>319</v>
      </c>
      <c r="AC12" s="789" t="s">
        <v>319</v>
      </c>
      <c r="AD12" s="789" t="s">
        <v>319</v>
      </c>
      <c r="AE12" s="789"/>
      <c r="AF12" s="789" t="s">
        <v>319</v>
      </c>
      <c r="AG12" s="789"/>
      <c r="AH12" s="789" t="s">
        <v>319</v>
      </c>
      <c r="AI12" s="789"/>
      <c r="AJ12" s="789" t="s">
        <v>319</v>
      </c>
      <c r="AK12" s="789"/>
      <c r="AL12" s="789" t="s">
        <v>319</v>
      </c>
      <c r="AM12" s="789"/>
      <c r="AN12" s="789" t="s">
        <v>319</v>
      </c>
      <c r="AO12" s="789"/>
      <c r="AP12" s="789" t="s">
        <v>319</v>
      </c>
      <c r="AQ12" s="789"/>
      <c r="AR12" s="789" t="s">
        <v>319</v>
      </c>
      <c r="AS12" s="789"/>
      <c r="AT12" s="789" t="s">
        <v>319</v>
      </c>
      <c r="AU12" s="789"/>
      <c r="AV12" s="789" t="s">
        <v>319</v>
      </c>
      <c r="AW12" s="789"/>
      <c r="AX12" s="789" t="s">
        <v>319</v>
      </c>
      <c r="AY12" s="789"/>
      <c r="AZ12" s="789" t="s">
        <v>319</v>
      </c>
      <c r="BA12" s="789"/>
      <c r="BB12" s="789" t="s">
        <v>319</v>
      </c>
      <c r="BC12" s="789"/>
      <c r="BD12" s="789" t="s">
        <v>319</v>
      </c>
      <c r="BE12" s="789"/>
      <c r="BF12" s="789" t="s">
        <v>319</v>
      </c>
      <c r="BG12" s="789"/>
      <c r="BH12" s="789" t="s">
        <v>319</v>
      </c>
      <c r="BI12" s="789"/>
      <c r="BJ12" s="789"/>
      <c r="BK12" s="789"/>
      <c r="BL12" s="789"/>
      <c r="BM12" s="789"/>
      <c r="BN12" s="789"/>
      <c r="BO12" s="789"/>
      <c r="BP12" s="789"/>
      <c r="BQ12" s="789" t="s">
        <v>319</v>
      </c>
      <c r="BR12" s="789"/>
      <c r="BS12" s="789" t="s">
        <v>319</v>
      </c>
      <c r="BT12" s="789"/>
      <c r="BU12" s="792" t="s">
        <v>319</v>
      </c>
      <c r="BV12" s="793" t="s">
        <v>319</v>
      </c>
      <c r="BW12" s="793" t="s">
        <v>319</v>
      </c>
      <c r="BX12" s="793" t="s">
        <v>319</v>
      </c>
      <c r="BY12" s="793" t="s">
        <v>319</v>
      </c>
      <c r="BZ12" s="793" t="s">
        <v>319</v>
      </c>
      <c r="CA12" s="793" t="s">
        <v>319</v>
      </c>
      <c r="CB12" s="793" t="s">
        <v>319</v>
      </c>
      <c r="CC12" s="793" t="s">
        <v>319</v>
      </c>
      <c r="CD12" s="793" t="s">
        <v>319</v>
      </c>
      <c r="CE12" s="793" t="s">
        <v>319</v>
      </c>
      <c r="CF12" s="793" t="s">
        <v>319</v>
      </c>
      <c r="CG12" s="793" t="s">
        <v>319</v>
      </c>
      <c r="CH12" s="793" t="s">
        <v>319</v>
      </c>
      <c r="CI12" s="793" t="s">
        <v>319</v>
      </c>
      <c r="CJ12" s="793" t="s">
        <v>319</v>
      </c>
      <c r="CK12" s="793" t="s">
        <v>319</v>
      </c>
      <c r="CL12" s="793" t="s">
        <v>319</v>
      </c>
      <c r="CM12" s="793" t="s">
        <v>319</v>
      </c>
    </row>
    <row r="13" spans="1:92" ht="86.25" customHeight="1" x14ac:dyDescent="0.25">
      <c r="A13" s="4576"/>
      <c r="B13" s="4577"/>
      <c r="C13" s="795"/>
      <c r="D13" s="796"/>
      <c r="E13" s="4336" t="s">
        <v>319</v>
      </c>
      <c r="F13" s="4580" t="s">
        <v>319</v>
      </c>
      <c r="G13" s="241" t="s">
        <v>74</v>
      </c>
      <c r="H13" s="797" t="s">
        <v>1036</v>
      </c>
      <c r="I13" s="241">
        <v>2409009</v>
      </c>
      <c r="J13" s="797" t="s">
        <v>1037</v>
      </c>
      <c r="K13" s="241" t="s">
        <v>74</v>
      </c>
      <c r="L13" s="797" t="s">
        <v>1038</v>
      </c>
      <c r="M13" s="241">
        <v>240900900</v>
      </c>
      <c r="N13" s="797" t="s">
        <v>1039</v>
      </c>
      <c r="O13" s="798">
        <v>1</v>
      </c>
      <c r="P13" s="594">
        <v>0.17</v>
      </c>
      <c r="Q13" s="3754" t="s">
        <v>1040</v>
      </c>
      <c r="R13" s="3128" t="s">
        <v>1041</v>
      </c>
      <c r="S13" s="799">
        <f>X13/T13</f>
        <v>0.24672897196261681</v>
      </c>
      <c r="T13" s="4582">
        <f>SUM(X13:X16)</f>
        <v>110210000</v>
      </c>
      <c r="U13" s="4585" t="s">
        <v>1042</v>
      </c>
      <c r="V13" s="2426" t="s">
        <v>1043</v>
      </c>
      <c r="W13" s="800" t="s">
        <v>1044</v>
      </c>
      <c r="X13" s="801">
        <v>27192000</v>
      </c>
      <c r="Y13" s="399">
        <v>18360000</v>
      </c>
      <c r="Z13" s="399">
        <f>'[3]F-PLA-47EjecucionMetasProyectos'!U17</f>
        <v>10710000</v>
      </c>
      <c r="AA13" s="798" t="s">
        <v>1045</v>
      </c>
      <c r="AB13" s="798">
        <v>23</v>
      </c>
      <c r="AC13" s="798" t="s">
        <v>1046</v>
      </c>
      <c r="AD13" s="4571">
        <v>57163</v>
      </c>
      <c r="AE13" s="4571">
        <f>AD13*AE17</f>
        <v>35886.62931910569</v>
      </c>
      <c r="AF13" s="4571">
        <v>57815</v>
      </c>
      <c r="AG13" s="4571">
        <f>AF13*AE17</f>
        <v>36295.951473577239</v>
      </c>
      <c r="AH13" s="4571">
        <v>27805</v>
      </c>
      <c r="AI13" s="4571">
        <f>AH13*AE17</f>
        <v>17455.832063008129</v>
      </c>
      <c r="AJ13" s="4571">
        <v>8790</v>
      </c>
      <c r="AK13" s="4571">
        <f>AJ13*AE17</f>
        <v>5518.3155487804879</v>
      </c>
      <c r="AL13" s="4571">
        <v>60583</v>
      </c>
      <c r="AM13" s="4571">
        <f>AL13*AE17</f>
        <v>38033.687245934962</v>
      </c>
      <c r="AN13" s="4571">
        <v>17800</v>
      </c>
      <c r="AO13" s="4571">
        <f>AN13*AE17</f>
        <v>11174.74593495935</v>
      </c>
      <c r="AP13" s="4571">
        <v>283</v>
      </c>
      <c r="AQ13" s="4571">
        <f>AP13*AE17</f>
        <v>177.66590447154471</v>
      </c>
      <c r="AR13" s="4571">
        <v>1495</v>
      </c>
      <c r="AS13" s="4571">
        <f>AR13*AE17</f>
        <v>938.55309959349597</v>
      </c>
      <c r="AT13" s="4571">
        <v>8</v>
      </c>
      <c r="AU13" s="4571">
        <f>AT13*AE17</f>
        <v>5.0223577235772359</v>
      </c>
      <c r="AV13" s="4571">
        <v>0</v>
      </c>
      <c r="AW13" s="4571">
        <v>0</v>
      </c>
      <c r="AX13" s="4571">
        <v>0</v>
      </c>
      <c r="AY13" s="4571">
        <v>0</v>
      </c>
      <c r="AZ13" s="4571">
        <v>0</v>
      </c>
      <c r="BA13" s="4571">
        <v>0</v>
      </c>
      <c r="BB13" s="4571">
        <v>44350</v>
      </c>
      <c r="BC13" s="4571">
        <f>BB13*AE17</f>
        <v>27842.6956300813</v>
      </c>
      <c r="BD13" s="4571">
        <v>6251</v>
      </c>
      <c r="BE13" s="4571">
        <f>BD13*AE17</f>
        <v>3924.3447662601625</v>
      </c>
      <c r="BF13" s="4571">
        <v>75687</v>
      </c>
      <c r="BG13" s="4571">
        <f>BF13*AE17</f>
        <v>47515.898628048781</v>
      </c>
      <c r="BH13" s="4571">
        <f>SUM(AH13:BF16)</f>
        <v>348122.86255081306</v>
      </c>
      <c r="BI13" s="4571">
        <f>BH13*AE17</f>
        <v>218549.69343573655</v>
      </c>
      <c r="BJ13" s="4065">
        <v>3</v>
      </c>
      <c r="BK13" s="4573">
        <f>SUM(Y13:Y16)</f>
        <v>39360000</v>
      </c>
      <c r="BL13" s="4573">
        <f>SUM(Z13:Z16)</f>
        <v>24710000</v>
      </c>
      <c r="BM13" s="4568">
        <f>BL13/BK13</f>
        <v>0.62779471544715448</v>
      </c>
      <c r="BN13" s="4065">
        <v>23</v>
      </c>
      <c r="BO13" s="4065" t="s">
        <v>1046</v>
      </c>
      <c r="BP13" s="4065" t="s">
        <v>1047</v>
      </c>
      <c r="BQ13" s="4566">
        <v>44198</v>
      </c>
      <c r="BR13" s="4566">
        <v>44198</v>
      </c>
      <c r="BS13" s="4566">
        <v>44561</v>
      </c>
      <c r="BT13" s="4566">
        <v>44377</v>
      </c>
      <c r="BU13" s="4065" t="s">
        <v>1048</v>
      </c>
      <c r="BV13" s="802" t="s">
        <v>319</v>
      </c>
      <c r="BW13" s="802" t="s">
        <v>319</v>
      </c>
      <c r="BX13" s="802" t="s">
        <v>319</v>
      </c>
      <c r="BY13" s="802" t="s">
        <v>319</v>
      </c>
      <c r="BZ13" s="802" t="s">
        <v>319</v>
      </c>
      <c r="CA13" s="802" t="s">
        <v>319</v>
      </c>
      <c r="CB13" s="802" t="s">
        <v>319</v>
      </c>
      <c r="CC13" s="802" t="s">
        <v>319</v>
      </c>
      <c r="CD13" s="802" t="s">
        <v>319</v>
      </c>
      <c r="CE13" s="802" t="s">
        <v>319</v>
      </c>
      <c r="CF13" s="802" t="s">
        <v>319</v>
      </c>
      <c r="CG13" s="802" t="s">
        <v>319</v>
      </c>
      <c r="CH13" s="802" t="s">
        <v>319</v>
      </c>
      <c r="CI13" s="802" t="s">
        <v>319</v>
      </c>
      <c r="CJ13" s="802" t="s">
        <v>319</v>
      </c>
      <c r="CK13" s="802" t="s">
        <v>319</v>
      </c>
      <c r="CL13" s="802" t="s">
        <v>319</v>
      </c>
      <c r="CM13" s="802" t="s">
        <v>319</v>
      </c>
    </row>
    <row r="14" spans="1:92" ht="92.25" customHeight="1" x14ac:dyDescent="0.25">
      <c r="A14" s="4576"/>
      <c r="B14" s="4577"/>
      <c r="C14" s="795"/>
      <c r="D14" s="796"/>
      <c r="E14" s="4315"/>
      <c r="F14" s="4411"/>
      <c r="G14" s="241" t="s">
        <v>74</v>
      </c>
      <c r="H14" s="797" t="s">
        <v>1049</v>
      </c>
      <c r="I14" s="241">
        <v>2409022</v>
      </c>
      <c r="J14" s="797" t="s">
        <v>1050</v>
      </c>
      <c r="K14" s="241" t="s">
        <v>74</v>
      </c>
      <c r="L14" s="797" t="s">
        <v>1051</v>
      </c>
      <c r="M14" s="241">
        <v>240902202</v>
      </c>
      <c r="N14" s="797" t="s">
        <v>1052</v>
      </c>
      <c r="O14" s="798">
        <v>1</v>
      </c>
      <c r="P14" s="594">
        <v>0.15</v>
      </c>
      <c r="Q14" s="3754"/>
      <c r="R14" s="3128"/>
      <c r="S14" s="799">
        <f>X14/T13</f>
        <v>7.8504672897196259E-2</v>
      </c>
      <c r="T14" s="4583"/>
      <c r="U14" s="4585"/>
      <c r="V14" s="2426"/>
      <c r="W14" s="599" t="s">
        <v>1053</v>
      </c>
      <c r="X14" s="803">
        <v>8652000</v>
      </c>
      <c r="Y14" s="399">
        <v>0</v>
      </c>
      <c r="Z14" s="399">
        <f>'[3]F-PLA-47EjecucionMetasProyectos'!U18</f>
        <v>0</v>
      </c>
      <c r="AA14" s="798" t="s">
        <v>1054</v>
      </c>
      <c r="AB14" s="798">
        <v>23</v>
      </c>
      <c r="AC14" s="798" t="s">
        <v>1046</v>
      </c>
      <c r="AD14" s="4571"/>
      <c r="AE14" s="4571"/>
      <c r="AF14" s="4571"/>
      <c r="AG14" s="4571"/>
      <c r="AH14" s="4571"/>
      <c r="AI14" s="4571"/>
      <c r="AJ14" s="4571"/>
      <c r="AK14" s="4571"/>
      <c r="AL14" s="4571"/>
      <c r="AM14" s="4571"/>
      <c r="AN14" s="4571"/>
      <c r="AO14" s="4571"/>
      <c r="AP14" s="4571"/>
      <c r="AQ14" s="4571"/>
      <c r="AR14" s="4571"/>
      <c r="AS14" s="4571"/>
      <c r="AT14" s="4571"/>
      <c r="AU14" s="4571"/>
      <c r="AV14" s="4571"/>
      <c r="AW14" s="4571"/>
      <c r="AX14" s="4571"/>
      <c r="AY14" s="4571"/>
      <c r="AZ14" s="4571"/>
      <c r="BA14" s="4571"/>
      <c r="BB14" s="4571"/>
      <c r="BC14" s="4571"/>
      <c r="BD14" s="4571"/>
      <c r="BE14" s="4571"/>
      <c r="BF14" s="4571"/>
      <c r="BG14" s="4571"/>
      <c r="BH14" s="4571"/>
      <c r="BI14" s="4571"/>
      <c r="BJ14" s="4065"/>
      <c r="BK14" s="4065"/>
      <c r="BL14" s="4065"/>
      <c r="BM14" s="4074"/>
      <c r="BN14" s="4065"/>
      <c r="BO14" s="4065"/>
      <c r="BP14" s="4065"/>
      <c r="BQ14" s="4065"/>
      <c r="BR14" s="4065"/>
      <c r="BS14" s="4065"/>
      <c r="BT14" s="4065"/>
      <c r="BU14" s="4065"/>
      <c r="BV14" s="802" t="s">
        <v>319</v>
      </c>
      <c r="BW14" s="802" t="s">
        <v>319</v>
      </c>
      <c r="BX14" s="802" t="s">
        <v>319</v>
      </c>
      <c r="BY14" s="802" t="s">
        <v>319</v>
      </c>
      <c r="BZ14" s="802" t="s">
        <v>319</v>
      </c>
      <c r="CA14" s="802" t="s">
        <v>319</v>
      </c>
      <c r="CB14" s="802" t="s">
        <v>319</v>
      </c>
      <c r="CC14" s="802" t="s">
        <v>319</v>
      </c>
      <c r="CD14" s="802" t="s">
        <v>319</v>
      </c>
      <c r="CE14" s="802" t="s">
        <v>319</v>
      </c>
      <c r="CF14" s="802" t="s">
        <v>319</v>
      </c>
      <c r="CG14" s="802" t="s">
        <v>319</v>
      </c>
      <c r="CH14" s="802" t="s">
        <v>319</v>
      </c>
      <c r="CI14" s="802" t="s">
        <v>319</v>
      </c>
      <c r="CJ14" s="802" t="s">
        <v>319</v>
      </c>
      <c r="CK14" s="802" t="s">
        <v>319</v>
      </c>
      <c r="CL14" s="802" t="s">
        <v>319</v>
      </c>
      <c r="CM14" s="802" t="s">
        <v>319</v>
      </c>
    </row>
    <row r="15" spans="1:92" ht="113.25" customHeight="1" x14ac:dyDescent="0.25">
      <c r="A15" s="4576"/>
      <c r="B15" s="4577"/>
      <c r="C15" s="795"/>
      <c r="D15" s="796"/>
      <c r="E15" s="4315"/>
      <c r="F15" s="4411"/>
      <c r="G15" s="241" t="s">
        <v>74</v>
      </c>
      <c r="H15" s="797" t="s">
        <v>1055</v>
      </c>
      <c r="I15" s="241">
        <v>2409014</v>
      </c>
      <c r="J15" s="797" t="s">
        <v>791</v>
      </c>
      <c r="K15" s="241" t="s">
        <v>74</v>
      </c>
      <c r="L15" s="797" t="s">
        <v>1056</v>
      </c>
      <c r="M15" s="241">
        <v>240901400</v>
      </c>
      <c r="N15" s="797" t="s">
        <v>1057</v>
      </c>
      <c r="O15" s="798">
        <v>1</v>
      </c>
      <c r="P15" s="594">
        <v>0.22</v>
      </c>
      <c r="Q15" s="3754"/>
      <c r="R15" s="3128"/>
      <c r="S15" s="799">
        <f>X15/T13</f>
        <v>0.23551401869158878</v>
      </c>
      <c r="T15" s="4583"/>
      <c r="U15" s="4585"/>
      <c r="V15" s="2426"/>
      <c r="W15" s="599" t="s">
        <v>1058</v>
      </c>
      <c r="X15" s="803">
        <v>25956000</v>
      </c>
      <c r="Y15" s="399">
        <v>21000000</v>
      </c>
      <c r="Z15" s="399">
        <f>'[3]F-PLA-47EjecucionMetasProyectos'!U19</f>
        <v>14000000</v>
      </c>
      <c r="AA15" s="798" t="s">
        <v>1059</v>
      </c>
      <c r="AB15" s="798">
        <v>23</v>
      </c>
      <c r="AC15" s="798" t="s">
        <v>1046</v>
      </c>
      <c r="AD15" s="4571"/>
      <c r="AE15" s="4571"/>
      <c r="AF15" s="4571"/>
      <c r="AG15" s="4571"/>
      <c r="AH15" s="4571"/>
      <c r="AI15" s="4571"/>
      <c r="AJ15" s="4571"/>
      <c r="AK15" s="4571"/>
      <c r="AL15" s="4571"/>
      <c r="AM15" s="4571"/>
      <c r="AN15" s="4571"/>
      <c r="AO15" s="4571"/>
      <c r="AP15" s="4571"/>
      <c r="AQ15" s="4571"/>
      <c r="AR15" s="4571"/>
      <c r="AS15" s="4571"/>
      <c r="AT15" s="4571"/>
      <c r="AU15" s="4571"/>
      <c r="AV15" s="4571"/>
      <c r="AW15" s="4571"/>
      <c r="AX15" s="4571"/>
      <c r="AY15" s="4571"/>
      <c r="AZ15" s="4571"/>
      <c r="BA15" s="4571"/>
      <c r="BB15" s="4571"/>
      <c r="BC15" s="4571"/>
      <c r="BD15" s="4571"/>
      <c r="BE15" s="4571"/>
      <c r="BF15" s="4571"/>
      <c r="BG15" s="4571"/>
      <c r="BH15" s="4571"/>
      <c r="BI15" s="4571"/>
      <c r="BJ15" s="4065"/>
      <c r="BK15" s="4065"/>
      <c r="BL15" s="4065"/>
      <c r="BM15" s="4074"/>
      <c r="BN15" s="4065"/>
      <c r="BO15" s="4065"/>
      <c r="BP15" s="4065"/>
      <c r="BQ15" s="4065"/>
      <c r="BR15" s="4065"/>
      <c r="BS15" s="4065"/>
      <c r="BT15" s="4065"/>
      <c r="BU15" s="4065"/>
      <c r="BV15" s="802" t="s">
        <v>319</v>
      </c>
      <c r="BW15" s="802" t="s">
        <v>319</v>
      </c>
      <c r="BX15" s="802" t="s">
        <v>319</v>
      </c>
      <c r="BY15" s="802" t="s">
        <v>319</v>
      </c>
      <c r="BZ15" s="802" t="s">
        <v>319</v>
      </c>
      <c r="CA15" s="802" t="s">
        <v>319</v>
      </c>
      <c r="CB15" s="802" t="s">
        <v>319</v>
      </c>
      <c r="CC15" s="802" t="s">
        <v>319</v>
      </c>
      <c r="CD15" s="802" t="s">
        <v>319</v>
      </c>
      <c r="CE15" s="802" t="s">
        <v>319</v>
      </c>
      <c r="CF15" s="802" t="s">
        <v>319</v>
      </c>
      <c r="CG15" s="802" t="s">
        <v>319</v>
      </c>
      <c r="CH15" s="802" t="s">
        <v>319</v>
      </c>
      <c r="CI15" s="802" t="s">
        <v>319</v>
      </c>
      <c r="CJ15" s="802" t="s">
        <v>319</v>
      </c>
      <c r="CK15" s="802" t="s">
        <v>319</v>
      </c>
      <c r="CL15" s="802" t="s">
        <v>319</v>
      </c>
      <c r="CM15" s="802" t="s">
        <v>319</v>
      </c>
    </row>
    <row r="16" spans="1:92" ht="109.5" customHeight="1" x14ac:dyDescent="0.25">
      <c r="A16" s="4576"/>
      <c r="B16" s="4577"/>
      <c r="C16" s="795"/>
      <c r="D16" s="796"/>
      <c r="E16" s="4316"/>
      <c r="F16" s="4581"/>
      <c r="G16" s="241" t="s">
        <v>74</v>
      </c>
      <c r="H16" s="797" t="s">
        <v>1060</v>
      </c>
      <c r="I16" s="241">
        <v>2409039</v>
      </c>
      <c r="J16" s="797" t="s">
        <v>1061</v>
      </c>
      <c r="K16" s="241" t="s">
        <v>74</v>
      </c>
      <c r="L16" s="797" t="s">
        <v>1062</v>
      </c>
      <c r="M16" s="241">
        <v>240903905</v>
      </c>
      <c r="N16" s="797" t="s">
        <v>1063</v>
      </c>
      <c r="O16" s="798">
        <v>1</v>
      </c>
      <c r="P16" s="594">
        <v>0.5</v>
      </c>
      <c r="Q16" s="4473"/>
      <c r="R16" s="3129"/>
      <c r="S16" s="799">
        <f>X16/T13</f>
        <v>0.43925233644859812</v>
      </c>
      <c r="T16" s="4584"/>
      <c r="U16" s="4586"/>
      <c r="V16" s="3114"/>
      <c r="W16" s="599" t="s">
        <v>1064</v>
      </c>
      <c r="X16" s="804">
        <v>48410000</v>
      </c>
      <c r="Y16" s="399">
        <v>0</v>
      </c>
      <c r="Z16" s="399">
        <f>'[3]F-PLA-47EjecucionMetasProyectos'!U20</f>
        <v>0</v>
      </c>
      <c r="AA16" s="798" t="s">
        <v>1065</v>
      </c>
      <c r="AB16" s="798">
        <v>23</v>
      </c>
      <c r="AC16" s="798" t="s">
        <v>1046</v>
      </c>
      <c r="AD16" s="4572"/>
      <c r="AE16" s="4572"/>
      <c r="AF16" s="4572"/>
      <c r="AG16" s="4572"/>
      <c r="AH16" s="4572"/>
      <c r="AI16" s="4572"/>
      <c r="AJ16" s="4572"/>
      <c r="AK16" s="4572"/>
      <c r="AL16" s="4572"/>
      <c r="AM16" s="4572"/>
      <c r="AN16" s="4572"/>
      <c r="AO16" s="4572"/>
      <c r="AP16" s="4572"/>
      <c r="AQ16" s="4572"/>
      <c r="AR16" s="4572"/>
      <c r="AS16" s="4572"/>
      <c r="AT16" s="4572"/>
      <c r="AU16" s="4572"/>
      <c r="AV16" s="4572"/>
      <c r="AW16" s="4572"/>
      <c r="AX16" s="4572"/>
      <c r="AY16" s="4572"/>
      <c r="AZ16" s="4572"/>
      <c r="BA16" s="4572"/>
      <c r="BB16" s="4572"/>
      <c r="BC16" s="4572"/>
      <c r="BD16" s="4572"/>
      <c r="BE16" s="4572"/>
      <c r="BF16" s="4572"/>
      <c r="BG16" s="4572"/>
      <c r="BH16" s="4572"/>
      <c r="BI16" s="4572"/>
      <c r="BJ16" s="4570"/>
      <c r="BK16" s="4570"/>
      <c r="BL16" s="4570"/>
      <c r="BM16" s="4569"/>
      <c r="BN16" s="4570"/>
      <c r="BO16" s="4570"/>
      <c r="BP16" s="4570"/>
      <c r="BQ16" s="4567"/>
      <c r="BR16" s="4567"/>
      <c r="BS16" s="4567"/>
      <c r="BT16" s="4567"/>
      <c r="BU16" s="4567"/>
      <c r="BV16" s="802" t="s">
        <v>319</v>
      </c>
      <c r="BW16" s="802" t="s">
        <v>319</v>
      </c>
      <c r="BX16" s="802" t="s">
        <v>319</v>
      </c>
      <c r="BY16" s="802" t="s">
        <v>319</v>
      </c>
      <c r="BZ16" s="802" t="s">
        <v>319</v>
      </c>
      <c r="CA16" s="802" t="s">
        <v>319</v>
      </c>
      <c r="CB16" s="802" t="s">
        <v>319</v>
      </c>
      <c r="CC16" s="802" t="s">
        <v>319</v>
      </c>
      <c r="CD16" s="802" t="s">
        <v>319</v>
      </c>
      <c r="CE16" s="802" t="s">
        <v>319</v>
      </c>
      <c r="CF16" s="802" t="s">
        <v>319</v>
      </c>
      <c r="CG16" s="802" t="s">
        <v>319</v>
      </c>
      <c r="CH16" s="802" t="s">
        <v>319</v>
      </c>
      <c r="CI16" s="802" t="s">
        <v>319</v>
      </c>
      <c r="CJ16" s="802" t="s">
        <v>319</v>
      </c>
      <c r="CK16" s="802" t="s">
        <v>319</v>
      </c>
      <c r="CL16" s="802" t="s">
        <v>319</v>
      </c>
      <c r="CM16" s="802" t="s">
        <v>319</v>
      </c>
    </row>
    <row r="17" spans="1:91" s="3" customFormat="1" ht="25.5" customHeight="1" x14ac:dyDescent="0.25">
      <c r="A17" s="4578"/>
      <c r="B17" s="4579"/>
      <c r="C17" s="805"/>
      <c r="D17" s="806"/>
      <c r="E17" s="807" t="s">
        <v>319</v>
      </c>
      <c r="F17" s="807" t="s">
        <v>319</v>
      </c>
      <c r="G17" s="807" t="s">
        <v>319</v>
      </c>
      <c r="H17" s="807" t="s">
        <v>319</v>
      </c>
      <c r="I17" s="807"/>
      <c r="J17" s="807"/>
      <c r="K17" s="807" t="s">
        <v>319</v>
      </c>
      <c r="L17" s="807" t="s">
        <v>319</v>
      </c>
      <c r="M17" s="807"/>
      <c r="N17" s="807"/>
      <c r="O17" s="807" t="s">
        <v>319</v>
      </c>
      <c r="P17" s="807"/>
      <c r="Q17" s="807" t="s">
        <v>319</v>
      </c>
      <c r="R17" s="807" t="s">
        <v>319</v>
      </c>
      <c r="S17" s="807" t="s">
        <v>319</v>
      </c>
      <c r="T17" s="808">
        <f>SUM(T13:T16)</f>
        <v>110210000</v>
      </c>
      <c r="U17" s="807" t="s">
        <v>319</v>
      </c>
      <c r="V17" s="807" t="s">
        <v>319</v>
      </c>
      <c r="W17" s="807" t="s">
        <v>319</v>
      </c>
      <c r="X17" s="809">
        <f>SUM(X13:X16)</f>
        <v>110210000</v>
      </c>
      <c r="Y17" s="809">
        <f t="shared" ref="Y17:Z17" si="0">SUM(Y13:Y16)</f>
        <v>39360000</v>
      </c>
      <c r="Z17" s="809">
        <f t="shared" si="0"/>
        <v>24710000</v>
      </c>
      <c r="AA17" s="807" t="s">
        <v>319</v>
      </c>
      <c r="AB17" s="807" t="s">
        <v>319</v>
      </c>
      <c r="AC17" s="807" t="s">
        <v>319</v>
      </c>
      <c r="AD17" s="807" t="s">
        <v>319</v>
      </c>
      <c r="AE17" s="810">
        <f>BM17</f>
        <v>0.62779471544715448</v>
      </c>
      <c r="AF17" s="807" t="s">
        <v>319</v>
      </c>
      <c r="AG17" s="807"/>
      <c r="AH17" s="807" t="s">
        <v>319</v>
      </c>
      <c r="AI17" s="807"/>
      <c r="AJ17" s="807" t="s">
        <v>319</v>
      </c>
      <c r="AK17" s="807"/>
      <c r="AL17" s="807" t="s">
        <v>319</v>
      </c>
      <c r="AM17" s="807"/>
      <c r="AN17" s="807" t="s">
        <v>319</v>
      </c>
      <c r="AO17" s="807"/>
      <c r="AP17" s="807" t="s">
        <v>319</v>
      </c>
      <c r="AQ17" s="807"/>
      <c r="AR17" s="807" t="s">
        <v>319</v>
      </c>
      <c r="AS17" s="807"/>
      <c r="AT17" s="807" t="s">
        <v>319</v>
      </c>
      <c r="AU17" s="807"/>
      <c r="AV17" s="807" t="s">
        <v>319</v>
      </c>
      <c r="AW17" s="807"/>
      <c r="AX17" s="807" t="s">
        <v>319</v>
      </c>
      <c r="AY17" s="807"/>
      <c r="AZ17" s="807" t="s">
        <v>319</v>
      </c>
      <c r="BA17" s="807"/>
      <c r="BB17" s="807" t="s">
        <v>319</v>
      </c>
      <c r="BC17" s="807"/>
      <c r="BD17" s="807" t="s">
        <v>319</v>
      </c>
      <c r="BE17" s="807"/>
      <c r="BF17" s="807" t="s">
        <v>319</v>
      </c>
      <c r="BG17" s="807"/>
      <c r="BH17" s="807" t="s">
        <v>319</v>
      </c>
      <c r="BI17" s="807"/>
      <c r="BJ17" s="807"/>
      <c r="BK17" s="811">
        <f>SUM(BK13:BK16)</f>
        <v>39360000</v>
      </c>
      <c r="BL17" s="811">
        <f>SUM(BL13:BL16)</f>
        <v>24710000</v>
      </c>
      <c r="BM17" s="812">
        <f>BL17/BK17</f>
        <v>0.62779471544715448</v>
      </c>
      <c r="BN17" s="807"/>
      <c r="BO17" s="807"/>
      <c r="BP17" s="807"/>
      <c r="BQ17" s="807" t="s">
        <v>319</v>
      </c>
      <c r="BR17" s="807"/>
      <c r="BS17" s="807" t="s">
        <v>319</v>
      </c>
      <c r="BT17" s="807"/>
      <c r="BU17" s="813" t="s">
        <v>319</v>
      </c>
      <c r="BV17" s="802" t="s">
        <v>319</v>
      </c>
      <c r="BW17" s="802" t="s">
        <v>319</v>
      </c>
      <c r="BX17" s="802" t="s">
        <v>319</v>
      </c>
      <c r="BY17" s="802" t="s">
        <v>319</v>
      </c>
      <c r="BZ17" s="802" t="s">
        <v>319</v>
      </c>
      <c r="CA17" s="802" t="s">
        <v>319</v>
      </c>
      <c r="CB17" s="802" t="s">
        <v>319</v>
      </c>
      <c r="CC17" s="802" t="s">
        <v>319</v>
      </c>
      <c r="CD17" s="802" t="s">
        <v>319</v>
      </c>
      <c r="CE17" s="802" t="s">
        <v>319</v>
      </c>
      <c r="CF17" s="802" t="s">
        <v>319</v>
      </c>
      <c r="CG17" s="802" t="s">
        <v>319</v>
      </c>
      <c r="CH17" s="802" t="s">
        <v>319</v>
      </c>
      <c r="CI17" s="802" t="s">
        <v>319</v>
      </c>
      <c r="CJ17" s="802" t="s">
        <v>319</v>
      </c>
      <c r="CK17" s="802" t="s">
        <v>319</v>
      </c>
      <c r="CL17" s="802" t="s">
        <v>319</v>
      </c>
      <c r="CM17" s="802" t="s">
        <v>319</v>
      </c>
    </row>
    <row r="27" spans="1:91" x14ac:dyDescent="0.2">
      <c r="R27" s="814" t="s">
        <v>1066</v>
      </c>
      <c r="S27" s="814" t="s">
        <v>1066</v>
      </c>
      <c r="T27" s="815" t="s">
        <v>1067</v>
      </c>
    </row>
    <row r="28" spans="1:91" x14ac:dyDescent="0.25">
      <c r="R28" s="814" t="s">
        <v>1068</v>
      </c>
      <c r="S28" s="814">
        <f>S22</f>
        <v>0</v>
      </c>
      <c r="T28" s="816" t="e">
        <f>S28/S28</f>
        <v>#DIV/0!</v>
      </c>
    </row>
    <row r="29" spans="1:91" ht="35.25" customHeight="1" x14ac:dyDescent="0.25">
      <c r="R29" s="814" t="s">
        <v>1069</v>
      </c>
      <c r="S29" s="814">
        <f>T22</f>
        <v>0</v>
      </c>
      <c r="T29" s="816" t="e">
        <f>S29/S28</f>
        <v>#DIV/0!</v>
      </c>
    </row>
    <row r="30" spans="1:91" ht="35.25" customHeight="1" x14ac:dyDescent="0.25">
      <c r="P30" s="794">
        <v>0</v>
      </c>
      <c r="R30" s="814" t="s">
        <v>1070</v>
      </c>
      <c r="S30" s="814">
        <f>U22</f>
        <v>0</v>
      </c>
      <c r="T30" s="816" t="e">
        <f>S30/S29</f>
        <v>#DIV/0!</v>
      </c>
    </row>
    <row r="31" spans="1:91" ht="35.25" customHeight="1" x14ac:dyDescent="0.25">
      <c r="R31" s="814" t="s">
        <v>1071</v>
      </c>
      <c r="S31" s="814">
        <f>S28-S29</f>
        <v>0</v>
      </c>
      <c r="T31" s="816" t="e">
        <f>S31/S28</f>
        <v>#DIV/0!</v>
      </c>
    </row>
    <row r="32" spans="1:91" ht="35.25" customHeight="1" x14ac:dyDescent="0.25">
      <c r="P32" s="794">
        <v>0</v>
      </c>
    </row>
    <row r="33" spans="16:17" ht="35.25" customHeight="1" x14ac:dyDescent="0.25">
      <c r="P33" s="794">
        <v>1</v>
      </c>
    </row>
    <row r="34" spans="16:17" ht="35.25" customHeight="1" x14ac:dyDescent="0.25">
      <c r="P34" s="794">
        <v>3</v>
      </c>
    </row>
    <row r="35" spans="16:17" ht="35.25" customHeight="1" x14ac:dyDescent="0.25">
      <c r="Q35" s="794">
        <f>SUM(Q30:Q34)</f>
        <v>0</v>
      </c>
    </row>
  </sheetData>
  <sheetProtection algorithmName="SHA-512" hashValue="vdilQYwPzIv6JyIBsKULPbY9TREk6ZdRt1P3Ly9zesvRh3Wu4ACEnzMLIS8KaTzgG3uaveihRrnP6zgYmSURWw==" saltValue="wNU1TcYCa2T+hJ3z479sIw==" spinCount="100000" sheet="1" objects="1" scenarios="1"/>
  <mergeCells count="121">
    <mergeCell ref="A1:BS4"/>
    <mergeCell ref="A5:O6"/>
    <mergeCell ref="Q5:BU5"/>
    <mergeCell ref="AH6:BQ6"/>
    <mergeCell ref="A7:B7"/>
    <mergeCell ref="C7:D7"/>
    <mergeCell ref="E7:F7"/>
    <mergeCell ref="G7:J7"/>
    <mergeCell ref="K7:N7"/>
    <mergeCell ref="BJ7:BP7"/>
    <mergeCell ref="BQ7:BR8"/>
    <mergeCell ref="BS7:BT8"/>
    <mergeCell ref="BU7:BU8"/>
    <mergeCell ref="A8:A9"/>
    <mergeCell ref="B8:B9"/>
    <mergeCell ref="C8:C9"/>
    <mergeCell ref="D8:D9"/>
    <mergeCell ref="E8:E9"/>
    <mergeCell ref="F8:F9"/>
    <mergeCell ref="AA7:AC7"/>
    <mergeCell ref="AH7:AM7"/>
    <mergeCell ref="AN7:BA7"/>
    <mergeCell ref="BB7:BG7"/>
    <mergeCell ref="BH7:BI8"/>
    <mergeCell ref="AB8:AB9"/>
    <mergeCell ref="AC8:AC9"/>
    <mergeCell ref="AD8:AE8"/>
    <mergeCell ref="AF8:AG8"/>
    <mergeCell ref="M8:M9"/>
    <mergeCell ref="N8:N9"/>
    <mergeCell ref="O8:P8"/>
    <mergeCell ref="Q8:Q9"/>
    <mergeCell ref="R8:R9"/>
    <mergeCell ref="S8:S9"/>
    <mergeCell ref="AR8:AS8"/>
    <mergeCell ref="AD7:AG7"/>
    <mergeCell ref="O7:Z7"/>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P8:BP9"/>
    <mergeCell ref="B10:F10"/>
    <mergeCell ref="A12:B17"/>
    <mergeCell ref="F12:K12"/>
    <mergeCell ref="E13:E16"/>
    <mergeCell ref="F13:F16"/>
    <mergeCell ref="Q13:Q16"/>
    <mergeCell ref="R13:R16"/>
    <mergeCell ref="T13:T16"/>
    <mergeCell ref="U13:U16"/>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AI13:AI16"/>
    <mergeCell ref="AJ13:AJ16"/>
    <mergeCell ref="AK13:AK16"/>
    <mergeCell ref="AL13:AL16"/>
    <mergeCell ref="AM13:AM16"/>
    <mergeCell ref="AN13:AN16"/>
    <mergeCell ref="V13:V16"/>
    <mergeCell ref="AD13:AD16"/>
    <mergeCell ref="AE13:AE16"/>
    <mergeCell ref="AF13:AF16"/>
    <mergeCell ref="AG13:AG16"/>
    <mergeCell ref="AH13:AH16"/>
    <mergeCell ref="AU13:AU16"/>
    <mergeCell ref="AV13:AV16"/>
    <mergeCell ref="AW13:AW16"/>
    <mergeCell ref="AX13:AX16"/>
    <mergeCell ref="AY13:AY16"/>
    <mergeCell ref="AZ13:AZ16"/>
    <mergeCell ref="AO13:AO16"/>
    <mergeCell ref="AP13:AP16"/>
    <mergeCell ref="AQ13:AQ16"/>
    <mergeCell ref="AR13:AR16"/>
    <mergeCell ref="AS13:AS16"/>
    <mergeCell ref="AT13:AT16"/>
    <mergeCell ref="BG13:BG16"/>
    <mergeCell ref="BH13:BH16"/>
    <mergeCell ref="BI13:BI16"/>
    <mergeCell ref="BJ13:BJ16"/>
    <mergeCell ref="BK13:BK16"/>
    <mergeCell ref="BL13:BL16"/>
    <mergeCell ref="BA13:BA16"/>
    <mergeCell ref="BB13:BB16"/>
    <mergeCell ref="BC13:BC16"/>
    <mergeCell ref="BD13:BD16"/>
    <mergeCell ref="BE13:BE16"/>
    <mergeCell ref="BF13:BF16"/>
    <mergeCell ref="BS13:BS16"/>
    <mergeCell ref="BT13:BT16"/>
    <mergeCell ref="BU13:BU16"/>
    <mergeCell ref="BM13:BM16"/>
    <mergeCell ref="BN13:BN16"/>
    <mergeCell ref="BO13:BO16"/>
    <mergeCell ref="BP13:BP16"/>
    <mergeCell ref="BQ13:BQ16"/>
    <mergeCell ref="BR13:BR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102"/>
  <sheetViews>
    <sheetView showGridLines="0" zoomScale="60" zoomScaleNormal="60" workbookViewId="0">
      <selection activeCell="BV3" sqref="BV3"/>
    </sheetView>
  </sheetViews>
  <sheetFormatPr baseColWidth="10" defaultColWidth="11.42578125" defaultRowHeight="15" x14ac:dyDescent="0.2"/>
  <cols>
    <col min="1" max="1" width="15.7109375" style="278" customWidth="1"/>
    <col min="2" max="2" width="17.7109375" style="136" customWidth="1"/>
    <col min="3" max="3" width="13.42578125" style="136" customWidth="1"/>
    <col min="4" max="4" width="21.42578125" style="136" customWidth="1"/>
    <col min="5" max="5" width="17" style="136" customWidth="1"/>
    <col min="6" max="6" width="18.85546875" style="136" customWidth="1"/>
    <col min="7" max="7" width="15.85546875" style="136" customWidth="1"/>
    <col min="8" max="8" width="31.5703125" style="136" customWidth="1"/>
    <col min="9" max="9" width="22.7109375" style="136" customWidth="1"/>
    <col min="10" max="10" width="31.5703125" style="136" customWidth="1"/>
    <col min="11" max="11" width="18.7109375" style="136" customWidth="1"/>
    <col min="12" max="12" width="25" style="119" customWidth="1"/>
    <col min="13" max="13" width="24.7109375" style="136" customWidth="1"/>
    <col min="14" max="14" width="25" style="119" customWidth="1"/>
    <col min="15" max="15" width="21.85546875" style="135" customWidth="1"/>
    <col min="16" max="16" width="20.85546875" style="149" customWidth="1"/>
    <col min="17" max="17" width="26.85546875" style="135" customWidth="1"/>
    <col min="18" max="18" width="23" style="149" customWidth="1"/>
    <col min="19" max="19" width="20.28515625" style="279" customWidth="1"/>
    <col min="20" max="20" width="25" style="280" customWidth="1"/>
    <col min="21" max="21" width="34" style="281" customWidth="1"/>
    <col min="22" max="22" width="38.85546875" style="2" customWidth="1"/>
    <col min="23" max="23" width="72.140625" style="119" customWidth="1"/>
    <col min="24" max="27" width="30" style="288" customWidth="1"/>
    <col min="28" max="28" width="55.5703125" style="285" customWidth="1"/>
    <col min="29" max="29" width="16.140625" style="130" customWidth="1"/>
    <col min="30" max="30" width="23.5703125" style="124" customWidth="1"/>
    <col min="31" max="32" width="13.7109375" style="2" customWidth="1"/>
    <col min="33" max="62" width="13.7109375" style="136" customWidth="1"/>
    <col min="63" max="63" width="20.85546875" style="136" customWidth="1"/>
    <col min="64" max="64" width="27" style="136" customWidth="1"/>
    <col min="65" max="65" width="26.85546875" style="136" customWidth="1"/>
    <col min="66" max="68" width="17" style="136" customWidth="1"/>
    <col min="69" max="69" width="21.7109375" style="136" customWidth="1"/>
    <col min="70" max="71" width="17.140625" style="136" customWidth="1"/>
    <col min="72" max="73" width="19.5703125" style="286" customWidth="1"/>
    <col min="74" max="74" width="30.5703125" style="287" bestFit="1" customWidth="1"/>
    <col min="75" max="75" width="9.140625" style="136" customWidth="1"/>
    <col min="76" max="16384" width="11.42578125" style="136"/>
  </cols>
  <sheetData>
    <row r="1" spans="1:93" ht="18" customHeight="1" x14ac:dyDescent="0.2">
      <c r="A1" s="2518" t="s">
        <v>128</v>
      </c>
      <c r="B1" s="2519"/>
      <c r="C1" s="2519"/>
      <c r="D1" s="2519"/>
      <c r="E1" s="2519"/>
      <c r="F1" s="2519"/>
      <c r="G1" s="2519"/>
      <c r="H1" s="2519"/>
      <c r="I1" s="2519"/>
      <c r="J1" s="2519"/>
      <c r="K1" s="2519"/>
      <c r="L1" s="2519"/>
      <c r="M1" s="2519"/>
      <c r="N1" s="2519"/>
      <c r="O1" s="2519"/>
      <c r="P1" s="2519"/>
      <c r="Q1" s="2519"/>
      <c r="R1" s="2519"/>
      <c r="S1" s="2519"/>
      <c r="T1" s="2519"/>
      <c r="U1" s="2519"/>
      <c r="V1" s="2519"/>
      <c r="W1" s="2519"/>
      <c r="X1" s="2519"/>
      <c r="Y1" s="2519"/>
      <c r="Z1" s="2519"/>
      <c r="AA1" s="2519"/>
      <c r="AB1" s="2519"/>
      <c r="AC1" s="2519"/>
      <c r="AD1" s="2519"/>
      <c r="AE1" s="2519"/>
      <c r="AF1" s="2519"/>
      <c r="AG1" s="2519"/>
      <c r="AH1" s="2519"/>
      <c r="AI1" s="2519"/>
      <c r="AJ1" s="2519"/>
      <c r="AK1" s="2519"/>
      <c r="AL1" s="2519"/>
      <c r="AM1" s="2519"/>
      <c r="AN1" s="2519"/>
      <c r="AO1" s="2519"/>
      <c r="AP1" s="2519"/>
      <c r="AQ1" s="2519"/>
      <c r="AR1" s="2519"/>
      <c r="AS1" s="2519"/>
      <c r="AT1" s="2519"/>
      <c r="AU1" s="2519"/>
      <c r="AV1" s="2519"/>
      <c r="AW1" s="2519"/>
      <c r="AX1" s="2519"/>
      <c r="AY1" s="2519"/>
      <c r="AZ1" s="2519"/>
      <c r="BA1" s="2519"/>
      <c r="BB1" s="2519"/>
      <c r="BC1" s="2519"/>
      <c r="BD1" s="2519"/>
      <c r="BE1" s="2519"/>
      <c r="BF1" s="2519"/>
      <c r="BG1" s="2519"/>
      <c r="BH1" s="2519"/>
      <c r="BI1" s="2519"/>
      <c r="BJ1" s="2519"/>
      <c r="BK1" s="2519"/>
      <c r="BL1" s="2519"/>
      <c r="BM1" s="2519"/>
      <c r="BN1" s="2519"/>
      <c r="BO1" s="2519"/>
      <c r="BP1" s="2519"/>
      <c r="BQ1" s="2519"/>
      <c r="BR1" s="2519"/>
      <c r="BS1" s="2519"/>
      <c r="BT1" s="2368"/>
      <c r="BU1" s="134" t="s">
        <v>0</v>
      </c>
      <c r="BV1" s="134" t="s">
        <v>1</v>
      </c>
      <c r="BW1" s="135"/>
      <c r="BX1" s="135"/>
      <c r="BY1" s="135"/>
      <c r="BZ1" s="135"/>
      <c r="CA1" s="135"/>
      <c r="CB1" s="135"/>
      <c r="CC1" s="135"/>
      <c r="CD1" s="135"/>
      <c r="CE1" s="135"/>
      <c r="CF1" s="135"/>
      <c r="CG1" s="135"/>
      <c r="CH1" s="135"/>
      <c r="CI1" s="135"/>
      <c r="CJ1" s="135"/>
      <c r="CK1" s="135"/>
      <c r="CL1" s="135"/>
      <c r="CM1" s="135"/>
      <c r="CN1" s="135"/>
      <c r="CO1" s="135"/>
    </row>
    <row r="2" spans="1:93" ht="18" customHeight="1" x14ac:dyDescent="0.2">
      <c r="A2" s="2519"/>
      <c r="B2" s="2519"/>
      <c r="C2" s="2519"/>
      <c r="D2" s="2519"/>
      <c r="E2" s="2519"/>
      <c r="F2" s="2519"/>
      <c r="G2" s="2519"/>
      <c r="H2" s="2519"/>
      <c r="I2" s="2519"/>
      <c r="J2" s="2519"/>
      <c r="K2" s="2519"/>
      <c r="L2" s="2519"/>
      <c r="M2" s="2519"/>
      <c r="N2" s="2519"/>
      <c r="O2" s="2519"/>
      <c r="P2" s="2519"/>
      <c r="Q2" s="2519"/>
      <c r="R2" s="2519"/>
      <c r="S2" s="2519"/>
      <c r="T2" s="2519"/>
      <c r="U2" s="2519"/>
      <c r="V2" s="2519"/>
      <c r="W2" s="2519"/>
      <c r="X2" s="2519"/>
      <c r="Y2" s="2519"/>
      <c r="Z2" s="2519"/>
      <c r="AA2" s="2519"/>
      <c r="AB2" s="2519"/>
      <c r="AC2" s="2519"/>
      <c r="AD2" s="2519"/>
      <c r="AE2" s="2519"/>
      <c r="AF2" s="2519"/>
      <c r="AG2" s="2519"/>
      <c r="AH2" s="2519"/>
      <c r="AI2" s="2519"/>
      <c r="AJ2" s="2519"/>
      <c r="AK2" s="2519"/>
      <c r="AL2" s="2519"/>
      <c r="AM2" s="2519"/>
      <c r="AN2" s="2519"/>
      <c r="AO2" s="2519"/>
      <c r="AP2" s="2519"/>
      <c r="AQ2" s="2519"/>
      <c r="AR2" s="2519"/>
      <c r="AS2" s="2519"/>
      <c r="AT2" s="2519"/>
      <c r="AU2" s="2519"/>
      <c r="AV2" s="2519"/>
      <c r="AW2" s="2519"/>
      <c r="AX2" s="2519"/>
      <c r="AY2" s="2519"/>
      <c r="AZ2" s="2519"/>
      <c r="BA2" s="2519"/>
      <c r="BB2" s="2519"/>
      <c r="BC2" s="2519"/>
      <c r="BD2" s="2519"/>
      <c r="BE2" s="2519"/>
      <c r="BF2" s="2519"/>
      <c r="BG2" s="2519"/>
      <c r="BH2" s="2519"/>
      <c r="BI2" s="2519"/>
      <c r="BJ2" s="2519"/>
      <c r="BK2" s="2519"/>
      <c r="BL2" s="2519"/>
      <c r="BM2" s="2519"/>
      <c r="BN2" s="2519"/>
      <c r="BO2" s="2519"/>
      <c r="BP2" s="2519"/>
      <c r="BQ2" s="2519"/>
      <c r="BR2" s="2519"/>
      <c r="BS2" s="2519"/>
      <c r="BT2" s="2368"/>
      <c r="BU2" s="137" t="s">
        <v>2</v>
      </c>
      <c r="BV2" s="138">
        <v>8</v>
      </c>
      <c r="BW2" s="135"/>
      <c r="BX2" s="135"/>
      <c r="BY2" s="135"/>
      <c r="BZ2" s="135"/>
      <c r="CA2" s="135"/>
      <c r="CB2" s="135"/>
      <c r="CC2" s="135"/>
      <c r="CD2" s="135"/>
      <c r="CE2" s="135"/>
      <c r="CF2" s="135"/>
      <c r="CG2" s="135"/>
      <c r="CH2" s="135"/>
      <c r="CI2" s="135"/>
      <c r="CJ2" s="135"/>
      <c r="CK2" s="135"/>
      <c r="CL2" s="135"/>
      <c r="CM2" s="135"/>
      <c r="CN2" s="135"/>
      <c r="CO2" s="135"/>
    </row>
    <row r="3" spans="1:93" ht="18" customHeight="1" x14ac:dyDescent="0.2">
      <c r="A3" s="2519"/>
      <c r="B3" s="2519"/>
      <c r="C3" s="2519"/>
      <c r="D3" s="2519"/>
      <c r="E3" s="2519"/>
      <c r="F3" s="2519"/>
      <c r="G3" s="2519"/>
      <c r="H3" s="2519"/>
      <c r="I3" s="2519"/>
      <c r="J3" s="2519"/>
      <c r="K3" s="2519"/>
      <c r="L3" s="2519"/>
      <c r="M3" s="2519"/>
      <c r="N3" s="2519"/>
      <c r="O3" s="2519"/>
      <c r="P3" s="2519"/>
      <c r="Q3" s="2519"/>
      <c r="R3" s="2519"/>
      <c r="S3" s="2519"/>
      <c r="T3" s="2519"/>
      <c r="U3" s="2519"/>
      <c r="V3" s="2519"/>
      <c r="W3" s="2519"/>
      <c r="X3" s="2519"/>
      <c r="Y3" s="2519"/>
      <c r="Z3" s="2519"/>
      <c r="AA3" s="2519"/>
      <c r="AB3" s="2519"/>
      <c r="AC3" s="2519"/>
      <c r="AD3" s="2519"/>
      <c r="AE3" s="2519"/>
      <c r="AF3" s="2519"/>
      <c r="AG3" s="2519"/>
      <c r="AH3" s="2519"/>
      <c r="AI3" s="2519"/>
      <c r="AJ3" s="2519"/>
      <c r="AK3" s="2519"/>
      <c r="AL3" s="2519"/>
      <c r="AM3" s="2519"/>
      <c r="AN3" s="2519"/>
      <c r="AO3" s="2519"/>
      <c r="AP3" s="2519"/>
      <c r="AQ3" s="2519"/>
      <c r="AR3" s="2519"/>
      <c r="AS3" s="2519"/>
      <c r="AT3" s="2519"/>
      <c r="AU3" s="2519"/>
      <c r="AV3" s="2519"/>
      <c r="AW3" s="2519"/>
      <c r="AX3" s="2519"/>
      <c r="AY3" s="2519"/>
      <c r="AZ3" s="2519"/>
      <c r="BA3" s="2519"/>
      <c r="BB3" s="2519"/>
      <c r="BC3" s="2519"/>
      <c r="BD3" s="2519"/>
      <c r="BE3" s="2519"/>
      <c r="BF3" s="2519"/>
      <c r="BG3" s="2519"/>
      <c r="BH3" s="2519"/>
      <c r="BI3" s="2519"/>
      <c r="BJ3" s="2519"/>
      <c r="BK3" s="2519"/>
      <c r="BL3" s="2519"/>
      <c r="BM3" s="2519"/>
      <c r="BN3" s="2519"/>
      <c r="BO3" s="2519"/>
      <c r="BP3" s="2519"/>
      <c r="BQ3" s="2519"/>
      <c r="BR3" s="2519"/>
      <c r="BS3" s="2519"/>
      <c r="BT3" s="2368"/>
      <c r="BU3" s="134" t="s">
        <v>4</v>
      </c>
      <c r="BV3" s="139">
        <v>44266</v>
      </c>
      <c r="BW3" s="135"/>
      <c r="BX3" s="135"/>
      <c r="BY3" s="135"/>
      <c r="BZ3" s="135"/>
      <c r="CA3" s="135"/>
      <c r="CB3" s="135"/>
      <c r="CC3" s="135"/>
      <c r="CD3" s="135"/>
      <c r="CE3" s="135"/>
      <c r="CF3" s="135"/>
      <c r="CG3" s="135"/>
      <c r="CH3" s="135"/>
      <c r="CI3" s="135"/>
      <c r="CJ3" s="135"/>
      <c r="CK3" s="135"/>
      <c r="CL3" s="135"/>
      <c r="CM3" s="135"/>
      <c r="CN3" s="135"/>
      <c r="CO3" s="135"/>
    </row>
    <row r="4" spans="1:93" ht="18" customHeight="1" x14ac:dyDescent="0.2">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5"/>
      <c r="BT4" s="2369"/>
      <c r="BU4" s="134" t="s">
        <v>5</v>
      </c>
      <c r="BV4" s="140" t="s">
        <v>6</v>
      </c>
      <c r="BW4" s="135"/>
      <c r="BX4" s="135"/>
      <c r="BY4" s="135"/>
      <c r="BZ4" s="135"/>
      <c r="CA4" s="135"/>
      <c r="CB4" s="135"/>
      <c r="CC4" s="135"/>
      <c r="CD4" s="135"/>
      <c r="CE4" s="135"/>
      <c r="CF4" s="135"/>
      <c r="CG4" s="135"/>
      <c r="CH4" s="135"/>
      <c r="CI4" s="135"/>
      <c r="CJ4" s="135"/>
      <c r="CK4" s="135"/>
      <c r="CL4" s="135"/>
      <c r="CM4" s="135"/>
      <c r="CN4" s="135"/>
      <c r="CO4" s="135"/>
    </row>
    <row r="5" spans="1:93" ht="12.75" customHeight="1" x14ac:dyDescent="0.2">
      <c r="A5" s="2363" t="s">
        <v>129</v>
      </c>
      <c r="B5" s="2363"/>
      <c r="C5" s="2363"/>
      <c r="D5" s="2363"/>
      <c r="E5" s="2363"/>
      <c r="F5" s="2363"/>
      <c r="G5" s="2363"/>
      <c r="H5" s="2363"/>
      <c r="I5" s="2363"/>
      <c r="J5" s="2363"/>
      <c r="K5" s="2363"/>
      <c r="L5" s="2363"/>
      <c r="M5" s="2363"/>
      <c r="N5" s="2363"/>
      <c r="O5" s="2363"/>
      <c r="P5" s="2363"/>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370"/>
      <c r="BW5" s="135"/>
      <c r="BX5" s="135"/>
      <c r="BY5" s="135"/>
      <c r="BZ5" s="135"/>
      <c r="CA5" s="135"/>
      <c r="CB5" s="135"/>
      <c r="CC5" s="135"/>
      <c r="CD5" s="135"/>
      <c r="CE5" s="135"/>
      <c r="CF5" s="135"/>
      <c r="CG5" s="135"/>
      <c r="CH5" s="135"/>
      <c r="CI5" s="135"/>
      <c r="CJ5" s="135"/>
      <c r="CK5" s="135"/>
      <c r="CL5" s="135"/>
      <c r="CM5" s="135"/>
      <c r="CN5" s="135"/>
      <c r="CO5" s="135"/>
    </row>
    <row r="6" spans="1:93" ht="16.5" customHeight="1" x14ac:dyDescent="0.2">
      <c r="A6" s="2365"/>
      <c r="B6" s="2365"/>
      <c r="C6" s="2365"/>
      <c r="D6" s="2365"/>
      <c r="E6" s="2365"/>
      <c r="F6" s="2365"/>
      <c r="G6" s="2365"/>
      <c r="H6" s="2365"/>
      <c r="I6" s="2365"/>
      <c r="J6" s="2365"/>
      <c r="K6" s="2365"/>
      <c r="L6" s="2365"/>
      <c r="M6" s="2365"/>
      <c r="N6" s="2365"/>
      <c r="O6" s="2365"/>
      <c r="P6" s="2365"/>
      <c r="Q6" s="141"/>
      <c r="R6" s="141"/>
      <c r="S6" s="141"/>
      <c r="T6" s="142"/>
      <c r="U6" s="143"/>
      <c r="V6" s="144"/>
      <c r="W6" s="141"/>
      <c r="X6" s="145"/>
      <c r="Y6" s="145"/>
      <c r="Z6" s="145"/>
      <c r="AA6" s="145"/>
      <c r="AB6" s="146"/>
      <c r="AC6" s="141"/>
      <c r="AD6" s="141"/>
      <c r="AE6" s="2364" t="s">
        <v>8</v>
      </c>
      <c r="AF6" s="2365"/>
      <c r="AG6" s="2365"/>
      <c r="AH6" s="2365"/>
      <c r="AI6" s="2365"/>
      <c r="AJ6" s="2365"/>
      <c r="AK6" s="2365"/>
      <c r="AL6" s="2365"/>
      <c r="AM6" s="2365"/>
      <c r="AN6" s="2365"/>
      <c r="AO6" s="2365"/>
      <c r="AP6" s="2365"/>
      <c r="AQ6" s="2365"/>
      <c r="AR6" s="2365"/>
      <c r="AS6" s="2365"/>
      <c r="AT6" s="2365"/>
      <c r="AU6" s="2365"/>
      <c r="AV6" s="2365"/>
      <c r="AW6" s="2365"/>
      <c r="AX6" s="2365"/>
      <c r="AY6" s="2365"/>
      <c r="AZ6" s="2365"/>
      <c r="BA6" s="2365"/>
      <c r="BB6" s="2365"/>
      <c r="BC6" s="2365"/>
      <c r="BD6" s="2365"/>
      <c r="BE6" s="2365"/>
      <c r="BF6" s="2365"/>
      <c r="BG6" s="2369"/>
      <c r="BH6" s="144"/>
      <c r="BI6" s="144"/>
      <c r="BJ6" s="144"/>
      <c r="BK6" s="144"/>
      <c r="BL6" s="144"/>
      <c r="BM6" s="144"/>
      <c r="BN6" s="144"/>
      <c r="BO6" s="144"/>
      <c r="BP6" s="144"/>
      <c r="BQ6" s="144"/>
      <c r="BR6" s="141"/>
      <c r="BS6" s="141"/>
      <c r="BT6" s="141"/>
      <c r="BU6" s="141"/>
      <c r="BV6" s="147"/>
      <c r="BW6" s="135"/>
      <c r="BX6" s="135"/>
      <c r="BY6" s="135"/>
      <c r="BZ6" s="135"/>
      <c r="CA6" s="135"/>
      <c r="CB6" s="135"/>
      <c r="CC6" s="135"/>
      <c r="CD6" s="135"/>
      <c r="CE6" s="135"/>
      <c r="CF6" s="135"/>
      <c r="CG6" s="135"/>
      <c r="CH6" s="135"/>
      <c r="CI6" s="135"/>
      <c r="CJ6" s="135"/>
      <c r="CK6" s="135"/>
      <c r="CL6" s="135"/>
      <c r="CM6" s="135"/>
      <c r="CN6" s="135"/>
      <c r="CO6" s="135"/>
    </row>
    <row r="7" spans="1:93" ht="19.5" customHeight="1" x14ac:dyDescent="0.2">
      <c r="A7" s="2520" t="s">
        <v>9</v>
      </c>
      <c r="B7" s="2521"/>
      <c r="C7" s="2522" t="s">
        <v>10</v>
      </c>
      <c r="D7" s="2521"/>
      <c r="E7" s="2520" t="s">
        <v>11</v>
      </c>
      <c r="F7" s="2521"/>
      <c r="G7" s="2522" t="s">
        <v>12</v>
      </c>
      <c r="H7" s="2520"/>
      <c r="I7" s="2520"/>
      <c r="J7" s="2520"/>
      <c r="K7" s="2522" t="s">
        <v>13</v>
      </c>
      <c r="L7" s="2520"/>
      <c r="M7" s="2520"/>
      <c r="N7" s="2521"/>
      <c r="O7" s="2523" t="s">
        <v>130</v>
      </c>
      <c r="P7" s="2524"/>
      <c r="Q7" s="2538" t="s">
        <v>14</v>
      </c>
      <c r="R7" s="2539"/>
      <c r="S7" s="2539"/>
      <c r="T7" s="2539"/>
      <c r="U7" s="2539"/>
      <c r="V7" s="2539"/>
      <c r="W7" s="2540"/>
      <c r="X7" s="148"/>
      <c r="Y7" s="148"/>
      <c r="Z7" s="148"/>
      <c r="AA7" s="148"/>
      <c r="AB7" s="2538" t="s">
        <v>15</v>
      </c>
      <c r="AC7" s="2539"/>
      <c r="AD7" s="2540"/>
      <c r="AE7" s="2349" t="s">
        <v>16</v>
      </c>
      <c r="AF7" s="2350"/>
      <c r="AG7" s="2350"/>
      <c r="AH7" s="2351"/>
      <c r="AI7" s="2352" t="s">
        <v>17</v>
      </c>
      <c r="AJ7" s="2353"/>
      <c r="AK7" s="2353"/>
      <c r="AL7" s="2353"/>
      <c r="AM7" s="2353"/>
      <c r="AN7" s="2353"/>
      <c r="AO7" s="2353"/>
      <c r="AP7" s="2354"/>
      <c r="AQ7" s="2360" t="s">
        <v>18</v>
      </c>
      <c r="AR7" s="2507"/>
      <c r="AS7" s="2507"/>
      <c r="AT7" s="2507"/>
      <c r="AU7" s="2507"/>
      <c r="AV7" s="2507"/>
      <c r="AW7" s="2507"/>
      <c r="AX7" s="2507"/>
      <c r="AY7" s="2507"/>
      <c r="AZ7" s="2507"/>
      <c r="BA7" s="2507"/>
      <c r="BB7" s="2361"/>
      <c r="BC7" s="2508" t="s">
        <v>19</v>
      </c>
      <c r="BD7" s="2509"/>
      <c r="BE7" s="2509"/>
      <c r="BF7" s="2509"/>
      <c r="BG7" s="2509"/>
      <c r="BH7" s="2510"/>
      <c r="BI7" s="2527" t="s">
        <v>20</v>
      </c>
      <c r="BJ7" s="2528"/>
      <c r="BK7" s="2531" t="s">
        <v>21</v>
      </c>
      <c r="BL7" s="2532"/>
      <c r="BM7" s="2532"/>
      <c r="BN7" s="2532"/>
      <c r="BO7" s="2532"/>
      <c r="BP7" s="2532"/>
      <c r="BQ7" s="2533"/>
      <c r="BR7" s="2376" t="s">
        <v>22</v>
      </c>
      <c r="BS7" s="2377"/>
      <c r="BT7" s="2376" t="s">
        <v>23</v>
      </c>
      <c r="BU7" s="2377"/>
      <c r="BV7" s="2380" t="s">
        <v>24</v>
      </c>
      <c r="BW7" s="135"/>
      <c r="BX7" s="135"/>
      <c r="BY7" s="135"/>
      <c r="BZ7" s="135"/>
      <c r="CA7" s="135"/>
      <c r="CB7" s="135"/>
      <c r="CC7" s="135"/>
      <c r="CD7" s="135"/>
      <c r="CE7" s="135"/>
      <c r="CF7" s="135"/>
      <c r="CG7" s="135"/>
      <c r="CH7" s="135"/>
      <c r="CI7" s="135"/>
      <c r="CJ7" s="135"/>
      <c r="CK7" s="135"/>
      <c r="CL7" s="135"/>
      <c r="CM7" s="135"/>
      <c r="CN7" s="135"/>
      <c r="CO7" s="135"/>
    </row>
    <row r="8" spans="1:93" s="150" customFormat="1" ht="120.75" customHeight="1" x14ac:dyDescent="0.2">
      <c r="A8" s="2536" t="s">
        <v>25</v>
      </c>
      <c r="B8" s="2505" t="s">
        <v>26</v>
      </c>
      <c r="C8" s="2536" t="s">
        <v>25</v>
      </c>
      <c r="D8" s="2505" t="s">
        <v>26</v>
      </c>
      <c r="E8" s="2505" t="s">
        <v>25</v>
      </c>
      <c r="F8" s="2505" t="s">
        <v>26</v>
      </c>
      <c r="G8" s="2505" t="s">
        <v>27</v>
      </c>
      <c r="H8" s="2505" t="s">
        <v>28</v>
      </c>
      <c r="I8" s="2505" t="s">
        <v>29</v>
      </c>
      <c r="J8" s="2505" t="s">
        <v>131</v>
      </c>
      <c r="K8" s="2505" t="s">
        <v>27</v>
      </c>
      <c r="L8" s="2505" t="s">
        <v>31</v>
      </c>
      <c r="M8" s="2505" t="s">
        <v>32</v>
      </c>
      <c r="N8" s="2505" t="s">
        <v>33</v>
      </c>
      <c r="O8" s="2525"/>
      <c r="P8" s="2526"/>
      <c r="Q8" s="2505" t="s">
        <v>35</v>
      </c>
      <c r="R8" s="2505" t="s">
        <v>36</v>
      </c>
      <c r="S8" s="2511" t="s">
        <v>37</v>
      </c>
      <c r="T8" s="2513" t="s">
        <v>132</v>
      </c>
      <c r="U8" s="2505" t="s">
        <v>39</v>
      </c>
      <c r="V8" s="2505" t="s">
        <v>40</v>
      </c>
      <c r="W8" s="2505" t="s">
        <v>41</v>
      </c>
      <c r="X8" s="2515" t="s">
        <v>133</v>
      </c>
      <c r="Y8" s="2516"/>
      <c r="Z8" s="2516"/>
      <c r="AA8" s="2517"/>
      <c r="AB8" s="2505" t="s">
        <v>43</v>
      </c>
      <c r="AC8" s="2345" t="s">
        <v>44</v>
      </c>
      <c r="AD8" s="2505" t="s">
        <v>26</v>
      </c>
      <c r="AE8" s="2358" t="s">
        <v>45</v>
      </c>
      <c r="AF8" s="2359"/>
      <c r="AG8" s="2341" t="s">
        <v>46</v>
      </c>
      <c r="AH8" s="2342"/>
      <c r="AI8" s="2358" t="s">
        <v>47</v>
      </c>
      <c r="AJ8" s="2359"/>
      <c r="AK8" s="2358" t="s">
        <v>48</v>
      </c>
      <c r="AL8" s="2359"/>
      <c r="AM8" s="2358" t="s">
        <v>134</v>
      </c>
      <c r="AN8" s="2359"/>
      <c r="AO8" s="2358" t="s">
        <v>50</v>
      </c>
      <c r="AP8" s="2359"/>
      <c r="AQ8" s="2358" t="s">
        <v>51</v>
      </c>
      <c r="AR8" s="2359"/>
      <c r="AS8" s="2358" t="s">
        <v>52</v>
      </c>
      <c r="AT8" s="2359"/>
      <c r="AU8" s="2358" t="s">
        <v>53</v>
      </c>
      <c r="AV8" s="2359"/>
      <c r="AW8" s="2358" t="s">
        <v>135</v>
      </c>
      <c r="AX8" s="2359"/>
      <c r="AY8" s="2358" t="s">
        <v>55</v>
      </c>
      <c r="AZ8" s="2359"/>
      <c r="BA8" s="2358" t="s">
        <v>56</v>
      </c>
      <c r="BB8" s="2359"/>
      <c r="BC8" s="2358" t="s">
        <v>57</v>
      </c>
      <c r="BD8" s="2359"/>
      <c r="BE8" s="2358" t="s">
        <v>58</v>
      </c>
      <c r="BF8" s="2359"/>
      <c r="BG8" s="2358" t="s">
        <v>59</v>
      </c>
      <c r="BH8" s="2359"/>
      <c r="BI8" s="2529"/>
      <c r="BJ8" s="2530"/>
      <c r="BK8" s="2336" t="s">
        <v>60</v>
      </c>
      <c r="BL8" s="2499" t="s">
        <v>136</v>
      </c>
      <c r="BM8" s="2336" t="s">
        <v>137</v>
      </c>
      <c r="BN8" s="2501" t="s">
        <v>63</v>
      </c>
      <c r="BO8" s="2334" t="s">
        <v>64</v>
      </c>
      <c r="BP8" s="2335"/>
      <c r="BQ8" s="2336" t="s">
        <v>65</v>
      </c>
      <c r="BR8" s="2534"/>
      <c r="BS8" s="2535"/>
      <c r="BT8" s="2534"/>
      <c r="BU8" s="2535"/>
      <c r="BV8" s="2381"/>
      <c r="BW8" s="149"/>
      <c r="BX8" s="149"/>
      <c r="BY8" s="149"/>
      <c r="BZ8" s="149"/>
      <c r="CA8" s="149"/>
      <c r="CB8" s="149"/>
      <c r="CC8" s="149"/>
      <c r="CD8" s="149"/>
      <c r="CE8" s="149"/>
      <c r="CF8" s="149"/>
      <c r="CG8" s="149"/>
      <c r="CH8" s="149"/>
      <c r="CI8" s="149"/>
      <c r="CJ8" s="149"/>
      <c r="CK8" s="149"/>
      <c r="CL8" s="149"/>
      <c r="CM8" s="149"/>
      <c r="CN8" s="149"/>
      <c r="CO8" s="149"/>
    </row>
    <row r="9" spans="1:93" s="150" customFormat="1" ht="55.5" customHeight="1" x14ac:dyDescent="0.2">
      <c r="A9" s="2537"/>
      <c r="B9" s="2506"/>
      <c r="C9" s="2537"/>
      <c r="D9" s="2506"/>
      <c r="E9" s="2506"/>
      <c r="F9" s="2506"/>
      <c r="G9" s="2506"/>
      <c r="H9" s="2506"/>
      <c r="I9" s="2506"/>
      <c r="J9" s="2506"/>
      <c r="K9" s="2506"/>
      <c r="L9" s="2506"/>
      <c r="M9" s="2506"/>
      <c r="N9" s="2506"/>
      <c r="O9" s="151" t="s">
        <v>138</v>
      </c>
      <c r="P9" s="151" t="s">
        <v>139</v>
      </c>
      <c r="Q9" s="2506"/>
      <c r="R9" s="2506"/>
      <c r="S9" s="2512"/>
      <c r="T9" s="2514"/>
      <c r="U9" s="2506"/>
      <c r="V9" s="2506"/>
      <c r="W9" s="2506"/>
      <c r="X9" s="152" t="s">
        <v>68</v>
      </c>
      <c r="Y9" s="153" t="s">
        <v>140</v>
      </c>
      <c r="Z9" s="153" t="s">
        <v>141</v>
      </c>
      <c r="AA9" s="153" t="s">
        <v>142</v>
      </c>
      <c r="AB9" s="2506"/>
      <c r="AC9" s="2346"/>
      <c r="AD9" s="2506"/>
      <c r="AE9" s="154" t="s">
        <v>66</v>
      </c>
      <c r="AF9" s="154" t="s">
        <v>67</v>
      </c>
      <c r="AG9" s="154" t="s">
        <v>66</v>
      </c>
      <c r="AH9" s="154" t="s">
        <v>67</v>
      </c>
      <c r="AI9" s="154" t="s">
        <v>66</v>
      </c>
      <c r="AJ9" s="154" t="s">
        <v>67</v>
      </c>
      <c r="AK9" s="154" t="s">
        <v>66</v>
      </c>
      <c r="AL9" s="154" t="s">
        <v>67</v>
      </c>
      <c r="AM9" s="154" t="s">
        <v>66</v>
      </c>
      <c r="AN9" s="154" t="s">
        <v>67</v>
      </c>
      <c r="AO9" s="154" t="s">
        <v>66</v>
      </c>
      <c r="AP9" s="154" t="s">
        <v>67</v>
      </c>
      <c r="AQ9" s="154" t="s">
        <v>66</v>
      </c>
      <c r="AR9" s="154" t="s">
        <v>67</v>
      </c>
      <c r="AS9" s="154" t="s">
        <v>66</v>
      </c>
      <c r="AT9" s="154" t="s">
        <v>67</v>
      </c>
      <c r="AU9" s="154" t="s">
        <v>66</v>
      </c>
      <c r="AV9" s="154" t="s">
        <v>67</v>
      </c>
      <c r="AW9" s="154" t="s">
        <v>66</v>
      </c>
      <c r="AX9" s="154" t="s">
        <v>67</v>
      </c>
      <c r="AY9" s="154" t="s">
        <v>66</v>
      </c>
      <c r="AZ9" s="154" t="s">
        <v>67</v>
      </c>
      <c r="BA9" s="154" t="s">
        <v>66</v>
      </c>
      <c r="BB9" s="154" t="s">
        <v>67</v>
      </c>
      <c r="BC9" s="154" t="s">
        <v>66</v>
      </c>
      <c r="BD9" s="154" t="s">
        <v>67</v>
      </c>
      <c r="BE9" s="154" t="s">
        <v>66</v>
      </c>
      <c r="BF9" s="154" t="s">
        <v>67</v>
      </c>
      <c r="BG9" s="154" t="s">
        <v>66</v>
      </c>
      <c r="BH9" s="154" t="s">
        <v>67</v>
      </c>
      <c r="BI9" s="154" t="s">
        <v>66</v>
      </c>
      <c r="BJ9" s="154" t="s">
        <v>67</v>
      </c>
      <c r="BK9" s="2337"/>
      <c r="BL9" s="2500"/>
      <c r="BM9" s="2337"/>
      <c r="BN9" s="2502"/>
      <c r="BO9" s="15" t="s">
        <v>25</v>
      </c>
      <c r="BP9" s="16" t="s">
        <v>26</v>
      </c>
      <c r="BQ9" s="2337"/>
      <c r="BR9" s="154" t="s">
        <v>66</v>
      </c>
      <c r="BS9" s="154" t="s">
        <v>67</v>
      </c>
      <c r="BT9" s="154" t="s">
        <v>66</v>
      </c>
      <c r="BU9" s="154" t="s">
        <v>67</v>
      </c>
      <c r="BV9" s="155"/>
      <c r="BW9" s="149"/>
      <c r="BX9" s="149"/>
      <c r="BY9" s="149"/>
      <c r="BZ9" s="149"/>
      <c r="CA9" s="149"/>
      <c r="CB9" s="149"/>
      <c r="CC9" s="149"/>
      <c r="CD9" s="149"/>
      <c r="CE9" s="149"/>
      <c r="CF9" s="149"/>
      <c r="CG9" s="149"/>
      <c r="CH9" s="149"/>
      <c r="CI9" s="149"/>
      <c r="CJ9" s="149"/>
      <c r="CK9" s="149"/>
      <c r="CL9" s="149"/>
      <c r="CM9" s="149"/>
      <c r="CN9" s="149"/>
      <c r="CO9" s="149"/>
    </row>
    <row r="10" spans="1:93" ht="21" customHeight="1" x14ac:dyDescent="0.2">
      <c r="A10" s="156">
        <v>4</v>
      </c>
      <c r="B10" s="157" t="s">
        <v>71</v>
      </c>
      <c r="C10" s="158"/>
      <c r="D10" s="158"/>
      <c r="E10" s="159"/>
      <c r="F10" s="160"/>
      <c r="G10" s="160"/>
      <c r="H10" s="160"/>
      <c r="I10" s="160"/>
      <c r="J10" s="160"/>
      <c r="K10" s="160"/>
      <c r="L10" s="161"/>
      <c r="M10" s="160"/>
      <c r="N10" s="161"/>
      <c r="O10" s="160"/>
      <c r="P10" s="162"/>
      <c r="Q10" s="160"/>
      <c r="R10" s="160"/>
      <c r="S10" s="160"/>
      <c r="T10" s="160"/>
      <c r="U10" s="160"/>
      <c r="V10" s="160"/>
      <c r="W10" s="160"/>
      <c r="X10" s="160"/>
      <c r="Y10" s="163"/>
      <c r="Z10" s="163"/>
      <c r="AA10" s="163"/>
      <c r="AB10" s="160"/>
      <c r="AC10" s="164"/>
      <c r="AD10" s="165"/>
      <c r="AE10" s="162"/>
      <c r="AF10" s="166"/>
      <c r="AG10" s="167"/>
      <c r="AH10" s="167"/>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8"/>
      <c r="BU10" s="168"/>
      <c r="BV10" s="168"/>
      <c r="BW10" s="135"/>
      <c r="BX10" s="135"/>
      <c r="BY10" s="135"/>
      <c r="BZ10" s="135"/>
      <c r="CA10" s="135"/>
      <c r="CB10" s="135"/>
      <c r="CC10" s="135"/>
      <c r="CD10" s="135"/>
      <c r="CE10" s="135"/>
      <c r="CF10" s="135"/>
      <c r="CG10" s="135"/>
      <c r="CH10" s="135"/>
      <c r="CI10" s="135"/>
      <c r="CJ10" s="135"/>
      <c r="CK10" s="135"/>
      <c r="CL10" s="135"/>
      <c r="CM10" s="135"/>
    </row>
    <row r="11" spans="1:93" ht="21" customHeight="1" x14ac:dyDescent="0.2">
      <c r="A11" s="169"/>
      <c r="B11" s="170"/>
      <c r="C11" s="171">
        <v>45</v>
      </c>
      <c r="D11" s="172" t="s">
        <v>143</v>
      </c>
      <c r="E11" s="173"/>
      <c r="F11" s="173"/>
      <c r="G11" s="173"/>
      <c r="H11" s="173"/>
      <c r="I11" s="173"/>
      <c r="J11" s="173"/>
      <c r="K11" s="173"/>
      <c r="L11" s="173"/>
      <c r="M11" s="173"/>
      <c r="N11" s="173"/>
      <c r="O11" s="173"/>
      <c r="P11" s="174"/>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35"/>
      <c r="BX11" s="135"/>
      <c r="BY11" s="135"/>
      <c r="BZ11" s="135"/>
      <c r="CA11" s="135"/>
      <c r="CB11" s="135"/>
      <c r="CC11" s="135"/>
      <c r="CD11" s="135"/>
      <c r="CE11" s="135"/>
      <c r="CF11" s="135"/>
      <c r="CG11" s="135"/>
      <c r="CH11" s="135"/>
      <c r="CI11" s="135"/>
      <c r="CJ11" s="135"/>
      <c r="CK11" s="135"/>
      <c r="CL11" s="135"/>
      <c r="CM11" s="135"/>
    </row>
    <row r="12" spans="1:93" ht="21.75" customHeight="1" x14ac:dyDescent="0.2">
      <c r="A12" s="175"/>
      <c r="B12" s="176"/>
      <c r="C12" s="177"/>
      <c r="D12" s="178"/>
      <c r="E12" s="179">
        <v>4502</v>
      </c>
      <c r="F12" s="180" t="s">
        <v>115</v>
      </c>
      <c r="G12" s="181"/>
      <c r="H12" s="181"/>
      <c r="I12" s="181"/>
      <c r="J12" s="181"/>
      <c r="K12" s="182"/>
      <c r="L12" s="183"/>
      <c r="M12" s="182"/>
      <c r="N12" s="183"/>
      <c r="O12" s="183"/>
      <c r="P12" s="184"/>
      <c r="Q12" s="184"/>
      <c r="R12" s="185"/>
      <c r="S12" s="186"/>
      <c r="T12" s="187"/>
      <c r="U12" s="185"/>
      <c r="V12" s="188"/>
      <c r="W12" s="182"/>
      <c r="X12" s="189"/>
      <c r="Y12" s="189"/>
      <c r="Z12" s="189"/>
      <c r="AA12" s="190"/>
      <c r="AB12" s="191"/>
      <c r="AC12" s="192"/>
      <c r="AD12" s="188"/>
      <c r="AE12" s="193"/>
      <c r="AF12" s="19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94"/>
      <c r="BS12" s="194"/>
      <c r="BT12" s="194"/>
      <c r="BU12" s="194"/>
      <c r="BV12" s="182"/>
      <c r="BX12" s="135"/>
      <c r="BY12" s="135"/>
      <c r="BZ12" s="135"/>
      <c r="CA12" s="135"/>
      <c r="CB12" s="135"/>
      <c r="CC12" s="135"/>
      <c r="CD12" s="135"/>
      <c r="CE12" s="135"/>
      <c r="CF12" s="135"/>
      <c r="CG12" s="135"/>
      <c r="CH12" s="135"/>
      <c r="CI12" s="135"/>
      <c r="CJ12" s="135"/>
      <c r="CK12" s="135"/>
      <c r="CL12" s="135"/>
      <c r="CM12" s="135"/>
    </row>
    <row r="13" spans="1:93" ht="45.75" customHeight="1" x14ac:dyDescent="0.2">
      <c r="A13" s="175"/>
      <c r="B13" s="176"/>
      <c r="C13" s="175"/>
      <c r="D13" s="195"/>
      <c r="E13" s="196"/>
      <c r="F13" s="196"/>
      <c r="G13" s="2503" t="s">
        <v>74</v>
      </c>
      <c r="H13" s="2504" t="s">
        <v>144</v>
      </c>
      <c r="I13" s="2503">
        <v>4502001</v>
      </c>
      <c r="J13" s="2504" t="s">
        <v>145</v>
      </c>
      <c r="K13" s="2468" t="s">
        <v>74</v>
      </c>
      <c r="L13" s="2469" t="s">
        <v>146</v>
      </c>
      <c r="M13" s="2468">
        <v>450200100</v>
      </c>
      <c r="N13" s="2469" t="s">
        <v>147</v>
      </c>
      <c r="O13" s="2296">
        <v>1</v>
      </c>
      <c r="P13" s="2296">
        <v>0</v>
      </c>
      <c r="Q13" s="2497" t="s">
        <v>148</v>
      </c>
      <c r="R13" s="2397" t="s">
        <v>149</v>
      </c>
      <c r="S13" s="2255">
        <f>SUM(X13:X30)/T13</f>
        <v>1</v>
      </c>
      <c r="T13" s="2493">
        <f>SUM(X13:X30)</f>
        <v>143333529</v>
      </c>
      <c r="U13" s="2285" t="s">
        <v>150</v>
      </c>
      <c r="V13" s="2495" t="s">
        <v>151</v>
      </c>
      <c r="W13" s="2477" t="s">
        <v>152</v>
      </c>
      <c r="X13" s="199">
        <v>5000000</v>
      </c>
      <c r="Y13" s="199">
        <v>0</v>
      </c>
      <c r="Z13" s="199">
        <v>0</v>
      </c>
      <c r="AA13" s="199"/>
      <c r="AB13" s="200" t="s">
        <v>153</v>
      </c>
      <c r="AC13" s="67">
        <v>20</v>
      </c>
      <c r="AD13" s="201" t="s">
        <v>154</v>
      </c>
      <c r="AE13" s="2279">
        <v>295972</v>
      </c>
      <c r="AF13" s="2279"/>
      <c r="AG13" s="2400">
        <v>285580</v>
      </c>
      <c r="AH13" s="2279"/>
      <c r="AI13" s="2485">
        <v>135545</v>
      </c>
      <c r="AJ13" s="2279"/>
      <c r="AK13" s="2486">
        <v>44254</v>
      </c>
      <c r="AL13" s="2279"/>
      <c r="AM13" s="2489">
        <v>309146</v>
      </c>
      <c r="AN13" s="2279"/>
      <c r="AO13" s="2486">
        <v>92607</v>
      </c>
      <c r="AP13" s="2279"/>
      <c r="AQ13" s="2485">
        <v>2145</v>
      </c>
      <c r="AR13" s="2279"/>
      <c r="AS13" s="2486">
        <v>12718</v>
      </c>
      <c r="AT13" s="2279"/>
      <c r="AU13" s="2488">
        <v>26</v>
      </c>
      <c r="AV13" s="2279"/>
      <c r="AW13" s="2487">
        <v>37</v>
      </c>
      <c r="AX13" s="2279"/>
      <c r="AY13" s="2488">
        <v>0</v>
      </c>
      <c r="AZ13" s="2279"/>
      <c r="BA13" s="2487">
        <v>0</v>
      </c>
      <c r="BB13" s="2279"/>
      <c r="BC13" s="2485">
        <v>44350</v>
      </c>
      <c r="BD13" s="2279"/>
      <c r="BE13" s="2486">
        <v>21944</v>
      </c>
      <c r="BF13" s="2279"/>
      <c r="BG13" s="2485">
        <v>75687</v>
      </c>
      <c r="BH13" s="2279"/>
      <c r="BI13" s="2483">
        <f>+AE13+AG13</f>
        <v>581552</v>
      </c>
      <c r="BJ13" s="2279"/>
      <c r="BK13" s="2279">
        <v>1</v>
      </c>
      <c r="BL13" s="2484">
        <f>SUM(Y13:Y30)</f>
        <v>30000000</v>
      </c>
      <c r="BM13" s="2279"/>
      <c r="BN13" s="2279"/>
      <c r="BO13" s="2279"/>
      <c r="BP13" s="2279"/>
      <c r="BQ13" s="2279"/>
      <c r="BR13" s="2480">
        <v>44197</v>
      </c>
      <c r="BS13" s="2481">
        <v>44376</v>
      </c>
      <c r="BT13" s="2482">
        <v>44561</v>
      </c>
      <c r="BU13" s="2279"/>
      <c r="BV13" s="2474" t="s">
        <v>155</v>
      </c>
    </row>
    <row r="14" spans="1:93" ht="48" customHeight="1" x14ac:dyDescent="0.2">
      <c r="A14" s="175"/>
      <c r="B14" s="176"/>
      <c r="C14" s="175"/>
      <c r="D14" s="195"/>
      <c r="E14" s="196"/>
      <c r="F14" s="196"/>
      <c r="G14" s="2300"/>
      <c r="H14" s="2298"/>
      <c r="I14" s="2300"/>
      <c r="J14" s="2298"/>
      <c r="K14" s="2468"/>
      <c r="L14" s="2469"/>
      <c r="M14" s="2468"/>
      <c r="N14" s="2469"/>
      <c r="O14" s="2296"/>
      <c r="P14" s="2296"/>
      <c r="Q14" s="2497"/>
      <c r="R14" s="2397"/>
      <c r="S14" s="2255"/>
      <c r="T14" s="2493"/>
      <c r="U14" s="2285"/>
      <c r="V14" s="2495"/>
      <c r="W14" s="2477"/>
      <c r="X14" s="199">
        <v>10000000</v>
      </c>
      <c r="Y14" s="199">
        <v>0</v>
      </c>
      <c r="Z14" s="199">
        <v>0</v>
      </c>
      <c r="AA14" s="199"/>
      <c r="AB14" s="200" t="s">
        <v>156</v>
      </c>
      <c r="AC14" s="67">
        <v>20</v>
      </c>
      <c r="AD14" s="201" t="s">
        <v>154</v>
      </c>
      <c r="AE14" s="2280"/>
      <c r="AF14" s="2280"/>
      <c r="AG14" s="2400"/>
      <c r="AH14" s="2280"/>
      <c r="AI14" s="2485"/>
      <c r="AJ14" s="2280"/>
      <c r="AK14" s="2486"/>
      <c r="AL14" s="2280"/>
      <c r="AM14" s="2490"/>
      <c r="AN14" s="2280"/>
      <c r="AO14" s="2486"/>
      <c r="AP14" s="2280"/>
      <c r="AQ14" s="2485"/>
      <c r="AR14" s="2280"/>
      <c r="AS14" s="2486"/>
      <c r="AT14" s="2280"/>
      <c r="AU14" s="2488"/>
      <c r="AV14" s="2280"/>
      <c r="AW14" s="2487"/>
      <c r="AX14" s="2280"/>
      <c r="AY14" s="2488"/>
      <c r="AZ14" s="2280"/>
      <c r="BA14" s="2487"/>
      <c r="BB14" s="2280"/>
      <c r="BC14" s="2485"/>
      <c r="BD14" s="2280"/>
      <c r="BE14" s="2486"/>
      <c r="BF14" s="2280"/>
      <c r="BG14" s="2485"/>
      <c r="BH14" s="2280"/>
      <c r="BI14" s="2483"/>
      <c r="BJ14" s="2280"/>
      <c r="BK14" s="2280"/>
      <c r="BL14" s="2280"/>
      <c r="BM14" s="2280"/>
      <c r="BN14" s="2280"/>
      <c r="BO14" s="2280"/>
      <c r="BP14" s="2280"/>
      <c r="BQ14" s="2280"/>
      <c r="BR14" s="2480"/>
      <c r="BS14" s="2280"/>
      <c r="BT14" s="2482"/>
      <c r="BU14" s="2280"/>
      <c r="BV14" s="2474"/>
    </row>
    <row r="15" spans="1:93" ht="45" customHeight="1" x14ac:dyDescent="0.2">
      <c r="A15" s="175"/>
      <c r="B15" s="176"/>
      <c r="C15" s="175"/>
      <c r="D15" s="195"/>
      <c r="E15" s="196"/>
      <c r="F15" s="196"/>
      <c r="G15" s="2300"/>
      <c r="H15" s="2298"/>
      <c r="I15" s="2300"/>
      <c r="J15" s="2298"/>
      <c r="K15" s="2468"/>
      <c r="L15" s="2469"/>
      <c r="M15" s="2468"/>
      <c r="N15" s="2469"/>
      <c r="O15" s="2296"/>
      <c r="P15" s="2296"/>
      <c r="Q15" s="2497"/>
      <c r="R15" s="2397"/>
      <c r="S15" s="2255"/>
      <c r="T15" s="2493"/>
      <c r="U15" s="2285"/>
      <c r="V15" s="2495"/>
      <c r="W15" s="2475" t="s">
        <v>157</v>
      </c>
      <c r="X15" s="199">
        <v>5000000</v>
      </c>
      <c r="Y15" s="199">
        <v>0</v>
      </c>
      <c r="Z15" s="199">
        <v>0</v>
      </c>
      <c r="AA15" s="199"/>
      <c r="AB15" s="200" t="s">
        <v>153</v>
      </c>
      <c r="AC15" s="67">
        <v>20</v>
      </c>
      <c r="AD15" s="201" t="s">
        <v>154</v>
      </c>
      <c r="AE15" s="2280"/>
      <c r="AF15" s="2280"/>
      <c r="AG15" s="2400"/>
      <c r="AH15" s="2280"/>
      <c r="AI15" s="2485"/>
      <c r="AJ15" s="2280"/>
      <c r="AK15" s="2486"/>
      <c r="AL15" s="2280"/>
      <c r="AM15" s="2490"/>
      <c r="AN15" s="2280"/>
      <c r="AO15" s="2486"/>
      <c r="AP15" s="2280"/>
      <c r="AQ15" s="2485"/>
      <c r="AR15" s="2280"/>
      <c r="AS15" s="2486"/>
      <c r="AT15" s="2280"/>
      <c r="AU15" s="2488"/>
      <c r="AV15" s="2280"/>
      <c r="AW15" s="2487"/>
      <c r="AX15" s="2280"/>
      <c r="AY15" s="2488"/>
      <c r="AZ15" s="2280"/>
      <c r="BA15" s="2487"/>
      <c r="BB15" s="2280"/>
      <c r="BC15" s="2485"/>
      <c r="BD15" s="2280"/>
      <c r="BE15" s="2486"/>
      <c r="BF15" s="2280"/>
      <c r="BG15" s="2485"/>
      <c r="BH15" s="2280"/>
      <c r="BI15" s="2483"/>
      <c r="BJ15" s="2280"/>
      <c r="BK15" s="2280"/>
      <c r="BL15" s="2280"/>
      <c r="BM15" s="2280"/>
      <c r="BN15" s="2280"/>
      <c r="BO15" s="2280"/>
      <c r="BP15" s="2280"/>
      <c r="BQ15" s="2280"/>
      <c r="BR15" s="2480"/>
      <c r="BS15" s="2280"/>
      <c r="BT15" s="2482"/>
      <c r="BU15" s="2280"/>
      <c r="BV15" s="2474"/>
    </row>
    <row r="16" spans="1:93" ht="39" customHeight="1" x14ac:dyDescent="0.2">
      <c r="A16" s="175"/>
      <c r="B16" s="176"/>
      <c r="C16" s="175"/>
      <c r="D16" s="195"/>
      <c r="E16" s="196"/>
      <c r="F16" s="196"/>
      <c r="G16" s="2300"/>
      <c r="H16" s="2298"/>
      <c r="I16" s="2300"/>
      <c r="J16" s="2298"/>
      <c r="K16" s="2468"/>
      <c r="L16" s="2469"/>
      <c r="M16" s="2468"/>
      <c r="N16" s="2469"/>
      <c r="O16" s="2296"/>
      <c r="P16" s="2296"/>
      <c r="Q16" s="2497"/>
      <c r="R16" s="2397"/>
      <c r="S16" s="2255"/>
      <c r="T16" s="2493"/>
      <c r="U16" s="2285"/>
      <c r="V16" s="2495"/>
      <c r="W16" s="2475"/>
      <c r="X16" s="199">
        <v>5000000</v>
      </c>
      <c r="Y16" s="199">
        <v>0</v>
      </c>
      <c r="Z16" s="199">
        <v>0</v>
      </c>
      <c r="AA16" s="199"/>
      <c r="AB16" s="200" t="s">
        <v>156</v>
      </c>
      <c r="AC16" s="67">
        <v>20</v>
      </c>
      <c r="AD16" s="201" t="s">
        <v>154</v>
      </c>
      <c r="AE16" s="2280"/>
      <c r="AF16" s="2280"/>
      <c r="AG16" s="2400"/>
      <c r="AH16" s="2280"/>
      <c r="AI16" s="2485"/>
      <c r="AJ16" s="2280"/>
      <c r="AK16" s="2486"/>
      <c r="AL16" s="2280"/>
      <c r="AM16" s="2490"/>
      <c r="AN16" s="2280"/>
      <c r="AO16" s="2486"/>
      <c r="AP16" s="2280"/>
      <c r="AQ16" s="2485"/>
      <c r="AR16" s="2280"/>
      <c r="AS16" s="2486"/>
      <c r="AT16" s="2280"/>
      <c r="AU16" s="2488"/>
      <c r="AV16" s="2280"/>
      <c r="AW16" s="2487"/>
      <c r="AX16" s="2280"/>
      <c r="AY16" s="2488"/>
      <c r="AZ16" s="2280"/>
      <c r="BA16" s="2487"/>
      <c r="BB16" s="2280"/>
      <c r="BC16" s="2485"/>
      <c r="BD16" s="2280"/>
      <c r="BE16" s="2486"/>
      <c r="BF16" s="2280"/>
      <c r="BG16" s="2485"/>
      <c r="BH16" s="2280"/>
      <c r="BI16" s="2483"/>
      <c r="BJ16" s="2280"/>
      <c r="BK16" s="2280"/>
      <c r="BL16" s="2280"/>
      <c r="BM16" s="2280"/>
      <c r="BN16" s="2280"/>
      <c r="BO16" s="2280"/>
      <c r="BP16" s="2280"/>
      <c r="BQ16" s="2280"/>
      <c r="BR16" s="2480"/>
      <c r="BS16" s="2280"/>
      <c r="BT16" s="2482"/>
      <c r="BU16" s="2280"/>
      <c r="BV16" s="2474"/>
    </row>
    <row r="17" spans="1:74" ht="83.25" customHeight="1" x14ac:dyDescent="0.2">
      <c r="A17" s="175"/>
      <c r="B17" s="176"/>
      <c r="C17" s="175"/>
      <c r="D17" s="195"/>
      <c r="E17" s="196"/>
      <c r="F17" s="196"/>
      <c r="G17" s="2300"/>
      <c r="H17" s="2298"/>
      <c r="I17" s="2300"/>
      <c r="J17" s="2298"/>
      <c r="K17" s="2468"/>
      <c r="L17" s="2469"/>
      <c r="M17" s="2468"/>
      <c r="N17" s="2469"/>
      <c r="O17" s="2296"/>
      <c r="P17" s="2296"/>
      <c r="Q17" s="2497"/>
      <c r="R17" s="2397"/>
      <c r="S17" s="2255"/>
      <c r="T17" s="2493"/>
      <c r="U17" s="2285"/>
      <c r="V17" s="2495"/>
      <c r="W17" s="2475"/>
      <c r="X17" s="199">
        <v>5000000</v>
      </c>
      <c r="Y17" s="199">
        <v>0</v>
      </c>
      <c r="Z17" s="199">
        <v>0</v>
      </c>
      <c r="AA17" s="199"/>
      <c r="AB17" s="200" t="s">
        <v>158</v>
      </c>
      <c r="AC17" s="203">
        <v>20</v>
      </c>
      <c r="AD17" s="201" t="s">
        <v>154</v>
      </c>
      <c r="AE17" s="2280"/>
      <c r="AF17" s="2280"/>
      <c r="AG17" s="2400"/>
      <c r="AH17" s="2280"/>
      <c r="AI17" s="2485"/>
      <c r="AJ17" s="2280"/>
      <c r="AK17" s="2486"/>
      <c r="AL17" s="2280"/>
      <c r="AM17" s="2490"/>
      <c r="AN17" s="2280"/>
      <c r="AO17" s="2486"/>
      <c r="AP17" s="2280"/>
      <c r="AQ17" s="2485"/>
      <c r="AR17" s="2280"/>
      <c r="AS17" s="2486"/>
      <c r="AT17" s="2280"/>
      <c r="AU17" s="2488"/>
      <c r="AV17" s="2280"/>
      <c r="AW17" s="2487"/>
      <c r="AX17" s="2280"/>
      <c r="AY17" s="2488"/>
      <c r="AZ17" s="2280"/>
      <c r="BA17" s="2487"/>
      <c r="BB17" s="2280"/>
      <c r="BC17" s="2485"/>
      <c r="BD17" s="2280"/>
      <c r="BE17" s="2486"/>
      <c r="BF17" s="2280"/>
      <c r="BG17" s="2485"/>
      <c r="BH17" s="2280"/>
      <c r="BI17" s="2483"/>
      <c r="BJ17" s="2280"/>
      <c r="BK17" s="2280"/>
      <c r="BL17" s="2280"/>
      <c r="BM17" s="2280"/>
      <c r="BN17" s="2280"/>
      <c r="BO17" s="2280"/>
      <c r="BP17" s="2280"/>
      <c r="BQ17" s="2280"/>
      <c r="BR17" s="2480"/>
      <c r="BS17" s="2280"/>
      <c r="BT17" s="2482"/>
      <c r="BU17" s="2280"/>
      <c r="BV17" s="2474"/>
    </row>
    <row r="18" spans="1:74" ht="69" customHeight="1" x14ac:dyDescent="0.2">
      <c r="A18" s="175"/>
      <c r="B18" s="176"/>
      <c r="C18" s="175"/>
      <c r="D18" s="195"/>
      <c r="E18" s="196"/>
      <c r="F18" s="196"/>
      <c r="G18" s="2300"/>
      <c r="H18" s="2298"/>
      <c r="I18" s="2300"/>
      <c r="J18" s="2298"/>
      <c r="K18" s="2468"/>
      <c r="L18" s="2469"/>
      <c r="M18" s="2468"/>
      <c r="N18" s="2469"/>
      <c r="O18" s="2296"/>
      <c r="P18" s="2296"/>
      <c r="Q18" s="2497"/>
      <c r="R18" s="2397"/>
      <c r="S18" s="2255"/>
      <c r="T18" s="2493"/>
      <c r="U18" s="2285"/>
      <c r="V18" s="2495"/>
      <c r="W18" s="2476" t="s">
        <v>159</v>
      </c>
      <c r="X18" s="199">
        <v>10000000</v>
      </c>
      <c r="Y18" s="199">
        <v>0</v>
      </c>
      <c r="Z18" s="199">
        <v>0</v>
      </c>
      <c r="AA18" s="199"/>
      <c r="AB18" s="200" t="s">
        <v>158</v>
      </c>
      <c r="AC18" s="203">
        <v>20</v>
      </c>
      <c r="AD18" s="201" t="s">
        <v>154</v>
      </c>
      <c r="AE18" s="2280"/>
      <c r="AF18" s="2280"/>
      <c r="AG18" s="2400"/>
      <c r="AH18" s="2280"/>
      <c r="AI18" s="2485"/>
      <c r="AJ18" s="2280"/>
      <c r="AK18" s="2486"/>
      <c r="AL18" s="2280"/>
      <c r="AM18" s="2490"/>
      <c r="AN18" s="2280"/>
      <c r="AO18" s="2486"/>
      <c r="AP18" s="2280"/>
      <c r="AQ18" s="2485"/>
      <c r="AR18" s="2280"/>
      <c r="AS18" s="2486"/>
      <c r="AT18" s="2280"/>
      <c r="AU18" s="2488"/>
      <c r="AV18" s="2280"/>
      <c r="AW18" s="2487"/>
      <c r="AX18" s="2280"/>
      <c r="AY18" s="2488"/>
      <c r="AZ18" s="2280"/>
      <c r="BA18" s="2487"/>
      <c r="BB18" s="2280"/>
      <c r="BC18" s="2485"/>
      <c r="BD18" s="2280"/>
      <c r="BE18" s="2486"/>
      <c r="BF18" s="2280"/>
      <c r="BG18" s="2485"/>
      <c r="BH18" s="2280"/>
      <c r="BI18" s="2483"/>
      <c r="BJ18" s="2280"/>
      <c r="BK18" s="2280"/>
      <c r="BL18" s="2280"/>
      <c r="BM18" s="2280"/>
      <c r="BN18" s="2280"/>
      <c r="BO18" s="2280"/>
      <c r="BP18" s="2280"/>
      <c r="BQ18" s="2280"/>
      <c r="BR18" s="2480"/>
      <c r="BS18" s="2280"/>
      <c r="BT18" s="2482"/>
      <c r="BU18" s="2280"/>
      <c r="BV18" s="2474"/>
    </row>
    <row r="19" spans="1:74" ht="69" customHeight="1" x14ac:dyDescent="0.2">
      <c r="A19" s="175"/>
      <c r="B19" s="176"/>
      <c r="C19" s="175"/>
      <c r="D19" s="195"/>
      <c r="E19" s="196"/>
      <c r="F19" s="196"/>
      <c r="G19" s="2300"/>
      <c r="H19" s="2298"/>
      <c r="I19" s="2300"/>
      <c r="J19" s="2298"/>
      <c r="K19" s="2468"/>
      <c r="L19" s="2469"/>
      <c r="M19" s="2468"/>
      <c r="N19" s="2469"/>
      <c r="O19" s="2296"/>
      <c r="P19" s="2296"/>
      <c r="Q19" s="2497"/>
      <c r="R19" s="2397"/>
      <c r="S19" s="2255"/>
      <c r="T19" s="2493"/>
      <c r="U19" s="2285"/>
      <c r="V19" s="2495"/>
      <c r="W19" s="2476"/>
      <c r="X19" s="199">
        <v>5000000</v>
      </c>
      <c r="Y19" s="199">
        <v>0</v>
      </c>
      <c r="Z19" s="199">
        <v>0</v>
      </c>
      <c r="AA19" s="199"/>
      <c r="AB19" s="200" t="s">
        <v>156</v>
      </c>
      <c r="AC19" s="203">
        <v>20</v>
      </c>
      <c r="AD19" s="201" t="s">
        <v>154</v>
      </c>
      <c r="AE19" s="2280"/>
      <c r="AF19" s="2280"/>
      <c r="AG19" s="2400"/>
      <c r="AH19" s="2280"/>
      <c r="AI19" s="2485"/>
      <c r="AJ19" s="2280"/>
      <c r="AK19" s="2486"/>
      <c r="AL19" s="2280"/>
      <c r="AM19" s="2490"/>
      <c r="AN19" s="2280"/>
      <c r="AO19" s="2486"/>
      <c r="AP19" s="2280"/>
      <c r="AQ19" s="2485"/>
      <c r="AR19" s="2280"/>
      <c r="AS19" s="2486"/>
      <c r="AT19" s="2280"/>
      <c r="AU19" s="2488"/>
      <c r="AV19" s="2280"/>
      <c r="AW19" s="2487"/>
      <c r="AX19" s="2280"/>
      <c r="AY19" s="2488"/>
      <c r="AZ19" s="2280"/>
      <c r="BA19" s="2487"/>
      <c r="BB19" s="2280"/>
      <c r="BC19" s="2485"/>
      <c r="BD19" s="2280"/>
      <c r="BE19" s="2486"/>
      <c r="BF19" s="2280"/>
      <c r="BG19" s="2485"/>
      <c r="BH19" s="2280"/>
      <c r="BI19" s="2483"/>
      <c r="BJ19" s="2280"/>
      <c r="BK19" s="2280"/>
      <c r="BL19" s="2280"/>
      <c r="BM19" s="2280"/>
      <c r="BN19" s="2280"/>
      <c r="BO19" s="2280"/>
      <c r="BP19" s="2280"/>
      <c r="BQ19" s="2280"/>
      <c r="BR19" s="2480"/>
      <c r="BS19" s="2280"/>
      <c r="BT19" s="2482"/>
      <c r="BU19" s="2280"/>
      <c r="BV19" s="2474"/>
    </row>
    <row r="20" spans="1:74" ht="54.75" customHeight="1" x14ac:dyDescent="0.2">
      <c r="A20" s="175"/>
      <c r="B20" s="176"/>
      <c r="C20" s="175"/>
      <c r="D20" s="195"/>
      <c r="E20" s="196"/>
      <c r="F20" s="196"/>
      <c r="G20" s="2300"/>
      <c r="H20" s="2298"/>
      <c r="I20" s="2300"/>
      <c r="J20" s="2298"/>
      <c r="K20" s="2468"/>
      <c r="L20" s="2469"/>
      <c r="M20" s="2468"/>
      <c r="N20" s="2469"/>
      <c r="O20" s="2296"/>
      <c r="P20" s="2296"/>
      <c r="Q20" s="2497"/>
      <c r="R20" s="2397"/>
      <c r="S20" s="2255"/>
      <c r="T20" s="2493"/>
      <c r="U20" s="2285"/>
      <c r="V20" s="2495"/>
      <c r="W20" s="2477" t="s">
        <v>160</v>
      </c>
      <c r="X20" s="199">
        <v>1500000</v>
      </c>
      <c r="Y20" s="199">
        <v>0</v>
      </c>
      <c r="Z20" s="199">
        <v>0</v>
      </c>
      <c r="AA20" s="199"/>
      <c r="AB20" s="200" t="s">
        <v>161</v>
      </c>
      <c r="AC20" s="203">
        <v>20</v>
      </c>
      <c r="AD20" s="201" t="s">
        <v>154</v>
      </c>
      <c r="AE20" s="2280"/>
      <c r="AF20" s="2280"/>
      <c r="AG20" s="2400"/>
      <c r="AH20" s="2280"/>
      <c r="AI20" s="2485"/>
      <c r="AJ20" s="2280"/>
      <c r="AK20" s="2486"/>
      <c r="AL20" s="2280"/>
      <c r="AM20" s="2490"/>
      <c r="AN20" s="2280"/>
      <c r="AO20" s="2486"/>
      <c r="AP20" s="2280"/>
      <c r="AQ20" s="2485"/>
      <c r="AR20" s="2280"/>
      <c r="AS20" s="2486"/>
      <c r="AT20" s="2280"/>
      <c r="AU20" s="2488"/>
      <c r="AV20" s="2280"/>
      <c r="AW20" s="2487"/>
      <c r="AX20" s="2280"/>
      <c r="AY20" s="2488"/>
      <c r="AZ20" s="2280"/>
      <c r="BA20" s="2487"/>
      <c r="BB20" s="2280"/>
      <c r="BC20" s="2485"/>
      <c r="BD20" s="2280"/>
      <c r="BE20" s="2486"/>
      <c r="BF20" s="2280"/>
      <c r="BG20" s="2485"/>
      <c r="BH20" s="2280"/>
      <c r="BI20" s="2483"/>
      <c r="BJ20" s="2280"/>
      <c r="BK20" s="2280"/>
      <c r="BL20" s="2280"/>
      <c r="BM20" s="2280"/>
      <c r="BN20" s="2280"/>
      <c r="BO20" s="2280"/>
      <c r="BP20" s="2280"/>
      <c r="BQ20" s="2280"/>
      <c r="BR20" s="2480"/>
      <c r="BS20" s="2280"/>
      <c r="BT20" s="2482"/>
      <c r="BU20" s="2280"/>
      <c r="BV20" s="2474"/>
    </row>
    <row r="21" spans="1:74" ht="45.75" customHeight="1" x14ac:dyDescent="0.2">
      <c r="A21" s="175"/>
      <c r="B21" s="176"/>
      <c r="C21" s="175"/>
      <c r="D21" s="195"/>
      <c r="E21" s="196"/>
      <c r="F21" s="196"/>
      <c r="G21" s="2300"/>
      <c r="H21" s="2298"/>
      <c r="I21" s="2300"/>
      <c r="J21" s="2298"/>
      <c r="K21" s="2468"/>
      <c r="L21" s="2469"/>
      <c r="M21" s="2468"/>
      <c r="N21" s="2469"/>
      <c r="O21" s="2296"/>
      <c r="P21" s="2296"/>
      <c r="Q21" s="2497"/>
      <c r="R21" s="2397"/>
      <c r="S21" s="2255"/>
      <c r="T21" s="2493"/>
      <c r="U21" s="2285"/>
      <c r="V21" s="2495"/>
      <c r="W21" s="2477"/>
      <c r="X21" s="199">
        <v>7500000</v>
      </c>
      <c r="Y21" s="199">
        <v>0</v>
      </c>
      <c r="Z21" s="199">
        <v>0</v>
      </c>
      <c r="AA21" s="199"/>
      <c r="AB21" s="200" t="s">
        <v>162</v>
      </c>
      <c r="AC21" s="203">
        <v>20</v>
      </c>
      <c r="AD21" s="201" t="s">
        <v>154</v>
      </c>
      <c r="AE21" s="2280"/>
      <c r="AF21" s="2280"/>
      <c r="AG21" s="2400"/>
      <c r="AH21" s="2280"/>
      <c r="AI21" s="2485"/>
      <c r="AJ21" s="2280"/>
      <c r="AK21" s="2486"/>
      <c r="AL21" s="2280"/>
      <c r="AM21" s="2490"/>
      <c r="AN21" s="2280"/>
      <c r="AO21" s="2486"/>
      <c r="AP21" s="2280"/>
      <c r="AQ21" s="2485"/>
      <c r="AR21" s="2280"/>
      <c r="AS21" s="2486"/>
      <c r="AT21" s="2280"/>
      <c r="AU21" s="2488"/>
      <c r="AV21" s="2280"/>
      <c r="AW21" s="2487"/>
      <c r="AX21" s="2280"/>
      <c r="AY21" s="2488"/>
      <c r="AZ21" s="2280"/>
      <c r="BA21" s="2487"/>
      <c r="BB21" s="2280"/>
      <c r="BC21" s="2485"/>
      <c r="BD21" s="2280"/>
      <c r="BE21" s="2486"/>
      <c r="BF21" s="2280"/>
      <c r="BG21" s="2485"/>
      <c r="BH21" s="2280"/>
      <c r="BI21" s="2483"/>
      <c r="BJ21" s="2280"/>
      <c r="BK21" s="2280"/>
      <c r="BL21" s="2280"/>
      <c r="BM21" s="2280"/>
      <c r="BN21" s="2280"/>
      <c r="BO21" s="2280"/>
      <c r="BP21" s="2280"/>
      <c r="BQ21" s="2280"/>
      <c r="BR21" s="2480"/>
      <c r="BS21" s="2280"/>
      <c r="BT21" s="2482"/>
      <c r="BU21" s="2280"/>
      <c r="BV21" s="2474"/>
    </row>
    <row r="22" spans="1:74" ht="45.75" customHeight="1" x14ac:dyDescent="0.2">
      <c r="A22" s="175"/>
      <c r="B22" s="176"/>
      <c r="C22" s="175"/>
      <c r="D22" s="195"/>
      <c r="E22" s="196"/>
      <c r="F22" s="196"/>
      <c r="G22" s="2300"/>
      <c r="H22" s="2298"/>
      <c r="I22" s="2300"/>
      <c r="J22" s="2298"/>
      <c r="K22" s="2468"/>
      <c r="L22" s="2469"/>
      <c r="M22" s="2468"/>
      <c r="N22" s="2469"/>
      <c r="O22" s="2296"/>
      <c r="P22" s="2296"/>
      <c r="Q22" s="2497"/>
      <c r="R22" s="2397"/>
      <c r="S22" s="2255"/>
      <c r="T22" s="2493"/>
      <c r="U22" s="2285"/>
      <c r="V22" s="2495"/>
      <c r="W22" s="204" t="s">
        <v>163</v>
      </c>
      <c r="X22" s="199">
        <v>9000000</v>
      </c>
      <c r="Y22" s="199">
        <v>0</v>
      </c>
      <c r="Z22" s="199">
        <v>0</v>
      </c>
      <c r="AA22" s="199"/>
      <c r="AB22" s="200" t="s">
        <v>164</v>
      </c>
      <c r="AC22" s="67">
        <v>20</v>
      </c>
      <c r="AD22" s="201" t="s">
        <v>154</v>
      </c>
      <c r="AE22" s="2280"/>
      <c r="AF22" s="2280"/>
      <c r="AG22" s="2400"/>
      <c r="AH22" s="2280"/>
      <c r="AI22" s="2485"/>
      <c r="AJ22" s="2280"/>
      <c r="AK22" s="2486"/>
      <c r="AL22" s="2280"/>
      <c r="AM22" s="2490"/>
      <c r="AN22" s="2280"/>
      <c r="AO22" s="2486"/>
      <c r="AP22" s="2280"/>
      <c r="AQ22" s="2485"/>
      <c r="AR22" s="2280"/>
      <c r="AS22" s="2486"/>
      <c r="AT22" s="2280"/>
      <c r="AU22" s="2488"/>
      <c r="AV22" s="2280"/>
      <c r="AW22" s="2487"/>
      <c r="AX22" s="2280"/>
      <c r="AY22" s="2488"/>
      <c r="AZ22" s="2280"/>
      <c r="BA22" s="2487"/>
      <c r="BB22" s="2280"/>
      <c r="BC22" s="2485"/>
      <c r="BD22" s="2280"/>
      <c r="BE22" s="2486"/>
      <c r="BF22" s="2280"/>
      <c r="BG22" s="2485"/>
      <c r="BH22" s="2280"/>
      <c r="BI22" s="2483"/>
      <c r="BJ22" s="2280"/>
      <c r="BK22" s="2280"/>
      <c r="BL22" s="2280"/>
      <c r="BM22" s="2280"/>
      <c r="BN22" s="2280"/>
      <c r="BO22" s="2280"/>
      <c r="BP22" s="2280"/>
      <c r="BQ22" s="2280"/>
      <c r="BR22" s="2480"/>
      <c r="BS22" s="2280"/>
      <c r="BT22" s="2482"/>
      <c r="BU22" s="2280"/>
      <c r="BV22" s="2474"/>
    </row>
    <row r="23" spans="1:74" ht="45.75" customHeight="1" x14ac:dyDescent="0.2">
      <c r="A23" s="175"/>
      <c r="B23" s="176"/>
      <c r="C23" s="175"/>
      <c r="D23" s="195"/>
      <c r="E23" s="196"/>
      <c r="F23" s="196"/>
      <c r="G23" s="2300"/>
      <c r="H23" s="2298"/>
      <c r="I23" s="2300"/>
      <c r="J23" s="2298"/>
      <c r="K23" s="2468"/>
      <c r="L23" s="2469"/>
      <c r="M23" s="2468"/>
      <c r="N23" s="2469"/>
      <c r="O23" s="2296"/>
      <c r="P23" s="2296"/>
      <c r="Q23" s="2497"/>
      <c r="R23" s="2397"/>
      <c r="S23" s="2255"/>
      <c r="T23" s="2493"/>
      <c r="U23" s="2285"/>
      <c r="V23" s="2495"/>
      <c r="W23" s="204" t="s">
        <v>165</v>
      </c>
      <c r="X23" s="199">
        <v>15000000</v>
      </c>
      <c r="Y23" s="199">
        <v>0</v>
      </c>
      <c r="Z23" s="199">
        <v>0</v>
      </c>
      <c r="AA23" s="199"/>
      <c r="AB23" s="200" t="s">
        <v>166</v>
      </c>
      <c r="AC23" s="67">
        <v>20</v>
      </c>
      <c r="AD23" s="201" t="s">
        <v>154</v>
      </c>
      <c r="AE23" s="2280"/>
      <c r="AF23" s="2280"/>
      <c r="AG23" s="2400"/>
      <c r="AH23" s="2280"/>
      <c r="AI23" s="2485"/>
      <c r="AJ23" s="2280"/>
      <c r="AK23" s="2486"/>
      <c r="AL23" s="2280"/>
      <c r="AM23" s="2490"/>
      <c r="AN23" s="2280"/>
      <c r="AO23" s="2486"/>
      <c r="AP23" s="2280"/>
      <c r="AQ23" s="2485"/>
      <c r="AR23" s="2280"/>
      <c r="AS23" s="2486"/>
      <c r="AT23" s="2280"/>
      <c r="AU23" s="2488"/>
      <c r="AV23" s="2280"/>
      <c r="AW23" s="2487"/>
      <c r="AX23" s="2280"/>
      <c r="AY23" s="2488"/>
      <c r="AZ23" s="2280"/>
      <c r="BA23" s="2487"/>
      <c r="BB23" s="2280"/>
      <c r="BC23" s="2485"/>
      <c r="BD23" s="2280"/>
      <c r="BE23" s="2486"/>
      <c r="BF23" s="2280"/>
      <c r="BG23" s="2485"/>
      <c r="BH23" s="2280"/>
      <c r="BI23" s="2483"/>
      <c r="BJ23" s="2280"/>
      <c r="BK23" s="2280"/>
      <c r="BL23" s="2280"/>
      <c r="BM23" s="2280"/>
      <c r="BN23" s="2280"/>
      <c r="BO23" s="2280"/>
      <c r="BP23" s="2280"/>
      <c r="BQ23" s="2280"/>
      <c r="BR23" s="2480"/>
      <c r="BS23" s="2280"/>
      <c r="BT23" s="2482"/>
      <c r="BU23" s="2280"/>
      <c r="BV23" s="2474"/>
    </row>
    <row r="24" spans="1:74" ht="45.75" customHeight="1" x14ac:dyDescent="0.2">
      <c r="A24" s="175"/>
      <c r="B24" s="176"/>
      <c r="C24" s="175"/>
      <c r="D24" s="195"/>
      <c r="E24" s="196"/>
      <c r="F24" s="196"/>
      <c r="G24" s="2300"/>
      <c r="H24" s="2298"/>
      <c r="I24" s="2300"/>
      <c r="J24" s="2298"/>
      <c r="K24" s="2468"/>
      <c r="L24" s="2469"/>
      <c r="M24" s="2468"/>
      <c r="N24" s="2469"/>
      <c r="O24" s="2296"/>
      <c r="P24" s="2296"/>
      <c r="Q24" s="2497"/>
      <c r="R24" s="2397"/>
      <c r="S24" s="2255"/>
      <c r="T24" s="2493"/>
      <c r="U24" s="2285"/>
      <c r="V24" s="2495"/>
      <c r="W24" s="205" t="s">
        <v>167</v>
      </c>
      <c r="X24" s="199">
        <v>11000000</v>
      </c>
      <c r="Y24" s="199">
        <v>0</v>
      </c>
      <c r="Z24" s="199">
        <v>0</v>
      </c>
      <c r="AA24" s="199"/>
      <c r="AB24" s="200" t="s">
        <v>168</v>
      </c>
      <c r="AC24" s="67">
        <v>20</v>
      </c>
      <c r="AD24" s="201" t="s">
        <v>154</v>
      </c>
      <c r="AE24" s="2280"/>
      <c r="AF24" s="2280"/>
      <c r="AG24" s="2400"/>
      <c r="AH24" s="2280"/>
      <c r="AI24" s="2485"/>
      <c r="AJ24" s="2280"/>
      <c r="AK24" s="2486"/>
      <c r="AL24" s="2280"/>
      <c r="AM24" s="2490"/>
      <c r="AN24" s="2280"/>
      <c r="AO24" s="2486"/>
      <c r="AP24" s="2280"/>
      <c r="AQ24" s="2485"/>
      <c r="AR24" s="2280"/>
      <c r="AS24" s="2486"/>
      <c r="AT24" s="2280"/>
      <c r="AU24" s="2488"/>
      <c r="AV24" s="2280"/>
      <c r="AW24" s="2487"/>
      <c r="AX24" s="2280"/>
      <c r="AY24" s="2488"/>
      <c r="AZ24" s="2280"/>
      <c r="BA24" s="2487"/>
      <c r="BB24" s="2280"/>
      <c r="BC24" s="2485"/>
      <c r="BD24" s="2280"/>
      <c r="BE24" s="2486"/>
      <c r="BF24" s="2280"/>
      <c r="BG24" s="2485"/>
      <c r="BH24" s="2280"/>
      <c r="BI24" s="2483"/>
      <c r="BJ24" s="2280"/>
      <c r="BK24" s="2280"/>
      <c r="BL24" s="2280"/>
      <c r="BM24" s="2280"/>
      <c r="BN24" s="2280"/>
      <c r="BO24" s="2280"/>
      <c r="BP24" s="2280"/>
      <c r="BQ24" s="2280"/>
      <c r="BR24" s="2480"/>
      <c r="BS24" s="2280"/>
      <c r="BT24" s="2482"/>
      <c r="BU24" s="2280"/>
      <c r="BV24" s="2474"/>
    </row>
    <row r="25" spans="1:74" ht="45.75" customHeight="1" x14ac:dyDescent="0.2">
      <c r="A25" s="175"/>
      <c r="B25" s="176"/>
      <c r="C25" s="175"/>
      <c r="D25" s="195"/>
      <c r="E25" s="196"/>
      <c r="F25" s="196"/>
      <c r="G25" s="2300"/>
      <c r="H25" s="2298"/>
      <c r="I25" s="2300"/>
      <c r="J25" s="2298"/>
      <c r="K25" s="2468"/>
      <c r="L25" s="2469"/>
      <c r="M25" s="2468"/>
      <c r="N25" s="2469"/>
      <c r="O25" s="2296"/>
      <c r="P25" s="2296"/>
      <c r="Q25" s="2497"/>
      <c r="R25" s="2397"/>
      <c r="S25" s="2255"/>
      <c r="T25" s="2493"/>
      <c r="U25" s="2285"/>
      <c r="V25" s="2495"/>
      <c r="W25" s="205" t="s">
        <v>169</v>
      </c>
      <c r="X25" s="199">
        <v>14000000</v>
      </c>
      <c r="Y25" s="199">
        <v>0</v>
      </c>
      <c r="Z25" s="199">
        <v>0</v>
      </c>
      <c r="AA25" s="199"/>
      <c r="AB25" s="200" t="s">
        <v>170</v>
      </c>
      <c r="AC25" s="67">
        <v>20</v>
      </c>
      <c r="AD25" s="201" t="s">
        <v>154</v>
      </c>
      <c r="AE25" s="2280"/>
      <c r="AF25" s="2280"/>
      <c r="AG25" s="2400"/>
      <c r="AH25" s="2280"/>
      <c r="AI25" s="2485"/>
      <c r="AJ25" s="2280"/>
      <c r="AK25" s="2486"/>
      <c r="AL25" s="2280"/>
      <c r="AM25" s="2490"/>
      <c r="AN25" s="2280"/>
      <c r="AO25" s="2486"/>
      <c r="AP25" s="2280"/>
      <c r="AQ25" s="2485"/>
      <c r="AR25" s="2280"/>
      <c r="AS25" s="2486"/>
      <c r="AT25" s="2280"/>
      <c r="AU25" s="2488"/>
      <c r="AV25" s="2280"/>
      <c r="AW25" s="2487"/>
      <c r="AX25" s="2280"/>
      <c r="AY25" s="2488"/>
      <c r="AZ25" s="2280"/>
      <c r="BA25" s="2487"/>
      <c r="BB25" s="2280"/>
      <c r="BC25" s="2485"/>
      <c r="BD25" s="2280"/>
      <c r="BE25" s="2486"/>
      <c r="BF25" s="2280"/>
      <c r="BG25" s="2485"/>
      <c r="BH25" s="2280"/>
      <c r="BI25" s="2483"/>
      <c r="BJ25" s="2280"/>
      <c r="BK25" s="2280"/>
      <c r="BL25" s="2280"/>
      <c r="BM25" s="2280"/>
      <c r="BN25" s="2280"/>
      <c r="BO25" s="2280"/>
      <c r="BP25" s="2280"/>
      <c r="BQ25" s="2280"/>
      <c r="BR25" s="2480"/>
      <c r="BS25" s="2280"/>
      <c r="BT25" s="2482"/>
      <c r="BU25" s="2280"/>
      <c r="BV25" s="2474"/>
    </row>
    <row r="26" spans="1:74" ht="45.75" customHeight="1" x14ac:dyDescent="0.2">
      <c r="A26" s="175"/>
      <c r="B26" s="176"/>
      <c r="C26" s="175"/>
      <c r="D26" s="195"/>
      <c r="E26" s="196"/>
      <c r="F26" s="196"/>
      <c r="G26" s="2300"/>
      <c r="H26" s="2298"/>
      <c r="I26" s="2300"/>
      <c r="J26" s="2298"/>
      <c r="K26" s="2468"/>
      <c r="L26" s="2469"/>
      <c r="M26" s="2468"/>
      <c r="N26" s="2469"/>
      <c r="O26" s="2296"/>
      <c r="P26" s="2296"/>
      <c r="Q26" s="2497"/>
      <c r="R26" s="2397"/>
      <c r="S26" s="2255"/>
      <c r="T26" s="2493"/>
      <c r="U26" s="2285"/>
      <c r="V26" s="2495"/>
      <c r="W26" s="204" t="s">
        <v>171</v>
      </c>
      <c r="X26" s="199">
        <f>15000000+3000000</f>
        <v>18000000</v>
      </c>
      <c r="Y26" s="199">
        <v>18000000</v>
      </c>
      <c r="Z26" s="199">
        <v>0</v>
      </c>
      <c r="AA26" s="199"/>
      <c r="AB26" s="206" t="s">
        <v>172</v>
      </c>
      <c r="AC26" s="67">
        <v>20</v>
      </c>
      <c r="AD26" s="201" t="s">
        <v>154</v>
      </c>
      <c r="AE26" s="2280"/>
      <c r="AF26" s="2280"/>
      <c r="AG26" s="2400"/>
      <c r="AH26" s="2280"/>
      <c r="AI26" s="2485"/>
      <c r="AJ26" s="2280"/>
      <c r="AK26" s="2486"/>
      <c r="AL26" s="2280"/>
      <c r="AM26" s="2490"/>
      <c r="AN26" s="2280"/>
      <c r="AO26" s="2486"/>
      <c r="AP26" s="2280"/>
      <c r="AQ26" s="2485"/>
      <c r="AR26" s="2280"/>
      <c r="AS26" s="2486"/>
      <c r="AT26" s="2280"/>
      <c r="AU26" s="2488"/>
      <c r="AV26" s="2280"/>
      <c r="AW26" s="2487"/>
      <c r="AX26" s="2280"/>
      <c r="AY26" s="2488"/>
      <c r="AZ26" s="2280"/>
      <c r="BA26" s="2487"/>
      <c r="BB26" s="2280"/>
      <c r="BC26" s="2485"/>
      <c r="BD26" s="2280"/>
      <c r="BE26" s="2486"/>
      <c r="BF26" s="2280"/>
      <c r="BG26" s="2485"/>
      <c r="BH26" s="2280"/>
      <c r="BI26" s="2483"/>
      <c r="BJ26" s="2280"/>
      <c r="BK26" s="2280"/>
      <c r="BL26" s="2280"/>
      <c r="BM26" s="2280"/>
      <c r="BN26" s="2280"/>
      <c r="BO26" s="2280"/>
      <c r="BP26" s="2280"/>
      <c r="BQ26" s="2280"/>
      <c r="BR26" s="2480"/>
      <c r="BS26" s="2280"/>
      <c r="BT26" s="2482"/>
      <c r="BU26" s="2280"/>
      <c r="BV26" s="2474"/>
    </row>
    <row r="27" spans="1:74" ht="45.75" customHeight="1" x14ac:dyDescent="0.2">
      <c r="A27" s="175"/>
      <c r="B27" s="176"/>
      <c r="C27" s="175"/>
      <c r="D27" s="195"/>
      <c r="E27" s="196"/>
      <c r="F27" s="196"/>
      <c r="G27" s="2300"/>
      <c r="H27" s="2298"/>
      <c r="I27" s="2300"/>
      <c r="J27" s="2298"/>
      <c r="K27" s="2468"/>
      <c r="L27" s="2469"/>
      <c r="M27" s="2468"/>
      <c r="N27" s="2469"/>
      <c r="O27" s="2296"/>
      <c r="P27" s="2296"/>
      <c r="Q27" s="2497"/>
      <c r="R27" s="2397"/>
      <c r="S27" s="2255"/>
      <c r="T27" s="2493"/>
      <c r="U27" s="2285"/>
      <c r="V27" s="2495"/>
      <c r="W27" s="204" t="s">
        <v>173</v>
      </c>
      <c r="X27" s="199">
        <f>12000000-8000000</f>
        <v>4000000</v>
      </c>
      <c r="Y27" s="199">
        <v>4000000</v>
      </c>
      <c r="Z27" s="199">
        <v>0</v>
      </c>
      <c r="AA27" s="199"/>
      <c r="AB27" s="206" t="s">
        <v>172</v>
      </c>
      <c r="AC27" s="67">
        <v>20</v>
      </c>
      <c r="AD27" s="201" t="s">
        <v>154</v>
      </c>
      <c r="AE27" s="2280"/>
      <c r="AF27" s="2280"/>
      <c r="AG27" s="2400"/>
      <c r="AH27" s="2280"/>
      <c r="AI27" s="2485"/>
      <c r="AJ27" s="2280"/>
      <c r="AK27" s="2486"/>
      <c r="AL27" s="2280"/>
      <c r="AM27" s="2490"/>
      <c r="AN27" s="2280"/>
      <c r="AO27" s="2486"/>
      <c r="AP27" s="2280"/>
      <c r="AQ27" s="2485"/>
      <c r="AR27" s="2280"/>
      <c r="AS27" s="2486"/>
      <c r="AT27" s="2280"/>
      <c r="AU27" s="2488"/>
      <c r="AV27" s="2280"/>
      <c r="AW27" s="2487"/>
      <c r="AX27" s="2280"/>
      <c r="AY27" s="2488"/>
      <c r="AZ27" s="2280"/>
      <c r="BA27" s="2487"/>
      <c r="BB27" s="2280"/>
      <c r="BC27" s="2485"/>
      <c r="BD27" s="2280"/>
      <c r="BE27" s="2486"/>
      <c r="BF27" s="2280"/>
      <c r="BG27" s="2485"/>
      <c r="BH27" s="2280"/>
      <c r="BI27" s="2483"/>
      <c r="BJ27" s="2280"/>
      <c r="BK27" s="2280"/>
      <c r="BL27" s="2280"/>
      <c r="BM27" s="2280"/>
      <c r="BN27" s="2280"/>
      <c r="BO27" s="2280"/>
      <c r="BP27" s="2280"/>
      <c r="BQ27" s="2280"/>
      <c r="BR27" s="2480"/>
      <c r="BS27" s="2280"/>
      <c r="BT27" s="2482"/>
      <c r="BU27" s="2280"/>
      <c r="BV27" s="2474"/>
    </row>
    <row r="28" spans="1:74" ht="36" customHeight="1" x14ac:dyDescent="0.2">
      <c r="A28" s="175"/>
      <c r="B28" s="176"/>
      <c r="C28" s="175"/>
      <c r="D28" s="195"/>
      <c r="E28" s="196"/>
      <c r="F28" s="196"/>
      <c r="G28" s="2300"/>
      <c r="H28" s="2298"/>
      <c r="I28" s="2300"/>
      <c r="J28" s="2298"/>
      <c r="K28" s="2468"/>
      <c r="L28" s="2469"/>
      <c r="M28" s="2468"/>
      <c r="N28" s="2469"/>
      <c r="O28" s="2296"/>
      <c r="P28" s="2296"/>
      <c r="Q28" s="2497"/>
      <c r="R28" s="2397"/>
      <c r="S28" s="2255"/>
      <c r="T28" s="2493"/>
      <c r="U28" s="2285"/>
      <c r="V28" s="2495"/>
      <c r="W28" s="207" t="s">
        <v>174</v>
      </c>
      <c r="X28" s="199">
        <f>3000000+5000000</f>
        <v>8000000</v>
      </c>
      <c r="Y28" s="199">
        <v>8000000</v>
      </c>
      <c r="Z28" s="199">
        <v>0</v>
      </c>
      <c r="AA28" s="199"/>
      <c r="AB28" s="206" t="s">
        <v>172</v>
      </c>
      <c r="AC28" s="67">
        <v>20</v>
      </c>
      <c r="AD28" s="201" t="s">
        <v>154</v>
      </c>
      <c r="AE28" s="2280"/>
      <c r="AF28" s="2280"/>
      <c r="AG28" s="2400"/>
      <c r="AH28" s="2280"/>
      <c r="AI28" s="2485"/>
      <c r="AJ28" s="2280"/>
      <c r="AK28" s="2486"/>
      <c r="AL28" s="2280"/>
      <c r="AM28" s="2490"/>
      <c r="AN28" s="2280"/>
      <c r="AO28" s="2486"/>
      <c r="AP28" s="2280"/>
      <c r="AQ28" s="2485"/>
      <c r="AR28" s="2280"/>
      <c r="AS28" s="2486"/>
      <c r="AT28" s="2280"/>
      <c r="AU28" s="2488"/>
      <c r="AV28" s="2280"/>
      <c r="AW28" s="2487"/>
      <c r="AX28" s="2280"/>
      <c r="AY28" s="2488"/>
      <c r="AZ28" s="2280"/>
      <c r="BA28" s="2487"/>
      <c r="BB28" s="2280"/>
      <c r="BC28" s="2485"/>
      <c r="BD28" s="2280"/>
      <c r="BE28" s="2486"/>
      <c r="BF28" s="2280"/>
      <c r="BG28" s="2485"/>
      <c r="BH28" s="2280"/>
      <c r="BI28" s="2483"/>
      <c r="BJ28" s="2280"/>
      <c r="BK28" s="2280"/>
      <c r="BL28" s="2280"/>
      <c r="BM28" s="2280"/>
      <c r="BN28" s="2280"/>
      <c r="BO28" s="2280"/>
      <c r="BP28" s="2280"/>
      <c r="BQ28" s="2280"/>
      <c r="BR28" s="2480"/>
      <c r="BS28" s="2280"/>
      <c r="BT28" s="2482"/>
      <c r="BU28" s="2280"/>
      <c r="BV28" s="2474"/>
    </row>
    <row r="29" spans="1:74" ht="28.5" customHeight="1" x14ac:dyDescent="0.2">
      <c r="A29" s="175"/>
      <c r="B29" s="176"/>
      <c r="C29" s="175"/>
      <c r="D29" s="195"/>
      <c r="E29" s="196"/>
      <c r="F29" s="196"/>
      <c r="G29" s="2300"/>
      <c r="H29" s="2298"/>
      <c r="I29" s="2300"/>
      <c r="J29" s="2298"/>
      <c r="K29" s="2468"/>
      <c r="L29" s="2469"/>
      <c r="M29" s="2468"/>
      <c r="N29" s="2469"/>
      <c r="O29" s="2296"/>
      <c r="P29" s="2296"/>
      <c r="Q29" s="2498"/>
      <c r="R29" s="2425"/>
      <c r="S29" s="2492"/>
      <c r="T29" s="2494"/>
      <c r="U29" s="2295"/>
      <c r="V29" s="2496"/>
      <c r="W29" s="2478" t="s">
        <v>175</v>
      </c>
      <c r="X29" s="199">
        <v>7000000</v>
      </c>
      <c r="Y29" s="199"/>
      <c r="Z29" s="199"/>
      <c r="AA29" s="199"/>
      <c r="AB29" s="200" t="s">
        <v>161</v>
      </c>
      <c r="AC29" s="67">
        <v>20</v>
      </c>
      <c r="AD29" s="201" t="s">
        <v>154</v>
      </c>
      <c r="AE29" s="2280"/>
      <c r="AF29" s="2280"/>
      <c r="AG29" s="2400"/>
      <c r="AH29" s="2280"/>
      <c r="AI29" s="2485"/>
      <c r="AJ29" s="2280"/>
      <c r="AK29" s="2486"/>
      <c r="AL29" s="2280"/>
      <c r="AM29" s="2490"/>
      <c r="AN29" s="2280"/>
      <c r="AO29" s="2486"/>
      <c r="AP29" s="2280"/>
      <c r="AQ29" s="2485"/>
      <c r="AR29" s="2280"/>
      <c r="AS29" s="2486"/>
      <c r="AT29" s="2280"/>
      <c r="AU29" s="2488"/>
      <c r="AV29" s="2280"/>
      <c r="AW29" s="2487"/>
      <c r="AX29" s="2280"/>
      <c r="AY29" s="2488"/>
      <c r="AZ29" s="2280"/>
      <c r="BA29" s="2487"/>
      <c r="BB29" s="2280"/>
      <c r="BC29" s="2485"/>
      <c r="BD29" s="2280"/>
      <c r="BE29" s="2486"/>
      <c r="BF29" s="2280"/>
      <c r="BG29" s="2485"/>
      <c r="BH29" s="2280"/>
      <c r="BI29" s="2483"/>
      <c r="BJ29" s="2280"/>
      <c r="BK29" s="2280"/>
      <c r="BL29" s="2280"/>
      <c r="BM29" s="2280"/>
      <c r="BN29" s="2280"/>
      <c r="BO29" s="2280"/>
      <c r="BP29" s="2280"/>
      <c r="BQ29" s="2280"/>
      <c r="BR29" s="2480"/>
      <c r="BS29" s="2280"/>
      <c r="BT29" s="2482"/>
      <c r="BU29" s="2280"/>
      <c r="BV29" s="2474"/>
    </row>
    <row r="30" spans="1:74" ht="28.5" customHeight="1" x14ac:dyDescent="0.2">
      <c r="A30" s="175"/>
      <c r="B30" s="176"/>
      <c r="C30" s="175"/>
      <c r="D30" s="195"/>
      <c r="E30" s="196"/>
      <c r="F30" s="196"/>
      <c r="G30" s="2300"/>
      <c r="H30" s="2298"/>
      <c r="I30" s="2300"/>
      <c r="J30" s="2298"/>
      <c r="K30" s="2468"/>
      <c r="L30" s="2469"/>
      <c r="M30" s="2468"/>
      <c r="N30" s="2469"/>
      <c r="O30" s="2296"/>
      <c r="P30" s="2296"/>
      <c r="Q30" s="2498"/>
      <c r="R30" s="2425"/>
      <c r="S30" s="2492"/>
      <c r="T30" s="2494"/>
      <c r="U30" s="2295"/>
      <c r="V30" s="2496"/>
      <c r="W30" s="2479"/>
      <c r="X30" s="199">
        <v>3333529</v>
      </c>
      <c r="Y30" s="199">
        <v>0</v>
      </c>
      <c r="Z30" s="199">
        <v>0</v>
      </c>
      <c r="AA30" s="199"/>
      <c r="AB30" s="200" t="s">
        <v>176</v>
      </c>
      <c r="AC30" s="67">
        <v>88</v>
      </c>
      <c r="AD30" s="201" t="s">
        <v>177</v>
      </c>
      <c r="AE30" s="2473"/>
      <c r="AF30" s="2473"/>
      <c r="AG30" s="2400"/>
      <c r="AH30" s="2473"/>
      <c r="AI30" s="2485"/>
      <c r="AJ30" s="2473"/>
      <c r="AK30" s="2486"/>
      <c r="AL30" s="2473"/>
      <c r="AM30" s="2491"/>
      <c r="AN30" s="2473"/>
      <c r="AO30" s="2486"/>
      <c r="AP30" s="2473"/>
      <c r="AQ30" s="2485"/>
      <c r="AR30" s="2473"/>
      <c r="AS30" s="2486"/>
      <c r="AT30" s="2473"/>
      <c r="AU30" s="2488"/>
      <c r="AV30" s="2473"/>
      <c r="AW30" s="2487"/>
      <c r="AX30" s="2473"/>
      <c r="AY30" s="2488"/>
      <c r="AZ30" s="2473"/>
      <c r="BA30" s="2487"/>
      <c r="BB30" s="2473"/>
      <c r="BC30" s="2485"/>
      <c r="BD30" s="2473"/>
      <c r="BE30" s="2486"/>
      <c r="BF30" s="2473"/>
      <c r="BG30" s="2485"/>
      <c r="BH30" s="2473"/>
      <c r="BI30" s="2483"/>
      <c r="BJ30" s="2473"/>
      <c r="BK30" s="2473"/>
      <c r="BL30" s="2473"/>
      <c r="BM30" s="2473"/>
      <c r="BN30" s="2473"/>
      <c r="BO30" s="2473"/>
      <c r="BP30" s="2473"/>
      <c r="BQ30" s="2473"/>
      <c r="BR30" s="2480"/>
      <c r="BS30" s="2473"/>
      <c r="BT30" s="2482"/>
      <c r="BU30" s="2473"/>
      <c r="BV30" s="2474"/>
    </row>
    <row r="31" spans="1:74" ht="66.75" customHeight="1" x14ac:dyDescent="0.2">
      <c r="A31" s="175"/>
      <c r="B31" s="176"/>
      <c r="C31" s="175"/>
      <c r="D31" s="195"/>
      <c r="E31" s="196"/>
      <c r="F31" s="196"/>
      <c r="G31" s="2468" t="s">
        <v>74</v>
      </c>
      <c r="H31" s="2472" t="s">
        <v>178</v>
      </c>
      <c r="I31" s="2468">
        <v>4502001</v>
      </c>
      <c r="J31" s="2472" t="s">
        <v>145</v>
      </c>
      <c r="K31" s="2468" t="s">
        <v>74</v>
      </c>
      <c r="L31" s="2469" t="s">
        <v>179</v>
      </c>
      <c r="M31" s="2468" t="s">
        <v>74</v>
      </c>
      <c r="N31" s="2469" t="s">
        <v>180</v>
      </c>
      <c r="O31" s="2296">
        <v>12</v>
      </c>
      <c r="P31" s="2296">
        <v>12</v>
      </c>
      <c r="Q31" s="2470" t="s">
        <v>181</v>
      </c>
      <c r="R31" s="2471" t="s">
        <v>182</v>
      </c>
      <c r="S31" s="2465">
        <f>SUM(X31:X35)/T31</f>
        <v>1</v>
      </c>
      <c r="T31" s="2466">
        <f>SUM(X31:X35)</f>
        <v>35000000</v>
      </c>
      <c r="U31" s="2277" t="s">
        <v>183</v>
      </c>
      <c r="V31" s="2467" t="s">
        <v>184</v>
      </c>
      <c r="W31" s="208" t="s">
        <v>185</v>
      </c>
      <c r="X31" s="209">
        <v>6000000</v>
      </c>
      <c r="Y31" s="199">
        <v>6000000</v>
      </c>
      <c r="Z31" s="199">
        <v>6000000</v>
      </c>
      <c r="AA31" s="199">
        <v>6000000</v>
      </c>
      <c r="AB31" s="210" t="s">
        <v>186</v>
      </c>
      <c r="AC31" s="67">
        <v>20</v>
      </c>
      <c r="AD31" s="201" t="s">
        <v>154</v>
      </c>
      <c r="AE31" s="2457">
        <v>295972</v>
      </c>
      <c r="AF31" s="2457">
        <f>AE31</f>
        <v>295972</v>
      </c>
      <c r="AG31" s="2457">
        <v>285580</v>
      </c>
      <c r="AH31" s="2457">
        <f>AG31</f>
        <v>285580</v>
      </c>
      <c r="AI31" s="2457">
        <v>135545</v>
      </c>
      <c r="AJ31" s="2457">
        <f>AI31</f>
        <v>135545</v>
      </c>
      <c r="AK31" s="2457">
        <v>44254</v>
      </c>
      <c r="AL31" s="2457">
        <f>AK31</f>
        <v>44254</v>
      </c>
      <c r="AM31" s="2457">
        <v>309146</v>
      </c>
      <c r="AN31" s="2457">
        <f>AM31</f>
        <v>309146</v>
      </c>
      <c r="AO31" s="2457">
        <v>92607</v>
      </c>
      <c r="AP31" s="2457">
        <f>AO31</f>
        <v>92607</v>
      </c>
      <c r="AQ31" s="2457">
        <v>2145</v>
      </c>
      <c r="AR31" s="2457">
        <f>AQ31</f>
        <v>2145</v>
      </c>
      <c r="AS31" s="2457">
        <v>12718</v>
      </c>
      <c r="AT31" s="2457">
        <f>AS31</f>
        <v>12718</v>
      </c>
      <c r="AU31" s="2457">
        <v>26</v>
      </c>
      <c r="AV31" s="2457">
        <f>AU31</f>
        <v>26</v>
      </c>
      <c r="AW31" s="2457">
        <v>37</v>
      </c>
      <c r="AX31" s="2457">
        <f>AW31</f>
        <v>37</v>
      </c>
      <c r="AY31" s="2457">
        <v>0</v>
      </c>
      <c r="AZ31" s="2457">
        <f>AY31</f>
        <v>0</v>
      </c>
      <c r="BA31" s="2457">
        <v>0</v>
      </c>
      <c r="BB31" s="2457">
        <f>BA31</f>
        <v>0</v>
      </c>
      <c r="BC31" s="2457">
        <v>44350</v>
      </c>
      <c r="BD31" s="2457">
        <f>BC31</f>
        <v>44350</v>
      </c>
      <c r="BE31" s="2457">
        <v>21944</v>
      </c>
      <c r="BF31" s="2457">
        <f>BE31</f>
        <v>21944</v>
      </c>
      <c r="BG31" s="2457">
        <v>75687</v>
      </c>
      <c r="BH31" s="2457">
        <f>BG31</f>
        <v>75687</v>
      </c>
      <c r="BI31" s="2457">
        <f>AE31+AG31</f>
        <v>581552</v>
      </c>
      <c r="BJ31" s="2457">
        <f>BI31</f>
        <v>581552</v>
      </c>
      <c r="BK31" s="2457">
        <v>1</v>
      </c>
      <c r="BL31" s="2459">
        <f>SUBTOTAL(9,Y31:Y35)</f>
        <v>8655000</v>
      </c>
      <c r="BM31" s="2459">
        <f>SUBTOTAL(9,Z31:Z35)</f>
        <v>8655000</v>
      </c>
      <c r="BN31" s="2462">
        <f>BM31/BL31</f>
        <v>1</v>
      </c>
      <c r="BO31" s="2457">
        <v>20</v>
      </c>
      <c r="BP31" s="2457" t="s">
        <v>187</v>
      </c>
      <c r="BQ31" s="2457" t="s">
        <v>188</v>
      </c>
      <c r="BR31" s="2458">
        <v>44197</v>
      </c>
      <c r="BS31" s="2458">
        <v>44266</v>
      </c>
      <c r="BT31" s="2457" t="s">
        <v>189</v>
      </c>
      <c r="BU31" s="2457"/>
      <c r="BV31" s="2457" t="s">
        <v>155</v>
      </c>
    </row>
    <row r="32" spans="1:74" ht="66.75" customHeight="1" x14ac:dyDescent="0.2">
      <c r="A32" s="175"/>
      <c r="B32" s="176"/>
      <c r="C32" s="175"/>
      <c r="D32" s="195"/>
      <c r="E32" s="196"/>
      <c r="F32" s="196"/>
      <c r="G32" s="2468"/>
      <c r="H32" s="2472"/>
      <c r="I32" s="2468"/>
      <c r="J32" s="2472"/>
      <c r="K32" s="2468"/>
      <c r="L32" s="2469"/>
      <c r="M32" s="2468"/>
      <c r="N32" s="2469"/>
      <c r="O32" s="2296"/>
      <c r="P32" s="2296"/>
      <c r="Q32" s="2470"/>
      <c r="R32" s="2471"/>
      <c r="S32" s="2465"/>
      <c r="T32" s="2466"/>
      <c r="U32" s="2277"/>
      <c r="V32" s="2467"/>
      <c r="W32" s="208" t="s">
        <v>190</v>
      </c>
      <c r="X32" s="209">
        <v>3000000</v>
      </c>
      <c r="Y32" s="199">
        <v>2655000</v>
      </c>
      <c r="Z32" s="199">
        <v>2655000</v>
      </c>
      <c r="AA32" s="199">
        <v>2655000</v>
      </c>
      <c r="AB32" s="210" t="s">
        <v>186</v>
      </c>
      <c r="AC32" s="67">
        <v>20</v>
      </c>
      <c r="AD32" s="201" t="s">
        <v>154</v>
      </c>
      <c r="AE32" s="2448"/>
      <c r="AF32" s="2448"/>
      <c r="AG32" s="2448"/>
      <c r="AH32" s="2448"/>
      <c r="AI32" s="2448"/>
      <c r="AJ32" s="2448"/>
      <c r="AK32" s="2448"/>
      <c r="AL32" s="2448"/>
      <c r="AM32" s="2448"/>
      <c r="AN32" s="2448"/>
      <c r="AO32" s="2448"/>
      <c r="AP32" s="2448"/>
      <c r="AQ32" s="2448"/>
      <c r="AR32" s="2448"/>
      <c r="AS32" s="2448"/>
      <c r="AT32" s="2448"/>
      <c r="AU32" s="2448"/>
      <c r="AV32" s="2448"/>
      <c r="AW32" s="2448"/>
      <c r="AX32" s="2448"/>
      <c r="AY32" s="2448"/>
      <c r="AZ32" s="2448"/>
      <c r="BA32" s="2448"/>
      <c r="BB32" s="2448"/>
      <c r="BC32" s="2448"/>
      <c r="BD32" s="2448"/>
      <c r="BE32" s="2448"/>
      <c r="BF32" s="2448"/>
      <c r="BG32" s="2448"/>
      <c r="BH32" s="2448"/>
      <c r="BI32" s="2448"/>
      <c r="BJ32" s="2448"/>
      <c r="BK32" s="2448"/>
      <c r="BL32" s="2460"/>
      <c r="BM32" s="2460"/>
      <c r="BN32" s="2463"/>
      <c r="BO32" s="2448"/>
      <c r="BP32" s="2448"/>
      <c r="BQ32" s="2448"/>
      <c r="BR32" s="2448"/>
      <c r="BS32" s="2448"/>
      <c r="BT32" s="2448"/>
      <c r="BU32" s="2448"/>
      <c r="BV32" s="2448"/>
    </row>
    <row r="33" spans="1:74" ht="87" customHeight="1" x14ac:dyDescent="0.2">
      <c r="A33" s="175"/>
      <c r="B33" s="176"/>
      <c r="C33" s="175"/>
      <c r="D33" s="195"/>
      <c r="E33" s="196"/>
      <c r="F33" s="196"/>
      <c r="G33" s="2468"/>
      <c r="H33" s="2472"/>
      <c r="I33" s="2468"/>
      <c r="J33" s="2472"/>
      <c r="K33" s="2468"/>
      <c r="L33" s="2469"/>
      <c r="M33" s="2468"/>
      <c r="N33" s="2469"/>
      <c r="O33" s="2296"/>
      <c r="P33" s="2296"/>
      <c r="Q33" s="2470"/>
      <c r="R33" s="2471"/>
      <c r="S33" s="2465"/>
      <c r="T33" s="2466"/>
      <c r="U33" s="2277"/>
      <c r="V33" s="2467"/>
      <c r="W33" s="208" t="s">
        <v>191</v>
      </c>
      <c r="X33" s="209">
        <v>15000000</v>
      </c>
      <c r="Y33" s="199">
        <v>0</v>
      </c>
      <c r="Z33" s="199">
        <v>0</v>
      </c>
      <c r="AA33" s="199"/>
      <c r="AB33" s="210" t="s">
        <v>186</v>
      </c>
      <c r="AC33" s="67">
        <v>20</v>
      </c>
      <c r="AD33" s="201" t="s">
        <v>154</v>
      </c>
      <c r="AE33" s="2448"/>
      <c r="AF33" s="2448"/>
      <c r="AG33" s="2448"/>
      <c r="AH33" s="2448"/>
      <c r="AI33" s="2448"/>
      <c r="AJ33" s="2448"/>
      <c r="AK33" s="2448"/>
      <c r="AL33" s="2448"/>
      <c r="AM33" s="2448"/>
      <c r="AN33" s="2448"/>
      <c r="AO33" s="2448"/>
      <c r="AP33" s="2448"/>
      <c r="AQ33" s="2448"/>
      <c r="AR33" s="2448"/>
      <c r="AS33" s="2448"/>
      <c r="AT33" s="2448"/>
      <c r="AU33" s="2448"/>
      <c r="AV33" s="2448"/>
      <c r="AW33" s="2448"/>
      <c r="AX33" s="2448"/>
      <c r="AY33" s="2448"/>
      <c r="AZ33" s="2448"/>
      <c r="BA33" s="2448"/>
      <c r="BB33" s="2448"/>
      <c r="BC33" s="2448"/>
      <c r="BD33" s="2448"/>
      <c r="BE33" s="2448"/>
      <c r="BF33" s="2448"/>
      <c r="BG33" s="2448"/>
      <c r="BH33" s="2448"/>
      <c r="BI33" s="2448"/>
      <c r="BJ33" s="2448"/>
      <c r="BK33" s="2448"/>
      <c r="BL33" s="2460"/>
      <c r="BM33" s="2460"/>
      <c r="BN33" s="2463"/>
      <c r="BO33" s="2448"/>
      <c r="BP33" s="2448"/>
      <c r="BQ33" s="2448"/>
      <c r="BR33" s="2448"/>
      <c r="BS33" s="2448"/>
      <c r="BT33" s="2448"/>
      <c r="BU33" s="2448"/>
      <c r="BV33" s="2448"/>
    </row>
    <row r="34" spans="1:74" ht="66.75" customHeight="1" x14ac:dyDescent="0.2">
      <c r="A34" s="175"/>
      <c r="B34" s="176"/>
      <c r="C34" s="175"/>
      <c r="D34" s="195"/>
      <c r="E34" s="196"/>
      <c r="F34" s="196"/>
      <c r="G34" s="2468"/>
      <c r="H34" s="2472"/>
      <c r="I34" s="2468"/>
      <c r="J34" s="2472"/>
      <c r="K34" s="2468"/>
      <c r="L34" s="2469"/>
      <c r="M34" s="2468"/>
      <c r="N34" s="2469"/>
      <c r="O34" s="2296"/>
      <c r="P34" s="2296"/>
      <c r="Q34" s="2470"/>
      <c r="R34" s="2471"/>
      <c r="S34" s="2465"/>
      <c r="T34" s="2466"/>
      <c r="U34" s="2277"/>
      <c r="V34" s="2467"/>
      <c r="W34" s="208" t="s">
        <v>192</v>
      </c>
      <c r="X34" s="209">
        <v>3000000</v>
      </c>
      <c r="Y34" s="199">
        <v>0</v>
      </c>
      <c r="Z34" s="199">
        <v>0</v>
      </c>
      <c r="AA34" s="199"/>
      <c r="AB34" s="210" t="s">
        <v>186</v>
      </c>
      <c r="AC34" s="67">
        <v>20</v>
      </c>
      <c r="AD34" s="201" t="s">
        <v>154</v>
      </c>
      <c r="AE34" s="2448"/>
      <c r="AF34" s="2448"/>
      <c r="AG34" s="2448"/>
      <c r="AH34" s="2448"/>
      <c r="AI34" s="2448"/>
      <c r="AJ34" s="2448"/>
      <c r="AK34" s="2448"/>
      <c r="AL34" s="2448"/>
      <c r="AM34" s="2448"/>
      <c r="AN34" s="2448"/>
      <c r="AO34" s="2448"/>
      <c r="AP34" s="2448"/>
      <c r="AQ34" s="2448"/>
      <c r="AR34" s="2448"/>
      <c r="AS34" s="2448"/>
      <c r="AT34" s="2448"/>
      <c r="AU34" s="2448"/>
      <c r="AV34" s="2448"/>
      <c r="AW34" s="2448"/>
      <c r="AX34" s="2448"/>
      <c r="AY34" s="2448"/>
      <c r="AZ34" s="2448"/>
      <c r="BA34" s="2448"/>
      <c r="BB34" s="2448"/>
      <c r="BC34" s="2448"/>
      <c r="BD34" s="2448"/>
      <c r="BE34" s="2448"/>
      <c r="BF34" s="2448"/>
      <c r="BG34" s="2448"/>
      <c r="BH34" s="2448"/>
      <c r="BI34" s="2448"/>
      <c r="BJ34" s="2448"/>
      <c r="BK34" s="2448"/>
      <c r="BL34" s="2460"/>
      <c r="BM34" s="2460"/>
      <c r="BN34" s="2463"/>
      <c r="BO34" s="2448"/>
      <c r="BP34" s="2448"/>
      <c r="BQ34" s="2448"/>
      <c r="BR34" s="2448"/>
      <c r="BS34" s="2448"/>
      <c r="BT34" s="2448"/>
      <c r="BU34" s="2448"/>
      <c r="BV34" s="2448"/>
    </row>
    <row r="35" spans="1:74" ht="48.75" customHeight="1" x14ac:dyDescent="0.2">
      <c r="A35" s="175"/>
      <c r="B35" s="176"/>
      <c r="C35" s="175"/>
      <c r="D35" s="195"/>
      <c r="E35" s="196"/>
      <c r="F35" s="196"/>
      <c r="G35" s="2468"/>
      <c r="H35" s="2472"/>
      <c r="I35" s="2468"/>
      <c r="J35" s="2472"/>
      <c r="K35" s="2468"/>
      <c r="L35" s="2469"/>
      <c r="M35" s="2468"/>
      <c r="N35" s="2469"/>
      <c r="O35" s="2296"/>
      <c r="P35" s="2296"/>
      <c r="Q35" s="2470"/>
      <c r="R35" s="2471"/>
      <c r="S35" s="2465"/>
      <c r="T35" s="2466"/>
      <c r="U35" s="2277"/>
      <c r="V35" s="2467"/>
      <c r="W35" s="208" t="s">
        <v>193</v>
      </c>
      <c r="X35" s="209">
        <v>8000000</v>
      </c>
      <c r="Y35" s="199">
        <v>0</v>
      </c>
      <c r="Z35" s="199">
        <v>0</v>
      </c>
      <c r="AA35" s="199"/>
      <c r="AB35" s="200" t="s">
        <v>194</v>
      </c>
      <c r="AC35" s="67">
        <v>20</v>
      </c>
      <c r="AD35" s="201" t="s">
        <v>154</v>
      </c>
      <c r="AE35" s="2449"/>
      <c r="AF35" s="2449"/>
      <c r="AG35" s="2449"/>
      <c r="AH35" s="2449"/>
      <c r="AI35" s="2449"/>
      <c r="AJ35" s="2449"/>
      <c r="AK35" s="2449"/>
      <c r="AL35" s="2449"/>
      <c r="AM35" s="2449"/>
      <c r="AN35" s="2449"/>
      <c r="AO35" s="2449"/>
      <c r="AP35" s="2449"/>
      <c r="AQ35" s="2449"/>
      <c r="AR35" s="2449"/>
      <c r="AS35" s="2449"/>
      <c r="AT35" s="2449"/>
      <c r="AU35" s="2449"/>
      <c r="AV35" s="2449"/>
      <c r="AW35" s="2449"/>
      <c r="AX35" s="2449"/>
      <c r="AY35" s="2449"/>
      <c r="AZ35" s="2449"/>
      <c r="BA35" s="2449"/>
      <c r="BB35" s="2449"/>
      <c r="BC35" s="2449"/>
      <c r="BD35" s="2449"/>
      <c r="BE35" s="2449"/>
      <c r="BF35" s="2449"/>
      <c r="BG35" s="2449"/>
      <c r="BH35" s="2449"/>
      <c r="BI35" s="2449"/>
      <c r="BJ35" s="2449"/>
      <c r="BK35" s="2449"/>
      <c r="BL35" s="2461"/>
      <c r="BM35" s="2461"/>
      <c r="BN35" s="2464"/>
      <c r="BO35" s="2449"/>
      <c r="BP35" s="2449"/>
      <c r="BQ35" s="2449"/>
      <c r="BR35" s="2449"/>
      <c r="BS35" s="2449"/>
      <c r="BT35" s="2449"/>
      <c r="BU35" s="2449"/>
      <c r="BV35" s="2449"/>
    </row>
    <row r="36" spans="1:74" ht="22.5" customHeight="1" x14ac:dyDescent="0.2">
      <c r="A36" s="175"/>
      <c r="B36" s="176"/>
      <c r="C36" s="175"/>
      <c r="D36" s="195"/>
      <c r="E36" s="211">
        <v>4599</v>
      </c>
      <c r="F36" s="212" t="s">
        <v>195</v>
      </c>
      <c r="G36" s="96"/>
      <c r="H36" s="213"/>
      <c r="I36" s="96"/>
      <c r="J36" s="213"/>
      <c r="K36" s="94"/>
      <c r="L36" s="94"/>
      <c r="M36" s="94"/>
      <c r="N36" s="94"/>
      <c r="O36" s="94"/>
      <c r="P36" s="214"/>
      <c r="Q36" s="215"/>
      <c r="R36" s="216"/>
      <c r="S36" s="217"/>
      <c r="T36" s="218"/>
      <c r="U36" s="216"/>
      <c r="V36" s="219"/>
      <c r="W36" s="94"/>
      <c r="X36" s="220"/>
      <c r="Y36" s="221"/>
      <c r="Z36" s="221"/>
      <c r="AA36" s="221"/>
      <c r="AB36" s="222"/>
      <c r="AC36" s="97"/>
      <c r="AD36" s="94"/>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223"/>
    </row>
    <row r="37" spans="1:74" ht="105.75" customHeight="1" x14ac:dyDescent="0.2">
      <c r="A37" s="175"/>
      <c r="B37" s="176"/>
      <c r="C37" s="175"/>
      <c r="D37" s="195"/>
      <c r="E37" s="224"/>
      <c r="F37" s="170"/>
      <c r="G37" s="2401" t="s">
        <v>74</v>
      </c>
      <c r="H37" s="2397" t="s">
        <v>196</v>
      </c>
      <c r="I37" s="2294">
        <v>4599018</v>
      </c>
      <c r="J37" s="2397" t="s">
        <v>197</v>
      </c>
      <c r="K37" s="2294" t="s">
        <v>74</v>
      </c>
      <c r="L37" s="2397" t="s">
        <v>198</v>
      </c>
      <c r="M37" s="2294">
        <v>459901800</v>
      </c>
      <c r="N37" s="2397" t="s">
        <v>199</v>
      </c>
      <c r="O37" s="2294">
        <v>5</v>
      </c>
      <c r="P37" s="2294">
        <v>1</v>
      </c>
      <c r="Q37" s="2294" t="s">
        <v>200</v>
      </c>
      <c r="R37" s="2397" t="s">
        <v>201</v>
      </c>
      <c r="S37" s="2456">
        <f>SUM(X37:X42)/T37</f>
        <v>1</v>
      </c>
      <c r="T37" s="2399">
        <f>SUM(X37:X42)</f>
        <v>144000000</v>
      </c>
      <c r="U37" s="2397" t="s">
        <v>202</v>
      </c>
      <c r="V37" s="2396" t="s">
        <v>203</v>
      </c>
      <c r="W37" s="205" t="s">
        <v>204</v>
      </c>
      <c r="X37" s="225">
        <f>36000000-12900000</f>
        <v>23100000</v>
      </c>
      <c r="Y37" s="199">
        <v>13200000</v>
      </c>
      <c r="Z37" s="199">
        <v>9900000</v>
      </c>
      <c r="AA37" s="199">
        <v>9900000</v>
      </c>
      <c r="AB37" s="226" t="s">
        <v>205</v>
      </c>
      <c r="AC37" s="67">
        <v>20</v>
      </c>
      <c r="AD37" s="201" t="s">
        <v>154</v>
      </c>
      <c r="AE37" s="2402">
        <v>295972</v>
      </c>
      <c r="AF37" s="2402">
        <f>AE37</f>
        <v>295972</v>
      </c>
      <c r="AG37" s="2402">
        <v>285580</v>
      </c>
      <c r="AH37" s="2402">
        <v>285580</v>
      </c>
      <c r="AI37" s="2402">
        <v>135545</v>
      </c>
      <c r="AJ37" s="2402">
        <v>135545</v>
      </c>
      <c r="AK37" s="2402">
        <v>44254</v>
      </c>
      <c r="AL37" s="2402">
        <v>44254</v>
      </c>
      <c r="AM37" s="2402">
        <v>309146</v>
      </c>
      <c r="AN37" s="2402">
        <v>309146</v>
      </c>
      <c r="AO37" s="2402">
        <v>92607</v>
      </c>
      <c r="AP37" s="2402">
        <v>92607</v>
      </c>
      <c r="AQ37" s="2402">
        <v>2145</v>
      </c>
      <c r="AR37" s="2402">
        <v>2145</v>
      </c>
      <c r="AS37" s="2402">
        <v>12718</v>
      </c>
      <c r="AT37" s="2402">
        <v>12718</v>
      </c>
      <c r="AU37" s="2402">
        <v>26</v>
      </c>
      <c r="AV37" s="2402">
        <v>26</v>
      </c>
      <c r="AW37" s="2402">
        <v>37</v>
      </c>
      <c r="AX37" s="2402">
        <v>37</v>
      </c>
      <c r="AY37" s="2402">
        <v>0</v>
      </c>
      <c r="AZ37" s="2402">
        <v>0</v>
      </c>
      <c r="BA37" s="2402">
        <v>0</v>
      </c>
      <c r="BB37" s="2402">
        <v>0</v>
      </c>
      <c r="BC37" s="2402">
        <v>44350</v>
      </c>
      <c r="BD37" s="2402">
        <v>44350</v>
      </c>
      <c r="BE37" s="2402">
        <v>21944</v>
      </c>
      <c r="BF37" s="2402">
        <v>21944</v>
      </c>
      <c r="BG37" s="2402">
        <v>75687</v>
      </c>
      <c r="BH37" s="2402">
        <v>75687</v>
      </c>
      <c r="BI37" s="2402">
        <f>SUM(AE37,AG37)</f>
        <v>581552</v>
      </c>
      <c r="BJ37" s="2402">
        <f>SUM(AF37,AH37)</f>
        <v>581552</v>
      </c>
      <c r="BK37" s="2402">
        <v>5</v>
      </c>
      <c r="BL37" s="2450">
        <f>SUBTOTAL(9,Y37:Y42)</f>
        <v>56740000</v>
      </c>
      <c r="BM37" s="2450">
        <f>SUBTOTAL(9,Z37:Z42)</f>
        <v>43540000</v>
      </c>
      <c r="BN37" s="2453">
        <f>BM37/BL37</f>
        <v>0.76735988720479376</v>
      </c>
      <c r="BO37" s="2402">
        <v>20</v>
      </c>
      <c r="BP37" s="2402" t="s">
        <v>187</v>
      </c>
      <c r="BQ37" s="2445" t="s">
        <v>206</v>
      </c>
      <c r="BR37" s="2403">
        <v>44197</v>
      </c>
      <c r="BS37" s="2403">
        <v>44228</v>
      </c>
      <c r="BT37" s="2403">
        <v>44561</v>
      </c>
      <c r="BU37" s="2403"/>
      <c r="BV37" s="2297" t="s">
        <v>155</v>
      </c>
    </row>
    <row r="38" spans="1:74" ht="102" customHeight="1" x14ac:dyDescent="0.2">
      <c r="A38" s="175"/>
      <c r="B38" s="176"/>
      <c r="C38" s="175"/>
      <c r="D38" s="195"/>
      <c r="E38" s="196"/>
      <c r="F38" s="227"/>
      <c r="G38" s="2401"/>
      <c r="H38" s="2397"/>
      <c r="I38" s="2294"/>
      <c r="J38" s="2397"/>
      <c r="K38" s="2294"/>
      <c r="L38" s="2397"/>
      <c r="M38" s="2294"/>
      <c r="N38" s="2397"/>
      <c r="O38" s="2294"/>
      <c r="P38" s="2294"/>
      <c r="Q38" s="2294"/>
      <c r="R38" s="2397"/>
      <c r="S38" s="2456"/>
      <c r="T38" s="2399"/>
      <c r="U38" s="2397"/>
      <c r="V38" s="2396"/>
      <c r="W38" s="205" t="s">
        <v>207</v>
      </c>
      <c r="X38" s="228">
        <f>18000000+12900000</f>
        <v>30900000</v>
      </c>
      <c r="Y38" s="199">
        <v>23100000</v>
      </c>
      <c r="Z38" s="199">
        <v>13200000</v>
      </c>
      <c r="AA38" s="199">
        <v>13200000</v>
      </c>
      <c r="AB38" s="226" t="s">
        <v>205</v>
      </c>
      <c r="AC38" s="67">
        <v>20</v>
      </c>
      <c r="AD38" s="201" t="s">
        <v>154</v>
      </c>
      <c r="AE38" s="2265"/>
      <c r="AF38" s="2265"/>
      <c r="AG38" s="2265"/>
      <c r="AH38" s="2265"/>
      <c r="AI38" s="2265"/>
      <c r="AJ38" s="2265"/>
      <c r="AK38" s="2265"/>
      <c r="AL38" s="2265"/>
      <c r="AM38" s="2265"/>
      <c r="AN38" s="2265"/>
      <c r="AO38" s="2265"/>
      <c r="AP38" s="2265"/>
      <c r="AQ38" s="2265"/>
      <c r="AR38" s="2265"/>
      <c r="AS38" s="2265"/>
      <c r="AT38" s="2265"/>
      <c r="AU38" s="2265"/>
      <c r="AV38" s="2265"/>
      <c r="AW38" s="2265"/>
      <c r="AX38" s="2265"/>
      <c r="AY38" s="2265"/>
      <c r="AZ38" s="2265"/>
      <c r="BA38" s="2265"/>
      <c r="BB38" s="2265"/>
      <c r="BC38" s="2265"/>
      <c r="BD38" s="2265"/>
      <c r="BE38" s="2265"/>
      <c r="BF38" s="2265"/>
      <c r="BG38" s="2265"/>
      <c r="BH38" s="2265"/>
      <c r="BI38" s="2265"/>
      <c r="BJ38" s="2265"/>
      <c r="BK38" s="2265"/>
      <c r="BL38" s="2451"/>
      <c r="BM38" s="2451"/>
      <c r="BN38" s="2454"/>
      <c r="BO38" s="2265"/>
      <c r="BP38" s="2265"/>
      <c r="BQ38" s="2446"/>
      <c r="BR38" s="2265"/>
      <c r="BS38" s="2446"/>
      <c r="BT38" s="2265"/>
      <c r="BU38" s="2446"/>
      <c r="BV38" s="2448"/>
    </row>
    <row r="39" spans="1:74" ht="90" customHeight="1" x14ac:dyDescent="0.2">
      <c r="A39" s="175"/>
      <c r="B39" s="176"/>
      <c r="C39" s="175"/>
      <c r="D39" s="195"/>
      <c r="E39" s="196"/>
      <c r="F39" s="227"/>
      <c r="G39" s="2401"/>
      <c r="H39" s="2397"/>
      <c r="I39" s="2294"/>
      <c r="J39" s="2397"/>
      <c r="K39" s="2294"/>
      <c r="L39" s="2397"/>
      <c r="M39" s="2294"/>
      <c r="N39" s="2397"/>
      <c r="O39" s="2294"/>
      <c r="P39" s="2294"/>
      <c r="Q39" s="2294"/>
      <c r="R39" s="2397"/>
      <c r="S39" s="2456"/>
      <c r="T39" s="2399"/>
      <c r="U39" s="2397"/>
      <c r="V39" s="2396"/>
      <c r="W39" s="205" t="s">
        <v>208</v>
      </c>
      <c r="X39" s="228">
        <v>36000000</v>
      </c>
      <c r="Y39" s="199">
        <v>11540000</v>
      </c>
      <c r="Z39" s="199">
        <v>11540000</v>
      </c>
      <c r="AA39" s="199">
        <v>11540000</v>
      </c>
      <c r="AB39" s="226" t="s">
        <v>205</v>
      </c>
      <c r="AC39" s="67">
        <v>20</v>
      </c>
      <c r="AD39" s="201" t="s">
        <v>154</v>
      </c>
      <c r="AE39" s="2265"/>
      <c r="AF39" s="2265"/>
      <c r="AG39" s="2265"/>
      <c r="AH39" s="2265"/>
      <c r="AI39" s="2265"/>
      <c r="AJ39" s="2265"/>
      <c r="AK39" s="2265"/>
      <c r="AL39" s="2265"/>
      <c r="AM39" s="2265"/>
      <c r="AN39" s="2265"/>
      <c r="AO39" s="2265"/>
      <c r="AP39" s="2265"/>
      <c r="AQ39" s="2265"/>
      <c r="AR39" s="2265"/>
      <c r="AS39" s="2265"/>
      <c r="AT39" s="2265"/>
      <c r="AU39" s="2265"/>
      <c r="AV39" s="2265"/>
      <c r="AW39" s="2265"/>
      <c r="AX39" s="2265"/>
      <c r="AY39" s="2265"/>
      <c r="AZ39" s="2265"/>
      <c r="BA39" s="2265"/>
      <c r="BB39" s="2265"/>
      <c r="BC39" s="2265"/>
      <c r="BD39" s="2265"/>
      <c r="BE39" s="2265"/>
      <c r="BF39" s="2265"/>
      <c r="BG39" s="2265"/>
      <c r="BH39" s="2265"/>
      <c r="BI39" s="2265"/>
      <c r="BJ39" s="2265"/>
      <c r="BK39" s="2265"/>
      <c r="BL39" s="2451"/>
      <c r="BM39" s="2451"/>
      <c r="BN39" s="2454"/>
      <c r="BO39" s="2265"/>
      <c r="BP39" s="2265"/>
      <c r="BQ39" s="2446"/>
      <c r="BR39" s="2265"/>
      <c r="BS39" s="2446"/>
      <c r="BT39" s="2265"/>
      <c r="BU39" s="2446"/>
      <c r="BV39" s="2448"/>
    </row>
    <row r="40" spans="1:74" ht="59.25" customHeight="1" x14ac:dyDescent="0.2">
      <c r="A40" s="175"/>
      <c r="B40" s="176"/>
      <c r="C40" s="175"/>
      <c r="D40" s="195"/>
      <c r="E40" s="196"/>
      <c r="F40" s="227"/>
      <c r="G40" s="2401"/>
      <c r="H40" s="2397"/>
      <c r="I40" s="2294"/>
      <c r="J40" s="2397"/>
      <c r="K40" s="2294"/>
      <c r="L40" s="2397"/>
      <c r="M40" s="2294"/>
      <c r="N40" s="2397"/>
      <c r="O40" s="2294"/>
      <c r="P40" s="2294"/>
      <c r="Q40" s="2294"/>
      <c r="R40" s="2397"/>
      <c r="S40" s="2456"/>
      <c r="T40" s="2399"/>
      <c r="U40" s="2397"/>
      <c r="V40" s="2396"/>
      <c r="W40" s="205" t="s">
        <v>209</v>
      </c>
      <c r="X40" s="228">
        <v>28252000</v>
      </c>
      <c r="Y40" s="199">
        <v>0</v>
      </c>
      <c r="Z40" s="199">
        <v>0</v>
      </c>
      <c r="AA40" s="199">
        <v>0</v>
      </c>
      <c r="AB40" s="226" t="s">
        <v>205</v>
      </c>
      <c r="AC40" s="67">
        <v>20</v>
      </c>
      <c r="AD40" s="201" t="s">
        <v>154</v>
      </c>
      <c r="AE40" s="2265"/>
      <c r="AF40" s="2265"/>
      <c r="AG40" s="2265"/>
      <c r="AH40" s="2265"/>
      <c r="AI40" s="2265"/>
      <c r="AJ40" s="2265"/>
      <c r="AK40" s="2265"/>
      <c r="AL40" s="2265"/>
      <c r="AM40" s="2265"/>
      <c r="AN40" s="2265"/>
      <c r="AO40" s="2265"/>
      <c r="AP40" s="2265"/>
      <c r="AQ40" s="2265"/>
      <c r="AR40" s="2265"/>
      <c r="AS40" s="2265"/>
      <c r="AT40" s="2265"/>
      <c r="AU40" s="2265"/>
      <c r="AV40" s="2265"/>
      <c r="AW40" s="2265"/>
      <c r="AX40" s="2265"/>
      <c r="AY40" s="2265"/>
      <c r="AZ40" s="2265"/>
      <c r="BA40" s="2265"/>
      <c r="BB40" s="2265"/>
      <c r="BC40" s="2265"/>
      <c r="BD40" s="2265"/>
      <c r="BE40" s="2265"/>
      <c r="BF40" s="2265"/>
      <c r="BG40" s="2265"/>
      <c r="BH40" s="2265"/>
      <c r="BI40" s="2265"/>
      <c r="BJ40" s="2265"/>
      <c r="BK40" s="2265"/>
      <c r="BL40" s="2451"/>
      <c r="BM40" s="2451"/>
      <c r="BN40" s="2454"/>
      <c r="BO40" s="2265"/>
      <c r="BP40" s="2265"/>
      <c r="BQ40" s="2446"/>
      <c r="BR40" s="2265"/>
      <c r="BS40" s="2446"/>
      <c r="BT40" s="2265"/>
      <c r="BU40" s="2446"/>
      <c r="BV40" s="2448"/>
    </row>
    <row r="41" spans="1:74" ht="93.75" customHeight="1" x14ac:dyDescent="0.2">
      <c r="A41" s="175"/>
      <c r="B41" s="176"/>
      <c r="C41" s="175"/>
      <c r="D41" s="195"/>
      <c r="E41" s="196"/>
      <c r="F41" s="227"/>
      <c r="G41" s="2401"/>
      <c r="H41" s="2397"/>
      <c r="I41" s="2294"/>
      <c r="J41" s="2397"/>
      <c r="K41" s="2294"/>
      <c r="L41" s="2397"/>
      <c r="M41" s="2294"/>
      <c r="N41" s="2397"/>
      <c r="O41" s="2294"/>
      <c r="P41" s="2294"/>
      <c r="Q41" s="2294"/>
      <c r="R41" s="2397"/>
      <c r="S41" s="2456"/>
      <c r="T41" s="2399"/>
      <c r="U41" s="2397"/>
      <c r="V41" s="2396"/>
      <c r="W41" s="205" t="s">
        <v>210</v>
      </c>
      <c r="X41" s="228">
        <f>15000000-11652000</f>
        <v>3348000</v>
      </c>
      <c r="Y41" s="199">
        <v>0</v>
      </c>
      <c r="Z41" s="199">
        <v>0</v>
      </c>
      <c r="AA41" s="199">
        <v>0</v>
      </c>
      <c r="AB41" s="226" t="s">
        <v>205</v>
      </c>
      <c r="AC41" s="67">
        <v>20</v>
      </c>
      <c r="AD41" s="201" t="s">
        <v>154</v>
      </c>
      <c r="AE41" s="2265"/>
      <c r="AF41" s="2265"/>
      <c r="AG41" s="2265"/>
      <c r="AH41" s="2265"/>
      <c r="AI41" s="2265"/>
      <c r="AJ41" s="2265"/>
      <c r="AK41" s="2265"/>
      <c r="AL41" s="2265"/>
      <c r="AM41" s="2265"/>
      <c r="AN41" s="2265"/>
      <c r="AO41" s="2265"/>
      <c r="AP41" s="2265"/>
      <c r="AQ41" s="2265"/>
      <c r="AR41" s="2265"/>
      <c r="AS41" s="2265"/>
      <c r="AT41" s="2265"/>
      <c r="AU41" s="2265"/>
      <c r="AV41" s="2265"/>
      <c r="AW41" s="2265"/>
      <c r="AX41" s="2265"/>
      <c r="AY41" s="2265"/>
      <c r="AZ41" s="2265"/>
      <c r="BA41" s="2265"/>
      <c r="BB41" s="2265"/>
      <c r="BC41" s="2265"/>
      <c r="BD41" s="2265"/>
      <c r="BE41" s="2265"/>
      <c r="BF41" s="2265"/>
      <c r="BG41" s="2265"/>
      <c r="BH41" s="2265"/>
      <c r="BI41" s="2265"/>
      <c r="BJ41" s="2265"/>
      <c r="BK41" s="2265"/>
      <c r="BL41" s="2451"/>
      <c r="BM41" s="2451"/>
      <c r="BN41" s="2454"/>
      <c r="BO41" s="2265"/>
      <c r="BP41" s="2265"/>
      <c r="BQ41" s="2446"/>
      <c r="BR41" s="2265"/>
      <c r="BS41" s="2446"/>
      <c r="BT41" s="2265"/>
      <c r="BU41" s="2446"/>
      <c r="BV41" s="2448"/>
    </row>
    <row r="42" spans="1:74" ht="86.25" customHeight="1" x14ac:dyDescent="0.2">
      <c r="A42" s="175"/>
      <c r="B42" s="176"/>
      <c r="C42" s="175"/>
      <c r="D42" s="195"/>
      <c r="E42" s="196"/>
      <c r="F42" s="227"/>
      <c r="G42" s="2401"/>
      <c r="H42" s="2397"/>
      <c r="I42" s="2294"/>
      <c r="J42" s="2397"/>
      <c r="K42" s="2294"/>
      <c r="L42" s="2397"/>
      <c r="M42" s="2294"/>
      <c r="N42" s="2397"/>
      <c r="O42" s="2294"/>
      <c r="P42" s="2294"/>
      <c r="Q42" s="2294"/>
      <c r="R42" s="2397"/>
      <c r="S42" s="2456"/>
      <c r="T42" s="2399"/>
      <c r="U42" s="2397"/>
      <c r="V42" s="2396"/>
      <c r="W42" s="205" t="s">
        <v>211</v>
      </c>
      <c r="X42" s="228">
        <f>10748000+11652000</f>
        <v>22400000</v>
      </c>
      <c r="Y42" s="199">
        <v>8900000</v>
      </c>
      <c r="Z42" s="199">
        <v>8900000</v>
      </c>
      <c r="AA42" s="199">
        <v>8900000</v>
      </c>
      <c r="AB42" s="226" t="s">
        <v>205</v>
      </c>
      <c r="AC42" s="67">
        <v>20</v>
      </c>
      <c r="AD42" s="201" t="s">
        <v>154</v>
      </c>
      <c r="AE42" s="2266"/>
      <c r="AF42" s="2266"/>
      <c r="AG42" s="2266"/>
      <c r="AH42" s="2266"/>
      <c r="AI42" s="2266"/>
      <c r="AJ42" s="2266"/>
      <c r="AK42" s="2266"/>
      <c r="AL42" s="2266"/>
      <c r="AM42" s="2266"/>
      <c r="AN42" s="2266"/>
      <c r="AO42" s="2266"/>
      <c r="AP42" s="2266"/>
      <c r="AQ42" s="2266"/>
      <c r="AR42" s="2266"/>
      <c r="AS42" s="2266"/>
      <c r="AT42" s="2266"/>
      <c r="AU42" s="2266"/>
      <c r="AV42" s="2266"/>
      <c r="AW42" s="2266"/>
      <c r="AX42" s="2266"/>
      <c r="AY42" s="2266"/>
      <c r="AZ42" s="2266"/>
      <c r="BA42" s="2266"/>
      <c r="BB42" s="2266"/>
      <c r="BC42" s="2266"/>
      <c r="BD42" s="2266"/>
      <c r="BE42" s="2266"/>
      <c r="BF42" s="2266"/>
      <c r="BG42" s="2266"/>
      <c r="BH42" s="2266"/>
      <c r="BI42" s="2266"/>
      <c r="BJ42" s="2266"/>
      <c r="BK42" s="2266"/>
      <c r="BL42" s="2452"/>
      <c r="BM42" s="2452"/>
      <c r="BN42" s="2455"/>
      <c r="BO42" s="2266"/>
      <c r="BP42" s="2266"/>
      <c r="BQ42" s="2447"/>
      <c r="BR42" s="2266"/>
      <c r="BS42" s="2447"/>
      <c r="BT42" s="2266"/>
      <c r="BU42" s="2447"/>
      <c r="BV42" s="2449"/>
    </row>
    <row r="43" spans="1:74" ht="138.75" customHeight="1" x14ac:dyDescent="0.2">
      <c r="A43" s="229"/>
      <c r="C43" s="230"/>
      <c r="D43" s="231"/>
      <c r="F43" s="231"/>
      <c r="G43" s="2294" t="s">
        <v>74</v>
      </c>
      <c r="H43" s="2397" t="s">
        <v>212</v>
      </c>
      <c r="I43" s="2294">
        <v>4599025</v>
      </c>
      <c r="J43" s="2397" t="s">
        <v>213</v>
      </c>
      <c r="K43" s="2294" t="s">
        <v>74</v>
      </c>
      <c r="L43" s="2397" t="s">
        <v>214</v>
      </c>
      <c r="M43" s="2294">
        <v>459902500</v>
      </c>
      <c r="N43" s="2397" t="s">
        <v>215</v>
      </c>
      <c r="O43" s="2294">
        <v>1</v>
      </c>
      <c r="P43" s="2294">
        <v>0.5</v>
      </c>
      <c r="Q43" s="2294" t="s">
        <v>216</v>
      </c>
      <c r="R43" s="2397" t="s">
        <v>217</v>
      </c>
      <c r="S43" s="2443">
        <f>SUM(X43:X45)/T43</f>
        <v>1</v>
      </c>
      <c r="T43" s="2413">
        <f>SUM(X43:X45)</f>
        <v>72000000</v>
      </c>
      <c r="U43" s="2397" t="s">
        <v>218</v>
      </c>
      <c r="V43" s="2396" t="s">
        <v>219</v>
      </c>
      <c r="W43" s="205" t="s">
        <v>220</v>
      </c>
      <c r="X43" s="232">
        <v>30000000</v>
      </c>
      <c r="Y43" s="233">
        <v>11540000</v>
      </c>
      <c r="Z43" s="199">
        <v>8655000</v>
      </c>
      <c r="AA43" s="199">
        <f t="shared" ref="AA43:AA45" si="0">Z43</f>
        <v>8655000</v>
      </c>
      <c r="AB43" s="226" t="s">
        <v>221</v>
      </c>
      <c r="AC43" s="67">
        <v>20</v>
      </c>
      <c r="AD43" s="201" t="s">
        <v>154</v>
      </c>
      <c r="AE43" s="2386">
        <v>295972</v>
      </c>
      <c r="AF43" s="2386">
        <v>295972</v>
      </c>
      <c r="AG43" s="2417">
        <v>285580</v>
      </c>
      <c r="AH43" s="2417">
        <v>285580</v>
      </c>
      <c r="AI43" s="2417">
        <v>135545</v>
      </c>
      <c r="AJ43" s="2417">
        <v>135545</v>
      </c>
      <c r="AK43" s="2417">
        <v>44254</v>
      </c>
      <c r="AL43" s="2417">
        <v>44254</v>
      </c>
      <c r="AM43" s="2417">
        <v>309146</v>
      </c>
      <c r="AN43" s="2417">
        <v>309146</v>
      </c>
      <c r="AO43" s="2417">
        <v>92607</v>
      </c>
      <c r="AP43" s="2417">
        <v>92607</v>
      </c>
      <c r="AQ43" s="2417">
        <v>2145</v>
      </c>
      <c r="AR43" s="2417">
        <v>2145</v>
      </c>
      <c r="AS43" s="2417">
        <v>12718</v>
      </c>
      <c r="AT43" s="2417">
        <v>12718</v>
      </c>
      <c r="AU43" s="2417">
        <v>26</v>
      </c>
      <c r="AV43" s="2417">
        <v>26</v>
      </c>
      <c r="AW43" s="2417">
        <v>37</v>
      </c>
      <c r="AX43" s="2417">
        <v>37</v>
      </c>
      <c r="AY43" s="2417">
        <v>0</v>
      </c>
      <c r="AZ43" s="2417">
        <v>0</v>
      </c>
      <c r="BA43" s="2417">
        <v>0</v>
      </c>
      <c r="BB43" s="2417">
        <v>0</v>
      </c>
      <c r="BC43" s="2417">
        <v>44350</v>
      </c>
      <c r="BD43" s="2417">
        <v>44350</v>
      </c>
      <c r="BE43" s="2417">
        <v>21944</v>
      </c>
      <c r="BF43" s="2417">
        <v>21944</v>
      </c>
      <c r="BG43" s="2417">
        <v>75687</v>
      </c>
      <c r="BH43" s="2417">
        <v>75687</v>
      </c>
      <c r="BI43" s="2417">
        <v>581552</v>
      </c>
      <c r="BJ43" s="2417">
        <v>581552</v>
      </c>
      <c r="BK43" s="2386">
        <v>2</v>
      </c>
      <c r="BL43" s="2393">
        <f>SUBTOTAL(9,Y43:Y45)</f>
        <v>23080000</v>
      </c>
      <c r="BM43" s="2393">
        <f>SUBTOTAL(9,Z43:Z45)</f>
        <v>20195000</v>
      </c>
      <c r="BN43" s="2389">
        <f>BM43/BL43</f>
        <v>0.875</v>
      </c>
      <c r="BO43" s="2386">
        <v>20</v>
      </c>
      <c r="BP43" s="2386" t="s">
        <v>187</v>
      </c>
      <c r="BQ43" s="2392" t="s">
        <v>206</v>
      </c>
      <c r="BR43" s="2416">
        <v>44197</v>
      </c>
      <c r="BS43" s="2383">
        <v>44243</v>
      </c>
      <c r="BT43" s="2416">
        <v>44561</v>
      </c>
      <c r="BU43" s="2386"/>
      <c r="BV43" s="2392" t="s">
        <v>155</v>
      </c>
    </row>
    <row r="44" spans="1:74" ht="64.5" customHeight="1" x14ac:dyDescent="0.2">
      <c r="A44" s="229"/>
      <c r="C44" s="230"/>
      <c r="D44" s="231"/>
      <c r="F44" s="231"/>
      <c r="G44" s="2294"/>
      <c r="H44" s="2397"/>
      <c r="I44" s="2294"/>
      <c r="J44" s="2397"/>
      <c r="K44" s="2294"/>
      <c r="L44" s="2397"/>
      <c r="M44" s="2294"/>
      <c r="N44" s="2397"/>
      <c r="O44" s="2294"/>
      <c r="P44" s="2294"/>
      <c r="Q44" s="2294"/>
      <c r="R44" s="2397"/>
      <c r="S44" s="2444"/>
      <c r="T44" s="2414"/>
      <c r="U44" s="2397"/>
      <c r="V44" s="2396"/>
      <c r="W44" s="64" t="s">
        <v>222</v>
      </c>
      <c r="X44" s="225">
        <v>30000000</v>
      </c>
      <c r="Y44" s="235">
        <v>11540000</v>
      </c>
      <c r="Z44" s="199">
        <v>11540000</v>
      </c>
      <c r="AA44" s="199">
        <f t="shared" si="0"/>
        <v>11540000</v>
      </c>
      <c r="AB44" s="226" t="s">
        <v>221</v>
      </c>
      <c r="AC44" s="67">
        <v>20</v>
      </c>
      <c r="AD44" s="201" t="s">
        <v>154</v>
      </c>
      <c r="AE44" s="2384"/>
      <c r="AF44" s="2384"/>
      <c r="AG44" s="2417"/>
      <c r="AH44" s="2417"/>
      <c r="AI44" s="2417"/>
      <c r="AJ44" s="2417"/>
      <c r="AK44" s="2417"/>
      <c r="AL44" s="2417"/>
      <c r="AM44" s="2417"/>
      <c r="AN44" s="2417"/>
      <c r="AO44" s="2417"/>
      <c r="AP44" s="2417"/>
      <c r="AQ44" s="2417"/>
      <c r="AR44" s="2417"/>
      <c r="AS44" s="2417"/>
      <c r="AT44" s="2417"/>
      <c r="AU44" s="2417"/>
      <c r="AV44" s="2417"/>
      <c r="AW44" s="2417"/>
      <c r="AX44" s="2417"/>
      <c r="AY44" s="2417"/>
      <c r="AZ44" s="2417"/>
      <c r="BA44" s="2417"/>
      <c r="BB44" s="2417"/>
      <c r="BC44" s="2417"/>
      <c r="BD44" s="2417"/>
      <c r="BE44" s="2417"/>
      <c r="BF44" s="2417"/>
      <c r="BG44" s="2417"/>
      <c r="BH44" s="2417"/>
      <c r="BI44" s="2417"/>
      <c r="BJ44" s="2417"/>
      <c r="BK44" s="2384"/>
      <c r="BL44" s="2394"/>
      <c r="BM44" s="2394"/>
      <c r="BN44" s="2390"/>
      <c r="BO44" s="2384"/>
      <c r="BP44" s="2384"/>
      <c r="BQ44" s="2384"/>
      <c r="BR44" s="2417"/>
      <c r="BS44" s="2384"/>
      <c r="BT44" s="2417"/>
      <c r="BU44" s="2384"/>
      <c r="BV44" s="2387"/>
    </row>
    <row r="45" spans="1:74" ht="87.75" customHeight="1" x14ac:dyDescent="0.2">
      <c r="A45" s="229"/>
      <c r="C45" s="230"/>
      <c r="D45" s="231"/>
      <c r="F45" s="231"/>
      <c r="G45" s="2294"/>
      <c r="H45" s="2397"/>
      <c r="I45" s="2294"/>
      <c r="J45" s="2397"/>
      <c r="K45" s="2294"/>
      <c r="L45" s="2425"/>
      <c r="M45" s="2438"/>
      <c r="N45" s="2425"/>
      <c r="O45" s="2294"/>
      <c r="P45" s="2294"/>
      <c r="Q45" s="2294"/>
      <c r="R45" s="2397"/>
      <c r="S45" s="2444"/>
      <c r="T45" s="2414"/>
      <c r="U45" s="2397"/>
      <c r="V45" s="2396"/>
      <c r="W45" s="205" t="s">
        <v>223</v>
      </c>
      <c r="X45" s="225">
        <v>12000000</v>
      </c>
      <c r="Y45" s="235">
        <v>0</v>
      </c>
      <c r="Z45" s="199">
        <v>0</v>
      </c>
      <c r="AA45" s="199">
        <f t="shared" si="0"/>
        <v>0</v>
      </c>
      <c r="AB45" s="226" t="s">
        <v>221</v>
      </c>
      <c r="AC45" s="67">
        <v>20</v>
      </c>
      <c r="AD45" s="201" t="s">
        <v>154</v>
      </c>
      <c r="AE45" s="2385"/>
      <c r="AF45" s="2385"/>
      <c r="AG45" s="2417"/>
      <c r="AH45" s="2417"/>
      <c r="AI45" s="2417"/>
      <c r="AJ45" s="2417"/>
      <c r="AK45" s="2417"/>
      <c r="AL45" s="2417"/>
      <c r="AM45" s="2417"/>
      <c r="AN45" s="2417"/>
      <c r="AO45" s="2417"/>
      <c r="AP45" s="2417"/>
      <c r="AQ45" s="2417"/>
      <c r="AR45" s="2417"/>
      <c r="AS45" s="2417"/>
      <c r="AT45" s="2417"/>
      <c r="AU45" s="2417"/>
      <c r="AV45" s="2417"/>
      <c r="AW45" s="2417"/>
      <c r="AX45" s="2417"/>
      <c r="AY45" s="2417"/>
      <c r="AZ45" s="2417"/>
      <c r="BA45" s="2417"/>
      <c r="BB45" s="2417"/>
      <c r="BC45" s="2417"/>
      <c r="BD45" s="2417"/>
      <c r="BE45" s="2417"/>
      <c r="BF45" s="2417"/>
      <c r="BG45" s="2417"/>
      <c r="BH45" s="2417"/>
      <c r="BI45" s="2417"/>
      <c r="BJ45" s="2417"/>
      <c r="BK45" s="2385"/>
      <c r="BL45" s="2395"/>
      <c r="BM45" s="2395"/>
      <c r="BN45" s="2391"/>
      <c r="BO45" s="2385"/>
      <c r="BP45" s="2385"/>
      <c r="BQ45" s="2385"/>
      <c r="BR45" s="2417"/>
      <c r="BS45" s="2385"/>
      <c r="BT45" s="2417"/>
      <c r="BU45" s="2385"/>
      <c r="BV45" s="2388"/>
    </row>
    <row r="46" spans="1:74" ht="99" customHeight="1" x14ac:dyDescent="0.2">
      <c r="A46" s="229"/>
      <c r="C46" s="230"/>
      <c r="D46" s="231"/>
      <c r="F46" s="231"/>
      <c r="G46" s="2440" t="s">
        <v>74</v>
      </c>
      <c r="H46" s="2281" t="s">
        <v>224</v>
      </c>
      <c r="I46" s="2431">
        <v>4599025</v>
      </c>
      <c r="J46" s="2281" t="s">
        <v>213</v>
      </c>
      <c r="K46" s="2431" t="s">
        <v>74</v>
      </c>
      <c r="L46" s="2281" t="s">
        <v>225</v>
      </c>
      <c r="M46" s="2431">
        <v>459902500</v>
      </c>
      <c r="N46" s="2281" t="s">
        <v>215</v>
      </c>
      <c r="O46" s="2435">
        <v>1</v>
      </c>
      <c r="P46" s="2435">
        <v>0.5</v>
      </c>
      <c r="Q46" s="2438" t="s">
        <v>226</v>
      </c>
      <c r="R46" s="2425" t="s">
        <v>227</v>
      </c>
      <c r="S46" s="2420">
        <f>SUM(X46:X57)/T46</f>
        <v>1</v>
      </c>
      <c r="T46" s="2423">
        <f>SUM(X46:X57)</f>
        <v>280000000</v>
      </c>
      <c r="U46" s="2425" t="s">
        <v>228</v>
      </c>
      <c r="V46" s="2428" t="s">
        <v>229</v>
      </c>
      <c r="W46" s="64" t="s">
        <v>230</v>
      </c>
      <c r="X46" s="209">
        <f>40321000+15119000</f>
        <v>55440000</v>
      </c>
      <c r="Y46" s="199">
        <v>45360000</v>
      </c>
      <c r="Z46" s="199">
        <v>28980000</v>
      </c>
      <c r="AA46" s="199">
        <v>28980000</v>
      </c>
      <c r="AB46" s="210" t="s">
        <v>231</v>
      </c>
      <c r="AC46" s="67">
        <v>20</v>
      </c>
      <c r="AD46" s="201" t="s">
        <v>154</v>
      </c>
      <c r="AE46" s="2386">
        <v>295972</v>
      </c>
      <c r="AF46" s="2386">
        <v>295972</v>
      </c>
      <c r="AG46" s="2386">
        <v>285580</v>
      </c>
      <c r="AH46" s="2386">
        <v>285580</v>
      </c>
      <c r="AI46" s="2386">
        <v>135545</v>
      </c>
      <c r="AJ46" s="2386">
        <v>135545</v>
      </c>
      <c r="AK46" s="2386">
        <v>44254</v>
      </c>
      <c r="AL46" s="2386">
        <v>44254</v>
      </c>
      <c r="AM46" s="2386">
        <v>309146</v>
      </c>
      <c r="AN46" s="2386">
        <v>309146</v>
      </c>
      <c r="AO46" s="2386">
        <v>92607</v>
      </c>
      <c r="AP46" s="2386">
        <v>92607</v>
      </c>
      <c r="AQ46" s="2417">
        <v>2145</v>
      </c>
      <c r="AR46" s="2417">
        <v>2145</v>
      </c>
      <c r="AS46" s="2417">
        <v>12718</v>
      </c>
      <c r="AT46" s="2417">
        <v>12718</v>
      </c>
      <c r="AU46" s="2417">
        <v>26</v>
      </c>
      <c r="AV46" s="2417">
        <v>26</v>
      </c>
      <c r="AW46" s="2417">
        <v>37</v>
      </c>
      <c r="AX46" s="2417">
        <v>37</v>
      </c>
      <c r="AY46" s="2417">
        <v>0</v>
      </c>
      <c r="AZ46" s="2417">
        <v>0</v>
      </c>
      <c r="BA46" s="2417">
        <v>0</v>
      </c>
      <c r="BB46" s="2417">
        <v>0</v>
      </c>
      <c r="BC46" s="2417">
        <v>44350</v>
      </c>
      <c r="BD46" s="2417">
        <v>44350</v>
      </c>
      <c r="BE46" s="2417">
        <v>21944</v>
      </c>
      <c r="BF46" s="2417">
        <v>21944</v>
      </c>
      <c r="BG46" s="2417">
        <v>75687</v>
      </c>
      <c r="BH46" s="2417">
        <v>75687</v>
      </c>
      <c r="BI46" s="2417">
        <v>581552</v>
      </c>
      <c r="BJ46" s="2417">
        <v>581552</v>
      </c>
      <c r="BK46" s="2417">
        <v>14</v>
      </c>
      <c r="BL46" s="2418">
        <f>SUBTOTAL(9,Y46:Y57)</f>
        <v>180975000</v>
      </c>
      <c r="BM46" s="2418">
        <f>SUBTOTAL(9,Z46:Z57)</f>
        <v>115135000</v>
      </c>
      <c r="BN46" s="2419">
        <f>BM46/BL46</f>
        <v>0.63619284431551315</v>
      </c>
      <c r="BO46" s="2417">
        <v>20</v>
      </c>
      <c r="BP46" s="2417" t="s">
        <v>187</v>
      </c>
      <c r="BQ46" s="2254" t="s">
        <v>232</v>
      </c>
      <c r="BR46" s="2416">
        <v>44197</v>
      </c>
      <c r="BS46" s="2416">
        <v>44228</v>
      </c>
      <c r="BT46" s="2416">
        <v>44561</v>
      </c>
      <c r="BU46" s="2417"/>
      <c r="BV46" s="2254" t="s">
        <v>155</v>
      </c>
    </row>
    <row r="47" spans="1:74" ht="96.75" customHeight="1" x14ac:dyDescent="0.2">
      <c r="A47" s="229"/>
      <c r="C47" s="230"/>
      <c r="D47" s="231"/>
      <c r="F47" s="231"/>
      <c r="G47" s="2441"/>
      <c r="H47" s="2282"/>
      <c r="I47" s="2432"/>
      <c r="J47" s="2282"/>
      <c r="K47" s="2432"/>
      <c r="L47" s="2282"/>
      <c r="M47" s="2432"/>
      <c r="N47" s="2282"/>
      <c r="O47" s="2436"/>
      <c r="P47" s="2436"/>
      <c r="Q47" s="2267"/>
      <c r="R47" s="2426"/>
      <c r="S47" s="2421"/>
      <c r="T47" s="2424"/>
      <c r="U47" s="2426"/>
      <c r="V47" s="2429"/>
      <c r="W47" s="64" t="s">
        <v>233</v>
      </c>
      <c r="X47" s="237">
        <v>34650999</v>
      </c>
      <c r="Y47" s="199">
        <v>27723335</v>
      </c>
      <c r="Z47" s="199">
        <v>17485835</v>
      </c>
      <c r="AA47" s="199">
        <v>17485835</v>
      </c>
      <c r="AB47" s="210" t="s">
        <v>231</v>
      </c>
      <c r="AC47" s="67">
        <v>20</v>
      </c>
      <c r="AD47" s="201" t="s">
        <v>154</v>
      </c>
      <c r="AE47" s="2384"/>
      <c r="AF47" s="2384"/>
      <c r="AG47" s="2384"/>
      <c r="AH47" s="2384"/>
      <c r="AI47" s="2384"/>
      <c r="AJ47" s="2384"/>
      <c r="AK47" s="2384"/>
      <c r="AL47" s="2384"/>
      <c r="AM47" s="2384"/>
      <c r="AN47" s="2384"/>
      <c r="AO47" s="2384"/>
      <c r="AP47" s="2384"/>
      <c r="AQ47" s="2417"/>
      <c r="AR47" s="2417"/>
      <c r="AS47" s="2417"/>
      <c r="AT47" s="2417"/>
      <c r="AU47" s="2417"/>
      <c r="AV47" s="2417"/>
      <c r="AW47" s="2417"/>
      <c r="AX47" s="2417"/>
      <c r="AY47" s="2417"/>
      <c r="AZ47" s="2417"/>
      <c r="BA47" s="2417"/>
      <c r="BB47" s="2417"/>
      <c r="BC47" s="2417"/>
      <c r="BD47" s="2417"/>
      <c r="BE47" s="2417"/>
      <c r="BF47" s="2417"/>
      <c r="BG47" s="2417"/>
      <c r="BH47" s="2417"/>
      <c r="BI47" s="2417"/>
      <c r="BJ47" s="2417"/>
      <c r="BK47" s="2417"/>
      <c r="BL47" s="2418"/>
      <c r="BM47" s="2418"/>
      <c r="BN47" s="2419"/>
      <c r="BO47" s="2417"/>
      <c r="BP47" s="2417"/>
      <c r="BQ47" s="2254"/>
      <c r="BR47" s="2416"/>
      <c r="BS47" s="2416"/>
      <c r="BT47" s="2416"/>
      <c r="BU47" s="2417"/>
      <c r="BV47" s="2254"/>
    </row>
    <row r="48" spans="1:74" ht="85.5" customHeight="1" x14ac:dyDescent="0.2">
      <c r="A48" s="229"/>
      <c r="C48" s="230"/>
      <c r="D48" s="231"/>
      <c r="F48" s="231"/>
      <c r="G48" s="2441"/>
      <c r="H48" s="2282"/>
      <c r="I48" s="2432"/>
      <c r="J48" s="2282"/>
      <c r="K48" s="2432"/>
      <c r="L48" s="2282"/>
      <c r="M48" s="2432"/>
      <c r="N48" s="2282"/>
      <c r="O48" s="2436"/>
      <c r="P48" s="2436"/>
      <c r="Q48" s="2267"/>
      <c r="R48" s="2426"/>
      <c r="S48" s="2421"/>
      <c r="T48" s="2424"/>
      <c r="U48" s="2426"/>
      <c r="V48" s="2429"/>
      <c r="W48" s="64" t="s">
        <v>234</v>
      </c>
      <c r="X48" s="237">
        <f>73041890-14137140</f>
        <v>58904750</v>
      </c>
      <c r="Y48" s="199">
        <v>39856665</v>
      </c>
      <c r="Z48" s="199">
        <v>25789165</v>
      </c>
      <c r="AA48" s="199">
        <v>25789165</v>
      </c>
      <c r="AB48" s="210" t="s">
        <v>231</v>
      </c>
      <c r="AC48" s="67">
        <v>20</v>
      </c>
      <c r="AD48" s="201" t="s">
        <v>154</v>
      </c>
      <c r="AE48" s="2384"/>
      <c r="AF48" s="2384"/>
      <c r="AG48" s="2384"/>
      <c r="AH48" s="2384"/>
      <c r="AI48" s="2384"/>
      <c r="AJ48" s="2384"/>
      <c r="AK48" s="2384"/>
      <c r="AL48" s="2384"/>
      <c r="AM48" s="2384"/>
      <c r="AN48" s="2384"/>
      <c r="AO48" s="2384"/>
      <c r="AP48" s="2384"/>
      <c r="AQ48" s="2417"/>
      <c r="AR48" s="2417"/>
      <c r="AS48" s="2417"/>
      <c r="AT48" s="2417"/>
      <c r="AU48" s="2417"/>
      <c r="AV48" s="2417"/>
      <c r="AW48" s="2417"/>
      <c r="AX48" s="2417"/>
      <c r="AY48" s="2417"/>
      <c r="AZ48" s="2417"/>
      <c r="BA48" s="2417"/>
      <c r="BB48" s="2417"/>
      <c r="BC48" s="2417"/>
      <c r="BD48" s="2417"/>
      <c r="BE48" s="2417"/>
      <c r="BF48" s="2417"/>
      <c r="BG48" s="2417"/>
      <c r="BH48" s="2417"/>
      <c r="BI48" s="2417"/>
      <c r="BJ48" s="2417"/>
      <c r="BK48" s="2417"/>
      <c r="BL48" s="2418"/>
      <c r="BM48" s="2418"/>
      <c r="BN48" s="2419"/>
      <c r="BO48" s="2417"/>
      <c r="BP48" s="2417"/>
      <c r="BQ48" s="2254"/>
      <c r="BR48" s="2416"/>
      <c r="BS48" s="2416"/>
      <c r="BT48" s="2416"/>
      <c r="BU48" s="2417"/>
      <c r="BV48" s="2254"/>
    </row>
    <row r="49" spans="1:74" ht="131.25" customHeight="1" x14ac:dyDescent="0.2">
      <c r="A49" s="229"/>
      <c r="C49" s="230"/>
      <c r="D49" s="231"/>
      <c r="F49" s="231"/>
      <c r="G49" s="2441"/>
      <c r="H49" s="2282"/>
      <c r="I49" s="2432"/>
      <c r="J49" s="2282"/>
      <c r="K49" s="2432"/>
      <c r="L49" s="2282"/>
      <c r="M49" s="2432"/>
      <c r="N49" s="2282"/>
      <c r="O49" s="2436"/>
      <c r="P49" s="2436"/>
      <c r="Q49" s="2267"/>
      <c r="R49" s="2426"/>
      <c r="S49" s="2421"/>
      <c r="T49" s="2424"/>
      <c r="U49" s="2426"/>
      <c r="V49" s="2429"/>
      <c r="W49" s="64" t="s">
        <v>235</v>
      </c>
      <c r="X49" s="238">
        <f>25952111-25952111</f>
        <v>0</v>
      </c>
      <c r="Y49" s="199">
        <v>0</v>
      </c>
      <c r="Z49" s="199">
        <v>0</v>
      </c>
      <c r="AA49" s="199">
        <v>0</v>
      </c>
      <c r="AB49" s="210" t="s">
        <v>231</v>
      </c>
      <c r="AC49" s="67">
        <v>20</v>
      </c>
      <c r="AD49" s="201" t="s">
        <v>154</v>
      </c>
      <c r="AE49" s="2384"/>
      <c r="AF49" s="2384"/>
      <c r="AG49" s="2384"/>
      <c r="AH49" s="2384"/>
      <c r="AI49" s="2384"/>
      <c r="AJ49" s="2384"/>
      <c r="AK49" s="2384"/>
      <c r="AL49" s="2384"/>
      <c r="AM49" s="2384"/>
      <c r="AN49" s="2384"/>
      <c r="AO49" s="2384"/>
      <c r="AP49" s="2384"/>
      <c r="AQ49" s="2417"/>
      <c r="AR49" s="2417"/>
      <c r="AS49" s="2417"/>
      <c r="AT49" s="2417"/>
      <c r="AU49" s="2417"/>
      <c r="AV49" s="2417"/>
      <c r="AW49" s="2417"/>
      <c r="AX49" s="2417"/>
      <c r="AY49" s="2417"/>
      <c r="AZ49" s="2417"/>
      <c r="BA49" s="2417"/>
      <c r="BB49" s="2417"/>
      <c r="BC49" s="2417"/>
      <c r="BD49" s="2417"/>
      <c r="BE49" s="2417"/>
      <c r="BF49" s="2417"/>
      <c r="BG49" s="2417"/>
      <c r="BH49" s="2417"/>
      <c r="BI49" s="2417"/>
      <c r="BJ49" s="2417"/>
      <c r="BK49" s="2417"/>
      <c r="BL49" s="2418"/>
      <c r="BM49" s="2418"/>
      <c r="BN49" s="2419"/>
      <c r="BO49" s="2417"/>
      <c r="BP49" s="2417"/>
      <c r="BQ49" s="2254"/>
      <c r="BR49" s="2416"/>
      <c r="BS49" s="2416"/>
      <c r="BT49" s="2416"/>
      <c r="BU49" s="2417"/>
      <c r="BV49" s="2254"/>
    </row>
    <row r="50" spans="1:74" ht="135" customHeight="1" x14ac:dyDescent="0.2">
      <c r="A50" s="229"/>
      <c r="C50" s="230"/>
      <c r="D50" s="231"/>
      <c r="F50" s="231"/>
      <c r="G50" s="2441"/>
      <c r="H50" s="2282"/>
      <c r="I50" s="2432"/>
      <c r="J50" s="2282"/>
      <c r="K50" s="2432"/>
      <c r="L50" s="2282"/>
      <c r="M50" s="2432"/>
      <c r="N50" s="2282"/>
      <c r="O50" s="2436"/>
      <c r="P50" s="2436"/>
      <c r="Q50" s="2267"/>
      <c r="R50" s="2426"/>
      <c r="S50" s="2421"/>
      <c r="T50" s="2424"/>
      <c r="U50" s="2426"/>
      <c r="V50" s="2429"/>
      <c r="W50" s="64" t="s">
        <v>236</v>
      </c>
      <c r="X50" s="237">
        <v>25965000</v>
      </c>
      <c r="Y50" s="199">
        <v>15543190.85</v>
      </c>
      <c r="Z50" s="199">
        <v>8582875</v>
      </c>
      <c r="AA50" s="199">
        <v>8582875</v>
      </c>
      <c r="AB50" s="210" t="s">
        <v>231</v>
      </c>
      <c r="AC50" s="67">
        <v>20</v>
      </c>
      <c r="AD50" s="201" t="s">
        <v>154</v>
      </c>
      <c r="AE50" s="2384"/>
      <c r="AF50" s="2384"/>
      <c r="AG50" s="2384"/>
      <c r="AH50" s="2384"/>
      <c r="AI50" s="2384"/>
      <c r="AJ50" s="2384"/>
      <c r="AK50" s="2384"/>
      <c r="AL50" s="2384"/>
      <c r="AM50" s="2384"/>
      <c r="AN50" s="2384"/>
      <c r="AO50" s="2384"/>
      <c r="AP50" s="2384"/>
      <c r="AQ50" s="2417"/>
      <c r="AR50" s="2417"/>
      <c r="AS50" s="2417"/>
      <c r="AT50" s="2417"/>
      <c r="AU50" s="2417"/>
      <c r="AV50" s="2417"/>
      <c r="AW50" s="2417"/>
      <c r="AX50" s="2417"/>
      <c r="AY50" s="2417"/>
      <c r="AZ50" s="2417"/>
      <c r="BA50" s="2417"/>
      <c r="BB50" s="2417"/>
      <c r="BC50" s="2417"/>
      <c r="BD50" s="2417"/>
      <c r="BE50" s="2417"/>
      <c r="BF50" s="2417"/>
      <c r="BG50" s="2417"/>
      <c r="BH50" s="2417"/>
      <c r="BI50" s="2417"/>
      <c r="BJ50" s="2417"/>
      <c r="BK50" s="2417"/>
      <c r="BL50" s="2418"/>
      <c r="BM50" s="2418"/>
      <c r="BN50" s="2419"/>
      <c r="BO50" s="2417"/>
      <c r="BP50" s="2417"/>
      <c r="BQ50" s="2254"/>
      <c r="BR50" s="2416"/>
      <c r="BS50" s="2416"/>
      <c r="BT50" s="2416"/>
      <c r="BU50" s="2417"/>
      <c r="BV50" s="2254"/>
    </row>
    <row r="51" spans="1:74" ht="95.25" customHeight="1" x14ac:dyDescent="0.2">
      <c r="A51" s="229"/>
      <c r="C51" s="230"/>
      <c r="D51" s="231"/>
      <c r="F51" s="231"/>
      <c r="G51" s="2441"/>
      <c r="H51" s="2282"/>
      <c r="I51" s="2432"/>
      <c r="J51" s="2282"/>
      <c r="K51" s="2432"/>
      <c r="L51" s="2282"/>
      <c r="M51" s="2432"/>
      <c r="N51" s="2282"/>
      <c r="O51" s="2436"/>
      <c r="P51" s="2436"/>
      <c r="Q51" s="2267"/>
      <c r="R51" s="2426"/>
      <c r="S51" s="2421"/>
      <c r="T51" s="2424"/>
      <c r="U51" s="2426"/>
      <c r="V51" s="2429"/>
      <c r="W51" s="64" t="s">
        <v>237</v>
      </c>
      <c r="X51" s="237">
        <v>25965000</v>
      </c>
      <c r="Y51" s="199">
        <v>15543190.390000001</v>
      </c>
      <c r="Z51" s="199">
        <v>8582875</v>
      </c>
      <c r="AA51" s="199">
        <v>8582875</v>
      </c>
      <c r="AB51" s="210" t="s">
        <v>231</v>
      </c>
      <c r="AC51" s="67">
        <v>20</v>
      </c>
      <c r="AD51" s="201" t="s">
        <v>154</v>
      </c>
      <c r="AE51" s="2384"/>
      <c r="AF51" s="2384"/>
      <c r="AG51" s="2384"/>
      <c r="AH51" s="2384"/>
      <c r="AI51" s="2384"/>
      <c r="AJ51" s="2384"/>
      <c r="AK51" s="2384"/>
      <c r="AL51" s="2384"/>
      <c r="AM51" s="2384"/>
      <c r="AN51" s="2384"/>
      <c r="AO51" s="2384"/>
      <c r="AP51" s="2384"/>
      <c r="AQ51" s="2417"/>
      <c r="AR51" s="2417"/>
      <c r="AS51" s="2417"/>
      <c r="AT51" s="2417"/>
      <c r="AU51" s="2417"/>
      <c r="AV51" s="2417"/>
      <c r="AW51" s="2417"/>
      <c r="AX51" s="2417"/>
      <c r="AY51" s="2417"/>
      <c r="AZ51" s="2417"/>
      <c r="BA51" s="2417"/>
      <c r="BB51" s="2417"/>
      <c r="BC51" s="2417"/>
      <c r="BD51" s="2417"/>
      <c r="BE51" s="2417"/>
      <c r="BF51" s="2417"/>
      <c r="BG51" s="2417"/>
      <c r="BH51" s="2417"/>
      <c r="BI51" s="2417"/>
      <c r="BJ51" s="2417"/>
      <c r="BK51" s="2417"/>
      <c r="BL51" s="2418"/>
      <c r="BM51" s="2418"/>
      <c r="BN51" s="2419"/>
      <c r="BO51" s="2417"/>
      <c r="BP51" s="2417"/>
      <c r="BQ51" s="2254"/>
      <c r="BR51" s="2416"/>
      <c r="BS51" s="2416"/>
      <c r="BT51" s="2416"/>
      <c r="BU51" s="2417"/>
      <c r="BV51" s="2254"/>
    </row>
    <row r="52" spans="1:74" ht="80.25" customHeight="1" x14ac:dyDescent="0.2">
      <c r="A52" s="229"/>
      <c r="C52" s="230"/>
      <c r="D52" s="231"/>
      <c r="F52" s="231"/>
      <c r="G52" s="2441"/>
      <c r="H52" s="2282"/>
      <c r="I52" s="2432"/>
      <c r="J52" s="2282"/>
      <c r="K52" s="2432"/>
      <c r="L52" s="2282"/>
      <c r="M52" s="2432"/>
      <c r="N52" s="2282"/>
      <c r="O52" s="2436"/>
      <c r="P52" s="2436"/>
      <c r="Q52" s="2267"/>
      <c r="R52" s="2426"/>
      <c r="S52" s="2421"/>
      <c r="T52" s="2424"/>
      <c r="U52" s="2426"/>
      <c r="V52" s="2429"/>
      <c r="W52" s="64" t="s">
        <v>238</v>
      </c>
      <c r="X52" s="237">
        <v>34620000</v>
      </c>
      <c r="Y52" s="199">
        <v>20663726.759999998</v>
      </c>
      <c r="Z52" s="199">
        <v>11443833</v>
      </c>
      <c r="AA52" s="199">
        <v>11443833</v>
      </c>
      <c r="AB52" s="210" t="s">
        <v>231</v>
      </c>
      <c r="AC52" s="67">
        <v>20</v>
      </c>
      <c r="AD52" s="201" t="s">
        <v>154</v>
      </c>
      <c r="AE52" s="2384"/>
      <c r="AF52" s="2384"/>
      <c r="AG52" s="2384"/>
      <c r="AH52" s="2384"/>
      <c r="AI52" s="2384"/>
      <c r="AJ52" s="2384"/>
      <c r="AK52" s="2384"/>
      <c r="AL52" s="2384"/>
      <c r="AM52" s="2384"/>
      <c r="AN52" s="2384"/>
      <c r="AO52" s="2384"/>
      <c r="AP52" s="2384"/>
      <c r="AQ52" s="2417"/>
      <c r="AR52" s="2417"/>
      <c r="AS52" s="2417"/>
      <c r="AT52" s="2417"/>
      <c r="AU52" s="2417"/>
      <c r="AV52" s="2417"/>
      <c r="AW52" s="2417"/>
      <c r="AX52" s="2417"/>
      <c r="AY52" s="2417"/>
      <c r="AZ52" s="2417"/>
      <c r="BA52" s="2417"/>
      <c r="BB52" s="2417"/>
      <c r="BC52" s="2417"/>
      <c r="BD52" s="2417"/>
      <c r="BE52" s="2417"/>
      <c r="BF52" s="2417"/>
      <c r="BG52" s="2417"/>
      <c r="BH52" s="2417"/>
      <c r="BI52" s="2417"/>
      <c r="BJ52" s="2417"/>
      <c r="BK52" s="2417"/>
      <c r="BL52" s="2418"/>
      <c r="BM52" s="2418"/>
      <c r="BN52" s="2419"/>
      <c r="BO52" s="2417"/>
      <c r="BP52" s="2417"/>
      <c r="BQ52" s="2254"/>
      <c r="BR52" s="2416"/>
      <c r="BS52" s="2416"/>
      <c r="BT52" s="2416"/>
      <c r="BU52" s="2417"/>
      <c r="BV52" s="2254"/>
    </row>
    <row r="53" spans="1:74" ht="105" customHeight="1" x14ac:dyDescent="0.2">
      <c r="A53" s="229"/>
      <c r="C53" s="230"/>
      <c r="D53" s="231"/>
      <c r="F53" s="231"/>
      <c r="G53" s="2441"/>
      <c r="H53" s="2282"/>
      <c r="I53" s="2432"/>
      <c r="J53" s="2282"/>
      <c r="K53" s="2432"/>
      <c r="L53" s="2282"/>
      <c r="M53" s="2432"/>
      <c r="N53" s="2282"/>
      <c r="O53" s="2436"/>
      <c r="P53" s="2436"/>
      <c r="Q53" s="2267"/>
      <c r="R53" s="2426"/>
      <c r="S53" s="2421"/>
      <c r="T53" s="2424"/>
      <c r="U53" s="2426"/>
      <c r="V53" s="2429"/>
      <c r="W53" s="64" t="s">
        <v>239</v>
      </c>
      <c r="X53" s="237">
        <f>1660000+1660000</f>
        <v>3320000</v>
      </c>
      <c r="Y53" s="199">
        <v>2844475</v>
      </c>
      <c r="Z53" s="199">
        <v>830000</v>
      </c>
      <c r="AA53" s="199">
        <v>830000</v>
      </c>
      <c r="AB53" s="210" t="s">
        <v>231</v>
      </c>
      <c r="AC53" s="67">
        <v>20</v>
      </c>
      <c r="AD53" s="201" t="s">
        <v>154</v>
      </c>
      <c r="AE53" s="2384"/>
      <c r="AF53" s="2384"/>
      <c r="AG53" s="2384"/>
      <c r="AH53" s="2384"/>
      <c r="AI53" s="2384"/>
      <c r="AJ53" s="2384"/>
      <c r="AK53" s="2384"/>
      <c r="AL53" s="2384"/>
      <c r="AM53" s="2384"/>
      <c r="AN53" s="2384"/>
      <c r="AO53" s="2384"/>
      <c r="AP53" s="2384"/>
      <c r="AQ53" s="2417"/>
      <c r="AR53" s="2417"/>
      <c r="AS53" s="2417"/>
      <c r="AT53" s="2417"/>
      <c r="AU53" s="2417"/>
      <c r="AV53" s="2417"/>
      <c r="AW53" s="2417"/>
      <c r="AX53" s="2417"/>
      <c r="AY53" s="2417"/>
      <c r="AZ53" s="2417"/>
      <c r="BA53" s="2417"/>
      <c r="BB53" s="2417"/>
      <c r="BC53" s="2417"/>
      <c r="BD53" s="2417"/>
      <c r="BE53" s="2417"/>
      <c r="BF53" s="2417"/>
      <c r="BG53" s="2417"/>
      <c r="BH53" s="2417"/>
      <c r="BI53" s="2417"/>
      <c r="BJ53" s="2417"/>
      <c r="BK53" s="2417"/>
      <c r="BL53" s="2418"/>
      <c r="BM53" s="2418"/>
      <c r="BN53" s="2419"/>
      <c r="BO53" s="2417"/>
      <c r="BP53" s="2417"/>
      <c r="BQ53" s="2254"/>
      <c r="BR53" s="2416"/>
      <c r="BS53" s="2416"/>
      <c r="BT53" s="2416"/>
      <c r="BU53" s="2417"/>
      <c r="BV53" s="2254"/>
    </row>
    <row r="54" spans="1:74" ht="148.5" customHeight="1" x14ac:dyDescent="0.2">
      <c r="A54" s="229"/>
      <c r="C54" s="230"/>
      <c r="D54" s="231"/>
      <c r="F54" s="231"/>
      <c r="G54" s="2441"/>
      <c r="H54" s="2282"/>
      <c r="I54" s="2432"/>
      <c r="J54" s="2282"/>
      <c r="K54" s="2432"/>
      <c r="L54" s="2282"/>
      <c r="M54" s="2432"/>
      <c r="N54" s="2282"/>
      <c r="O54" s="2436"/>
      <c r="P54" s="2436"/>
      <c r="Q54" s="2267"/>
      <c r="R54" s="2426"/>
      <c r="S54" s="2421"/>
      <c r="T54" s="2424"/>
      <c r="U54" s="2426"/>
      <c r="V54" s="2429"/>
      <c r="W54" s="64" t="s">
        <v>240</v>
      </c>
      <c r="X54" s="237">
        <f>9120000+8512000-7904000</f>
        <v>9728000</v>
      </c>
      <c r="Y54" s="199">
        <v>0</v>
      </c>
      <c r="Z54" s="199">
        <v>0</v>
      </c>
      <c r="AA54" s="199">
        <v>0</v>
      </c>
      <c r="AB54" s="210" t="s">
        <v>231</v>
      </c>
      <c r="AC54" s="67">
        <v>20</v>
      </c>
      <c r="AD54" s="201" t="s">
        <v>154</v>
      </c>
      <c r="AE54" s="2384"/>
      <c r="AF54" s="2384"/>
      <c r="AG54" s="2384"/>
      <c r="AH54" s="2384"/>
      <c r="AI54" s="2384"/>
      <c r="AJ54" s="2384"/>
      <c r="AK54" s="2384"/>
      <c r="AL54" s="2384"/>
      <c r="AM54" s="2384"/>
      <c r="AN54" s="2384"/>
      <c r="AO54" s="2384"/>
      <c r="AP54" s="2384"/>
      <c r="AQ54" s="2417"/>
      <c r="AR54" s="2417"/>
      <c r="AS54" s="2417"/>
      <c r="AT54" s="2417"/>
      <c r="AU54" s="2417"/>
      <c r="AV54" s="2417"/>
      <c r="AW54" s="2417"/>
      <c r="AX54" s="2417"/>
      <c r="AY54" s="2417"/>
      <c r="AZ54" s="2417"/>
      <c r="BA54" s="2417"/>
      <c r="BB54" s="2417"/>
      <c r="BC54" s="2417"/>
      <c r="BD54" s="2417"/>
      <c r="BE54" s="2417"/>
      <c r="BF54" s="2417"/>
      <c r="BG54" s="2417"/>
      <c r="BH54" s="2417"/>
      <c r="BI54" s="2417"/>
      <c r="BJ54" s="2417"/>
      <c r="BK54" s="2417"/>
      <c r="BL54" s="2418"/>
      <c r="BM54" s="2418"/>
      <c r="BN54" s="2419"/>
      <c r="BO54" s="2417"/>
      <c r="BP54" s="2417"/>
      <c r="BQ54" s="2254"/>
      <c r="BR54" s="2416"/>
      <c r="BS54" s="2416"/>
      <c r="BT54" s="2416"/>
      <c r="BU54" s="2417"/>
      <c r="BV54" s="2254"/>
    </row>
    <row r="55" spans="1:74" ht="144" customHeight="1" x14ac:dyDescent="0.2">
      <c r="A55" s="229"/>
      <c r="C55" s="230"/>
      <c r="D55" s="231"/>
      <c r="F55" s="231"/>
      <c r="G55" s="2441"/>
      <c r="H55" s="2282"/>
      <c r="I55" s="2432"/>
      <c r="J55" s="2282"/>
      <c r="K55" s="2432"/>
      <c r="L55" s="2282"/>
      <c r="M55" s="2432"/>
      <c r="N55" s="2282"/>
      <c r="O55" s="2436"/>
      <c r="P55" s="2436"/>
      <c r="Q55" s="2267"/>
      <c r="R55" s="2426"/>
      <c r="S55" s="2421"/>
      <c r="T55" s="2424"/>
      <c r="U55" s="2426"/>
      <c r="V55" s="2429"/>
      <c r="W55" s="64" t="s">
        <v>241</v>
      </c>
      <c r="X55" s="237">
        <f>0+17440111</f>
        <v>17440111</v>
      </c>
      <c r="Y55" s="199">
        <v>11540000</v>
      </c>
      <c r="Z55" s="199">
        <v>11540000</v>
      </c>
      <c r="AA55" s="199">
        <v>11540000</v>
      </c>
      <c r="AB55" s="210" t="s">
        <v>231</v>
      </c>
      <c r="AC55" s="67">
        <v>20</v>
      </c>
      <c r="AD55" s="201" t="s">
        <v>154</v>
      </c>
      <c r="AE55" s="2384"/>
      <c r="AF55" s="2384"/>
      <c r="AG55" s="2384"/>
      <c r="AH55" s="2384"/>
      <c r="AI55" s="2384"/>
      <c r="AJ55" s="2384"/>
      <c r="AK55" s="2384"/>
      <c r="AL55" s="2384"/>
      <c r="AM55" s="2384"/>
      <c r="AN55" s="2384"/>
      <c r="AO55" s="2384"/>
      <c r="AP55" s="2384"/>
      <c r="AQ55" s="2417"/>
      <c r="AR55" s="2417"/>
      <c r="AS55" s="2417"/>
      <c r="AT55" s="2417"/>
      <c r="AU55" s="2417"/>
      <c r="AV55" s="2417"/>
      <c r="AW55" s="2417"/>
      <c r="AX55" s="2417"/>
      <c r="AY55" s="2417"/>
      <c r="AZ55" s="2417"/>
      <c r="BA55" s="2417"/>
      <c r="BB55" s="2417"/>
      <c r="BC55" s="2417"/>
      <c r="BD55" s="2417"/>
      <c r="BE55" s="2417"/>
      <c r="BF55" s="2417"/>
      <c r="BG55" s="2417"/>
      <c r="BH55" s="2417"/>
      <c r="BI55" s="2417"/>
      <c r="BJ55" s="2417"/>
      <c r="BK55" s="2417"/>
      <c r="BL55" s="2418"/>
      <c r="BM55" s="2418"/>
      <c r="BN55" s="2419"/>
      <c r="BO55" s="2417"/>
      <c r="BP55" s="2417"/>
      <c r="BQ55" s="2254"/>
      <c r="BR55" s="2416"/>
      <c r="BS55" s="2416"/>
      <c r="BT55" s="2416"/>
      <c r="BU55" s="2417"/>
      <c r="BV55" s="2254"/>
    </row>
    <row r="56" spans="1:74" ht="100.5" customHeight="1" x14ac:dyDescent="0.2">
      <c r="A56" s="229"/>
      <c r="C56" s="230"/>
      <c r="D56" s="231"/>
      <c r="F56" s="231"/>
      <c r="G56" s="2441"/>
      <c r="H56" s="2282"/>
      <c r="I56" s="2432"/>
      <c r="J56" s="2282"/>
      <c r="K56" s="2432"/>
      <c r="L56" s="2282"/>
      <c r="M56" s="2432"/>
      <c r="N56" s="2282"/>
      <c r="O56" s="2436"/>
      <c r="P56" s="2436"/>
      <c r="Q56" s="2267"/>
      <c r="R56" s="2426"/>
      <c r="S56" s="2421"/>
      <c r="T56" s="2424"/>
      <c r="U56" s="2426"/>
      <c r="V56" s="2429"/>
      <c r="W56" s="64" t="s">
        <v>242</v>
      </c>
      <c r="X56" s="237">
        <f>8704000-2641860</f>
        <v>6062140</v>
      </c>
      <c r="Y56" s="199">
        <v>1900417</v>
      </c>
      <c r="Z56" s="199">
        <v>1900417</v>
      </c>
      <c r="AA56" s="199">
        <v>1900417</v>
      </c>
      <c r="AB56" s="210" t="s">
        <v>231</v>
      </c>
      <c r="AC56" s="67">
        <v>20</v>
      </c>
      <c r="AD56" s="201" t="s">
        <v>154</v>
      </c>
      <c r="AE56" s="2384"/>
      <c r="AF56" s="2384"/>
      <c r="AG56" s="2384"/>
      <c r="AH56" s="2384"/>
      <c r="AI56" s="2384"/>
      <c r="AJ56" s="2384"/>
      <c r="AK56" s="2384"/>
      <c r="AL56" s="2384"/>
      <c r="AM56" s="2384"/>
      <c r="AN56" s="2384"/>
      <c r="AO56" s="2384"/>
      <c r="AP56" s="2384"/>
      <c r="AQ56" s="2417"/>
      <c r="AR56" s="2417"/>
      <c r="AS56" s="2417"/>
      <c r="AT56" s="2417"/>
      <c r="AU56" s="2417"/>
      <c r="AV56" s="2417"/>
      <c r="AW56" s="2417"/>
      <c r="AX56" s="2417"/>
      <c r="AY56" s="2417"/>
      <c r="AZ56" s="2417"/>
      <c r="BA56" s="2417"/>
      <c r="BB56" s="2417"/>
      <c r="BC56" s="2417"/>
      <c r="BD56" s="2417"/>
      <c r="BE56" s="2417"/>
      <c r="BF56" s="2417"/>
      <c r="BG56" s="2417"/>
      <c r="BH56" s="2417"/>
      <c r="BI56" s="2417"/>
      <c r="BJ56" s="2417"/>
      <c r="BK56" s="2417"/>
      <c r="BL56" s="2418"/>
      <c r="BM56" s="2418"/>
      <c r="BN56" s="2419"/>
      <c r="BO56" s="2417"/>
      <c r="BP56" s="2417"/>
      <c r="BQ56" s="2254"/>
      <c r="BR56" s="2416"/>
      <c r="BS56" s="2416"/>
      <c r="BT56" s="2416"/>
      <c r="BU56" s="2417"/>
      <c r="BV56" s="2254"/>
    </row>
    <row r="57" spans="1:74" ht="78" customHeight="1" x14ac:dyDescent="0.2">
      <c r="A57" s="229"/>
      <c r="C57" s="230"/>
      <c r="D57" s="231"/>
      <c r="F57" s="231"/>
      <c r="G57" s="2442"/>
      <c r="H57" s="2434"/>
      <c r="I57" s="2433"/>
      <c r="J57" s="2434"/>
      <c r="K57" s="2433"/>
      <c r="L57" s="2434"/>
      <c r="M57" s="2433"/>
      <c r="N57" s="2434"/>
      <c r="O57" s="2437"/>
      <c r="P57" s="2437"/>
      <c r="Q57" s="2439"/>
      <c r="R57" s="2427"/>
      <c r="S57" s="2422"/>
      <c r="T57" s="2424"/>
      <c r="U57" s="2427"/>
      <c r="V57" s="2430"/>
      <c r="W57" s="240" t="s">
        <v>243</v>
      </c>
      <c r="X57" s="237">
        <v>7904000</v>
      </c>
      <c r="Y57" s="199">
        <v>0</v>
      </c>
      <c r="Z57" s="199">
        <v>0</v>
      </c>
      <c r="AA57" s="199">
        <v>0</v>
      </c>
      <c r="AB57" s="210" t="s">
        <v>231</v>
      </c>
      <c r="AC57" s="67">
        <v>20</v>
      </c>
      <c r="AD57" s="201" t="s">
        <v>154</v>
      </c>
      <c r="AE57" s="2385"/>
      <c r="AF57" s="2385"/>
      <c r="AG57" s="2384"/>
      <c r="AH57" s="2384"/>
      <c r="AI57" s="2384"/>
      <c r="AJ57" s="2384"/>
      <c r="AK57" s="2384"/>
      <c r="AL57" s="2384"/>
      <c r="AM57" s="2384"/>
      <c r="AN57" s="2384"/>
      <c r="AO57" s="2384"/>
      <c r="AP57" s="2384"/>
      <c r="AQ57" s="2417"/>
      <c r="AR57" s="2417"/>
      <c r="AS57" s="2417"/>
      <c r="AT57" s="2417"/>
      <c r="AU57" s="2417"/>
      <c r="AV57" s="2417"/>
      <c r="AW57" s="2417"/>
      <c r="AX57" s="2417"/>
      <c r="AY57" s="2417"/>
      <c r="AZ57" s="2417"/>
      <c r="BA57" s="2417"/>
      <c r="BB57" s="2417"/>
      <c r="BC57" s="2417"/>
      <c r="BD57" s="2417"/>
      <c r="BE57" s="2417"/>
      <c r="BF57" s="2417"/>
      <c r="BG57" s="2417"/>
      <c r="BH57" s="2417"/>
      <c r="BI57" s="2417"/>
      <c r="BJ57" s="2417"/>
      <c r="BK57" s="2417"/>
      <c r="BL57" s="2418"/>
      <c r="BM57" s="2418"/>
      <c r="BN57" s="2419"/>
      <c r="BO57" s="2417"/>
      <c r="BP57" s="2417"/>
      <c r="BQ57" s="2254"/>
      <c r="BR57" s="2416"/>
      <c r="BS57" s="2416"/>
      <c r="BT57" s="2416"/>
      <c r="BU57" s="2417"/>
      <c r="BV57" s="2254"/>
    </row>
    <row r="58" spans="1:74" ht="97.5" customHeight="1" x14ac:dyDescent="0.2">
      <c r="A58" s="229"/>
      <c r="C58" s="230"/>
      <c r="D58" s="231"/>
      <c r="F58" s="231"/>
      <c r="G58" s="241" t="s">
        <v>74</v>
      </c>
      <c r="H58" s="242" t="s">
        <v>244</v>
      </c>
      <c r="I58" s="243">
        <v>4599031</v>
      </c>
      <c r="J58" s="242" t="s">
        <v>245</v>
      </c>
      <c r="K58" s="243" t="s">
        <v>74</v>
      </c>
      <c r="L58" s="242" t="s">
        <v>246</v>
      </c>
      <c r="M58" s="243">
        <v>459903101</v>
      </c>
      <c r="N58" s="242" t="s">
        <v>247</v>
      </c>
      <c r="O58" s="244">
        <v>12</v>
      </c>
      <c r="P58" s="245">
        <v>12</v>
      </c>
      <c r="Q58" s="2294" t="s">
        <v>248</v>
      </c>
      <c r="R58" s="2397" t="s">
        <v>249</v>
      </c>
      <c r="S58" s="246">
        <f>X58/T58</f>
        <v>0.15</v>
      </c>
      <c r="T58" s="2413">
        <f>SUM(X58:X63)</f>
        <v>240000000</v>
      </c>
      <c r="U58" s="2397" t="s">
        <v>250</v>
      </c>
      <c r="V58" s="2396" t="s">
        <v>251</v>
      </c>
      <c r="W58" s="64" t="s">
        <v>252</v>
      </c>
      <c r="X58" s="247">
        <v>36000000</v>
      </c>
      <c r="Y58" s="199">
        <v>11540000</v>
      </c>
      <c r="Z58" s="199">
        <v>11540000</v>
      </c>
      <c r="AA58" s="199">
        <v>11540000</v>
      </c>
      <c r="AB58" s="248" t="s">
        <v>253</v>
      </c>
      <c r="AC58" s="67">
        <v>20</v>
      </c>
      <c r="AD58" s="201" t="s">
        <v>154</v>
      </c>
      <c r="AE58" s="2402">
        <v>295972</v>
      </c>
      <c r="AF58" s="2402">
        <v>295972</v>
      </c>
      <c r="AG58" s="2402">
        <v>285580</v>
      </c>
      <c r="AH58" s="2402">
        <v>285580</v>
      </c>
      <c r="AI58" s="2402">
        <v>135545</v>
      </c>
      <c r="AJ58" s="2402">
        <v>135545</v>
      </c>
      <c r="AK58" s="2402">
        <v>44254</v>
      </c>
      <c r="AL58" s="2402">
        <v>44254</v>
      </c>
      <c r="AM58" s="2402">
        <v>309146</v>
      </c>
      <c r="AN58" s="2402">
        <v>309146</v>
      </c>
      <c r="AO58" s="2402">
        <v>92607</v>
      </c>
      <c r="AP58" s="2402">
        <v>92607</v>
      </c>
      <c r="AQ58" s="2402">
        <v>2145</v>
      </c>
      <c r="AR58" s="2402">
        <v>2145</v>
      </c>
      <c r="AS58" s="2402">
        <v>12718</v>
      </c>
      <c r="AT58" s="2402">
        <v>12718</v>
      </c>
      <c r="AU58" s="2402">
        <v>26</v>
      </c>
      <c r="AV58" s="2402">
        <v>26</v>
      </c>
      <c r="AW58" s="2402">
        <v>37</v>
      </c>
      <c r="AX58" s="2402">
        <v>37</v>
      </c>
      <c r="AY58" s="2402">
        <v>0</v>
      </c>
      <c r="AZ58" s="2402">
        <v>0</v>
      </c>
      <c r="BA58" s="2402">
        <v>0</v>
      </c>
      <c r="BB58" s="2402">
        <v>0</v>
      </c>
      <c r="BC58" s="2402">
        <v>44350</v>
      </c>
      <c r="BD58" s="2402">
        <v>44350</v>
      </c>
      <c r="BE58" s="2402">
        <v>21944</v>
      </c>
      <c r="BF58" s="2402">
        <v>21944</v>
      </c>
      <c r="BG58" s="2402">
        <v>75687</v>
      </c>
      <c r="BH58" s="2402">
        <v>75687</v>
      </c>
      <c r="BI58" s="2402">
        <f>SUM(AE58,AG58)</f>
        <v>581552</v>
      </c>
      <c r="BJ58" s="2402">
        <f>SUM(AF58,AH58)</f>
        <v>581552</v>
      </c>
      <c r="BK58" s="2402">
        <v>6</v>
      </c>
      <c r="BL58" s="2407">
        <f>SUBTOTAL(9,Y58:Y63)</f>
        <v>69700000</v>
      </c>
      <c r="BM58" s="2407">
        <f>SUBTOTAL(9,Z58:Z63)</f>
        <v>61045000</v>
      </c>
      <c r="BN58" s="2410">
        <f>BM58/BL58</f>
        <v>0.87582496413199429</v>
      </c>
      <c r="BO58" s="2402">
        <v>20</v>
      </c>
      <c r="BP58" s="2402" t="s">
        <v>187</v>
      </c>
      <c r="BQ58" s="2297" t="s">
        <v>254</v>
      </c>
      <c r="BR58" s="2403">
        <v>44197</v>
      </c>
      <c r="BS58" s="2403">
        <v>44239</v>
      </c>
      <c r="BT58" s="2404">
        <v>44561</v>
      </c>
      <c r="BU58" s="2402"/>
      <c r="BV58" s="2400" t="s">
        <v>155</v>
      </c>
    </row>
    <row r="59" spans="1:74" ht="75" x14ac:dyDescent="0.2">
      <c r="A59" s="229"/>
      <c r="C59" s="230"/>
      <c r="D59" s="231"/>
      <c r="F59" s="231"/>
      <c r="G59" s="241" t="s">
        <v>74</v>
      </c>
      <c r="H59" s="249" t="s">
        <v>255</v>
      </c>
      <c r="I59" s="250">
        <v>4599031</v>
      </c>
      <c r="J59" s="242" t="s">
        <v>245</v>
      </c>
      <c r="K59" s="243" t="s">
        <v>74</v>
      </c>
      <c r="L59" s="249" t="s">
        <v>256</v>
      </c>
      <c r="M59" s="250">
        <v>459903101</v>
      </c>
      <c r="N59" s="249" t="s">
        <v>247</v>
      </c>
      <c r="O59" s="244">
        <v>12</v>
      </c>
      <c r="P59" s="245">
        <v>12</v>
      </c>
      <c r="Q59" s="2294"/>
      <c r="R59" s="2397"/>
      <c r="S59" s="246">
        <f>X59/T58</f>
        <v>0.15</v>
      </c>
      <c r="T59" s="2414"/>
      <c r="U59" s="2397"/>
      <c r="V59" s="2396"/>
      <c r="W59" s="205" t="s">
        <v>257</v>
      </c>
      <c r="X59" s="247">
        <v>36000000</v>
      </c>
      <c r="Y59" s="199">
        <v>11540000</v>
      </c>
      <c r="Z59" s="199">
        <v>11540000</v>
      </c>
      <c r="AA59" s="199">
        <v>11540000</v>
      </c>
      <c r="AB59" s="248" t="s">
        <v>258</v>
      </c>
      <c r="AC59" s="67">
        <v>20</v>
      </c>
      <c r="AD59" s="201" t="s">
        <v>154</v>
      </c>
      <c r="AE59" s="2265"/>
      <c r="AF59" s="2265"/>
      <c r="AG59" s="2265"/>
      <c r="AH59" s="2265"/>
      <c r="AI59" s="2265"/>
      <c r="AJ59" s="2265"/>
      <c r="AK59" s="2265"/>
      <c r="AL59" s="2265"/>
      <c r="AM59" s="2265"/>
      <c r="AN59" s="2265"/>
      <c r="AO59" s="2265"/>
      <c r="AP59" s="2265"/>
      <c r="AQ59" s="2265"/>
      <c r="AR59" s="2265"/>
      <c r="AS59" s="2265"/>
      <c r="AT59" s="2265"/>
      <c r="AU59" s="2265"/>
      <c r="AV59" s="2265"/>
      <c r="AW59" s="2265"/>
      <c r="AX59" s="2265"/>
      <c r="AY59" s="2265"/>
      <c r="AZ59" s="2265"/>
      <c r="BA59" s="2265"/>
      <c r="BB59" s="2265"/>
      <c r="BC59" s="2265"/>
      <c r="BD59" s="2265"/>
      <c r="BE59" s="2265"/>
      <c r="BF59" s="2265"/>
      <c r="BG59" s="2265"/>
      <c r="BH59" s="2265"/>
      <c r="BI59" s="2265"/>
      <c r="BJ59" s="2265"/>
      <c r="BK59" s="2265"/>
      <c r="BL59" s="2408"/>
      <c r="BM59" s="2408"/>
      <c r="BN59" s="2411"/>
      <c r="BO59" s="2265"/>
      <c r="BP59" s="2265"/>
      <c r="BQ59" s="2265"/>
      <c r="BR59" s="2265"/>
      <c r="BS59" s="2265"/>
      <c r="BT59" s="2405"/>
      <c r="BU59" s="2265"/>
      <c r="BV59" s="2400"/>
    </row>
    <row r="60" spans="1:74" ht="69.75" customHeight="1" x14ac:dyDescent="0.2">
      <c r="A60" s="229"/>
      <c r="C60" s="230"/>
      <c r="D60" s="231"/>
      <c r="F60" s="231"/>
      <c r="G60" s="241" t="s">
        <v>74</v>
      </c>
      <c r="H60" s="249" t="s">
        <v>259</v>
      </c>
      <c r="I60" s="250">
        <v>4599031</v>
      </c>
      <c r="J60" s="242" t="s">
        <v>245</v>
      </c>
      <c r="K60" s="243" t="s">
        <v>74</v>
      </c>
      <c r="L60" s="249" t="s">
        <v>256</v>
      </c>
      <c r="M60" s="250">
        <v>459903101</v>
      </c>
      <c r="N60" s="249" t="s">
        <v>247</v>
      </c>
      <c r="O60" s="244">
        <v>12</v>
      </c>
      <c r="P60" s="245">
        <v>12</v>
      </c>
      <c r="Q60" s="2294"/>
      <c r="R60" s="2397"/>
      <c r="S60" s="246">
        <f>X60/T58</f>
        <v>0.15</v>
      </c>
      <c r="T60" s="2414"/>
      <c r="U60" s="2397"/>
      <c r="V60" s="2396"/>
      <c r="W60" s="205" t="s">
        <v>260</v>
      </c>
      <c r="X60" s="247">
        <v>36000000</v>
      </c>
      <c r="Y60" s="199">
        <v>11540000</v>
      </c>
      <c r="Z60" s="199">
        <v>11540000</v>
      </c>
      <c r="AA60" s="199">
        <v>11540000</v>
      </c>
      <c r="AB60" s="248" t="s">
        <v>261</v>
      </c>
      <c r="AC60" s="203">
        <v>20</v>
      </c>
      <c r="AD60" s="252" t="s">
        <v>154</v>
      </c>
      <c r="AE60" s="2265"/>
      <c r="AF60" s="2265"/>
      <c r="AG60" s="2265"/>
      <c r="AH60" s="2265"/>
      <c r="AI60" s="2265"/>
      <c r="AJ60" s="2265"/>
      <c r="AK60" s="2265"/>
      <c r="AL60" s="2265"/>
      <c r="AM60" s="2265"/>
      <c r="AN60" s="2265"/>
      <c r="AO60" s="2265"/>
      <c r="AP60" s="2265"/>
      <c r="AQ60" s="2265"/>
      <c r="AR60" s="2265"/>
      <c r="AS60" s="2265"/>
      <c r="AT60" s="2265"/>
      <c r="AU60" s="2265"/>
      <c r="AV60" s="2265"/>
      <c r="AW60" s="2265"/>
      <c r="AX60" s="2265"/>
      <c r="AY60" s="2265"/>
      <c r="AZ60" s="2265"/>
      <c r="BA60" s="2265"/>
      <c r="BB60" s="2265"/>
      <c r="BC60" s="2265"/>
      <c r="BD60" s="2265"/>
      <c r="BE60" s="2265"/>
      <c r="BF60" s="2265"/>
      <c r="BG60" s="2265"/>
      <c r="BH60" s="2265"/>
      <c r="BI60" s="2265"/>
      <c r="BJ60" s="2265"/>
      <c r="BK60" s="2265"/>
      <c r="BL60" s="2408"/>
      <c r="BM60" s="2408"/>
      <c r="BN60" s="2411"/>
      <c r="BO60" s="2265"/>
      <c r="BP60" s="2265"/>
      <c r="BQ60" s="2265"/>
      <c r="BR60" s="2265"/>
      <c r="BS60" s="2265"/>
      <c r="BT60" s="2405"/>
      <c r="BU60" s="2265"/>
      <c r="BV60" s="2400"/>
    </row>
    <row r="61" spans="1:74" ht="300.75" customHeight="1" x14ac:dyDescent="0.2">
      <c r="A61" s="229"/>
      <c r="C61" s="230"/>
      <c r="D61" s="231"/>
      <c r="F61" s="231"/>
      <c r="G61" s="241" t="s">
        <v>74</v>
      </c>
      <c r="H61" s="249" t="s">
        <v>262</v>
      </c>
      <c r="I61" s="250">
        <v>4599031</v>
      </c>
      <c r="J61" s="242" t="s">
        <v>245</v>
      </c>
      <c r="K61" s="243" t="s">
        <v>74</v>
      </c>
      <c r="L61" s="253" t="s">
        <v>256</v>
      </c>
      <c r="M61" s="250">
        <v>459903101</v>
      </c>
      <c r="N61" s="253" t="s">
        <v>247</v>
      </c>
      <c r="O61" s="244">
        <v>12</v>
      </c>
      <c r="P61" s="245">
        <v>12</v>
      </c>
      <c r="Q61" s="2294"/>
      <c r="R61" s="2397"/>
      <c r="S61" s="246">
        <f>X61/T58</f>
        <v>0.15</v>
      </c>
      <c r="T61" s="2414"/>
      <c r="U61" s="2397"/>
      <c r="V61" s="2396"/>
      <c r="W61" s="254" t="s">
        <v>263</v>
      </c>
      <c r="X61" s="247">
        <v>36000000</v>
      </c>
      <c r="Y61" s="199">
        <v>11540000</v>
      </c>
      <c r="Z61" s="199">
        <v>8655000</v>
      </c>
      <c r="AA61" s="199">
        <v>8655000</v>
      </c>
      <c r="AB61" s="255" t="s">
        <v>264</v>
      </c>
      <c r="AC61" s="203">
        <v>20</v>
      </c>
      <c r="AD61" s="252" t="s">
        <v>154</v>
      </c>
      <c r="AE61" s="2265"/>
      <c r="AF61" s="2265"/>
      <c r="AG61" s="2265"/>
      <c r="AH61" s="2265"/>
      <c r="AI61" s="2265"/>
      <c r="AJ61" s="2265"/>
      <c r="AK61" s="2265"/>
      <c r="AL61" s="2265"/>
      <c r="AM61" s="2265"/>
      <c r="AN61" s="2265"/>
      <c r="AO61" s="2265"/>
      <c r="AP61" s="2265"/>
      <c r="AQ61" s="2265"/>
      <c r="AR61" s="2265"/>
      <c r="AS61" s="2265"/>
      <c r="AT61" s="2265"/>
      <c r="AU61" s="2265"/>
      <c r="AV61" s="2265"/>
      <c r="AW61" s="2265"/>
      <c r="AX61" s="2265"/>
      <c r="AY61" s="2265"/>
      <c r="AZ61" s="2265"/>
      <c r="BA61" s="2265"/>
      <c r="BB61" s="2265"/>
      <c r="BC61" s="2265"/>
      <c r="BD61" s="2265"/>
      <c r="BE61" s="2265"/>
      <c r="BF61" s="2265"/>
      <c r="BG61" s="2265"/>
      <c r="BH61" s="2265"/>
      <c r="BI61" s="2265"/>
      <c r="BJ61" s="2265"/>
      <c r="BK61" s="2265"/>
      <c r="BL61" s="2408"/>
      <c r="BM61" s="2408"/>
      <c r="BN61" s="2411"/>
      <c r="BO61" s="2265"/>
      <c r="BP61" s="2265"/>
      <c r="BQ61" s="2265"/>
      <c r="BR61" s="2265"/>
      <c r="BS61" s="2265"/>
      <c r="BT61" s="2405"/>
      <c r="BU61" s="2265"/>
      <c r="BV61" s="2400"/>
    </row>
    <row r="62" spans="1:74" ht="178.5" customHeight="1" x14ac:dyDescent="0.2">
      <c r="A62" s="229"/>
      <c r="C62" s="230"/>
      <c r="D62" s="231"/>
      <c r="F62" s="231"/>
      <c r="G62" s="241" t="s">
        <v>74</v>
      </c>
      <c r="H62" s="249" t="s">
        <v>265</v>
      </c>
      <c r="I62" s="250">
        <v>4599031</v>
      </c>
      <c r="J62" s="242" t="s">
        <v>245</v>
      </c>
      <c r="K62" s="243" t="s">
        <v>74</v>
      </c>
      <c r="L62" s="249" t="s">
        <v>256</v>
      </c>
      <c r="M62" s="250">
        <v>459903101</v>
      </c>
      <c r="N62" s="249" t="s">
        <v>247</v>
      </c>
      <c r="O62" s="244">
        <v>12</v>
      </c>
      <c r="P62" s="245">
        <v>12</v>
      </c>
      <c r="Q62" s="2294"/>
      <c r="R62" s="2397"/>
      <c r="S62" s="246">
        <f>X62/T58</f>
        <v>0.25</v>
      </c>
      <c r="T62" s="2414"/>
      <c r="U62" s="2397"/>
      <c r="V62" s="2396"/>
      <c r="W62" s="256" t="s">
        <v>266</v>
      </c>
      <c r="X62" s="247">
        <v>60000000</v>
      </c>
      <c r="Y62" s="199">
        <v>12000000</v>
      </c>
      <c r="Z62" s="199">
        <v>12000000</v>
      </c>
      <c r="AA62" s="199">
        <v>12000000</v>
      </c>
      <c r="AB62" s="248" t="s">
        <v>267</v>
      </c>
      <c r="AC62" s="67">
        <v>20</v>
      </c>
      <c r="AD62" s="201" t="s">
        <v>154</v>
      </c>
      <c r="AE62" s="2265"/>
      <c r="AF62" s="2265"/>
      <c r="AG62" s="2265"/>
      <c r="AH62" s="2265"/>
      <c r="AI62" s="2265"/>
      <c r="AJ62" s="2265"/>
      <c r="AK62" s="2265"/>
      <c r="AL62" s="2265"/>
      <c r="AM62" s="2265"/>
      <c r="AN62" s="2265"/>
      <c r="AO62" s="2265"/>
      <c r="AP62" s="2265"/>
      <c r="AQ62" s="2265"/>
      <c r="AR62" s="2265"/>
      <c r="AS62" s="2265"/>
      <c r="AT62" s="2265"/>
      <c r="AU62" s="2265"/>
      <c r="AV62" s="2265"/>
      <c r="AW62" s="2265"/>
      <c r="AX62" s="2265"/>
      <c r="AY62" s="2265"/>
      <c r="AZ62" s="2265"/>
      <c r="BA62" s="2265"/>
      <c r="BB62" s="2265"/>
      <c r="BC62" s="2265"/>
      <c r="BD62" s="2265"/>
      <c r="BE62" s="2265"/>
      <c r="BF62" s="2265"/>
      <c r="BG62" s="2265"/>
      <c r="BH62" s="2265"/>
      <c r="BI62" s="2265"/>
      <c r="BJ62" s="2265"/>
      <c r="BK62" s="2265"/>
      <c r="BL62" s="2408"/>
      <c r="BM62" s="2408"/>
      <c r="BN62" s="2411"/>
      <c r="BO62" s="2265"/>
      <c r="BP62" s="2265"/>
      <c r="BQ62" s="2265"/>
      <c r="BR62" s="2265"/>
      <c r="BS62" s="2265"/>
      <c r="BT62" s="2405"/>
      <c r="BU62" s="2265"/>
      <c r="BV62" s="2400"/>
    </row>
    <row r="63" spans="1:74" ht="58.5" customHeight="1" x14ac:dyDescent="0.2">
      <c r="A63" s="229"/>
      <c r="C63" s="230"/>
      <c r="D63" s="231"/>
      <c r="F63" s="231"/>
      <c r="G63" s="241" t="s">
        <v>74</v>
      </c>
      <c r="H63" s="249" t="s">
        <v>268</v>
      </c>
      <c r="I63" s="250">
        <v>4599031</v>
      </c>
      <c r="J63" s="242" t="s">
        <v>245</v>
      </c>
      <c r="K63" s="243" t="s">
        <v>74</v>
      </c>
      <c r="L63" s="249" t="s">
        <v>256</v>
      </c>
      <c r="M63" s="250">
        <v>459903101</v>
      </c>
      <c r="N63" s="249" t="s">
        <v>247</v>
      </c>
      <c r="O63" s="244">
        <v>12</v>
      </c>
      <c r="P63" s="245">
        <v>12</v>
      </c>
      <c r="Q63" s="2294"/>
      <c r="R63" s="2397"/>
      <c r="S63" s="246">
        <f>X63/T58</f>
        <v>0.15</v>
      </c>
      <c r="T63" s="2415"/>
      <c r="U63" s="2397"/>
      <c r="V63" s="2396"/>
      <c r="W63" s="205" t="s">
        <v>269</v>
      </c>
      <c r="X63" s="247">
        <v>36000000</v>
      </c>
      <c r="Y63" s="199">
        <v>11540000</v>
      </c>
      <c r="Z63" s="199">
        <v>5770000</v>
      </c>
      <c r="AA63" s="199">
        <v>5770000</v>
      </c>
      <c r="AB63" s="248" t="s">
        <v>270</v>
      </c>
      <c r="AC63" s="67">
        <v>20</v>
      </c>
      <c r="AD63" s="201" t="s">
        <v>154</v>
      </c>
      <c r="AE63" s="2266"/>
      <c r="AF63" s="2266"/>
      <c r="AG63" s="2266"/>
      <c r="AH63" s="2266"/>
      <c r="AI63" s="2266"/>
      <c r="AJ63" s="2266"/>
      <c r="AK63" s="2266"/>
      <c r="AL63" s="2266"/>
      <c r="AM63" s="2266"/>
      <c r="AN63" s="2266"/>
      <c r="AO63" s="2266"/>
      <c r="AP63" s="2266"/>
      <c r="AQ63" s="2266"/>
      <c r="AR63" s="2266"/>
      <c r="AS63" s="2266"/>
      <c r="AT63" s="2266"/>
      <c r="AU63" s="2266"/>
      <c r="AV63" s="2266"/>
      <c r="AW63" s="2266"/>
      <c r="AX63" s="2266"/>
      <c r="AY63" s="2266"/>
      <c r="AZ63" s="2266"/>
      <c r="BA63" s="2266"/>
      <c r="BB63" s="2266"/>
      <c r="BC63" s="2266"/>
      <c r="BD63" s="2266"/>
      <c r="BE63" s="2266"/>
      <c r="BF63" s="2266"/>
      <c r="BG63" s="2266"/>
      <c r="BH63" s="2266"/>
      <c r="BI63" s="2266"/>
      <c r="BJ63" s="2266"/>
      <c r="BK63" s="2266"/>
      <c r="BL63" s="2409"/>
      <c r="BM63" s="2409"/>
      <c r="BN63" s="2412"/>
      <c r="BO63" s="2266"/>
      <c r="BP63" s="2266"/>
      <c r="BQ63" s="2266"/>
      <c r="BR63" s="2266"/>
      <c r="BS63" s="2266"/>
      <c r="BT63" s="2406"/>
      <c r="BU63" s="2266"/>
      <c r="BV63" s="2400"/>
    </row>
    <row r="64" spans="1:74" ht="42.75" customHeight="1" x14ac:dyDescent="0.2">
      <c r="A64" s="229"/>
      <c r="C64" s="230"/>
      <c r="D64" s="231"/>
      <c r="F64" s="231"/>
      <c r="G64" s="2401" t="s">
        <v>74</v>
      </c>
      <c r="H64" s="2397" t="s">
        <v>75</v>
      </c>
      <c r="I64" s="2294">
        <v>4599023</v>
      </c>
      <c r="J64" s="2397" t="s">
        <v>271</v>
      </c>
      <c r="K64" s="2294" t="s">
        <v>74</v>
      </c>
      <c r="L64" s="2397" t="s">
        <v>77</v>
      </c>
      <c r="M64" s="2294">
        <v>459902300</v>
      </c>
      <c r="N64" s="2397" t="s">
        <v>272</v>
      </c>
      <c r="O64" s="2294">
        <v>18</v>
      </c>
      <c r="P64" s="2294">
        <v>18</v>
      </c>
      <c r="Q64" s="2294" t="s">
        <v>273</v>
      </c>
      <c r="R64" s="2397" t="s">
        <v>274</v>
      </c>
      <c r="S64" s="2398">
        <f>SUM(X64:X90)/T64</f>
        <v>1</v>
      </c>
      <c r="T64" s="2399">
        <f>SUM(X64:X90)</f>
        <v>72000000</v>
      </c>
      <c r="U64" s="2397" t="s">
        <v>275</v>
      </c>
      <c r="V64" s="2396" t="s">
        <v>276</v>
      </c>
      <c r="W64" s="64" t="s">
        <v>277</v>
      </c>
      <c r="X64" s="247">
        <v>500000</v>
      </c>
      <c r="Y64" s="199">
        <v>500000</v>
      </c>
      <c r="Z64" s="199">
        <v>500000</v>
      </c>
      <c r="AA64" s="199">
        <v>500000</v>
      </c>
      <c r="AB64" s="226" t="s">
        <v>278</v>
      </c>
      <c r="AC64" s="67">
        <v>20</v>
      </c>
      <c r="AD64" s="201" t="s">
        <v>154</v>
      </c>
      <c r="AE64" s="2386">
        <v>295972</v>
      </c>
      <c r="AF64" s="2386">
        <v>295972</v>
      </c>
      <c r="AG64" s="2386">
        <v>285580</v>
      </c>
      <c r="AH64" s="2386">
        <v>285580</v>
      </c>
      <c r="AI64" s="2386">
        <v>135545</v>
      </c>
      <c r="AJ64" s="2386">
        <v>135545</v>
      </c>
      <c r="AK64" s="2386">
        <v>44254</v>
      </c>
      <c r="AL64" s="2386">
        <v>44254</v>
      </c>
      <c r="AM64" s="2386">
        <v>309146</v>
      </c>
      <c r="AN64" s="2386">
        <v>309146</v>
      </c>
      <c r="AO64" s="2386">
        <v>92607</v>
      </c>
      <c r="AP64" s="2386">
        <v>92607</v>
      </c>
      <c r="AQ64" s="2386">
        <v>2145</v>
      </c>
      <c r="AR64" s="2386">
        <v>2145</v>
      </c>
      <c r="AS64" s="2386">
        <v>12718</v>
      </c>
      <c r="AT64" s="2386">
        <v>12718</v>
      </c>
      <c r="AU64" s="2386">
        <v>26</v>
      </c>
      <c r="AV64" s="2386">
        <v>26</v>
      </c>
      <c r="AW64" s="2386">
        <v>37</v>
      </c>
      <c r="AX64" s="2386">
        <v>37</v>
      </c>
      <c r="AY64" s="2386">
        <v>0</v>
      </c>
      <c r="AZ64" s="2386">
        <v>0</v>
      </c>
      <c r="BA64" s="2386">
        <v>0</v>
      </c>
      <c r="BB64" s="2386">
        <v>0</v>
      </c>
      <c r="BC64" s="2386">
        <v>44350</v>
      </c>
      <c r="BD64" s="2386">
        <v>44350</v>
      </c>
      <c r="BE64" s="2386">
        <v>21944</v>
      </c>
      <c r="BF64" s="2386">
        <v>21944</v>
      </c>
      <c r="BG64" s="2386">
        <v>75687</v>
      </c>
      <c r="BH64" s="2386">
        <v>75687</v>
      </c>
      <c r="BI64" s="2386">
        <v>581552</v>
      </c>
      <c r="BJ64" s="2386">
        <v>581552</v>
      </c>
      <c r="BK64" s="2386">
        <v>3</v>
      </c>
      <c r="BL64" s="2393">
        <f>SUBTOTAL(9,Y64:Y90)</f>
        <v>36300000</v>
      </c>
      <c r="BM64" s="2393">
        <f>SUBTOTAL(9,Z64:Z90)</f>
        <v>26400000</v>
      </c>
      <c r="BN64" s="2389">
        <f>BM64/BL64</f>
        <v>0.72727272727272729</v>
      </c>
      <c r="BO64" s="2386">
        <v>20</v>
      </c>
      <c r="BP64" s="2386" t="s">
        <v>187</v>
      </c>
      <c r="BQ64" s="2392" t="s">
        <v>188</v>
      </c>
      <c r="BR64" s="2383">
        <v>44197</v>
      </c>
      <c r="BS64" s="2383">
        <v>44228</v>
      </c>
      <c r="BT64" s="2383">
        <v>44561</v>
      </c>
      <c r="BU64" s="2386"/>
      <c r="BV64" s="2387" t="s">
        <v>155</v>
      </c>
    </row>
    <row r="65" spans="1:74" ht="42.75" customHeight="1" x14ac:dyDescent="0.2">
      <c r="A65" s="229"/>
      <c r="C65" s="230"/>
      <c r="D65" s="231"/>
      <c r="F65" s="231"/>
      <c r="G65" s="2401"/>
      <c r="H65" s="2397"/>
      <c r="I65" s="2294"/>
      <c r="J65" s="2397"/>
      <c r="K65" s="2294"/>
      <c r="L65" s="2397"/>
      <c r="M65" s="2294"/>
      <c r="N65" s="2397"/>
      <c r="O65" s="2294"/>
      <c r="P65" s="2294"/>
      <c r="Q65" s="2294"/>
      <c r="R65" s="2397"/>
      <c r="S65" s="2398"/>
      <c r="T65" s="2399"/>
      <c r="U65" s="2397"/>
      <c r="V65" s="2396"/>
      <c r="W65" s="64" t="s">
        <v>279</v>
      </c>
      <c r="X65" s="247">
        <v>500000</v>
      </c>
      <c r="Y65" s="199">
        <v>500000</v>
      </c>
      <c r="Z65" s="199">
        <v>500000</v>
      </c>
      <c r="AA65" s="199">
        <v>500000</v>
      </c>
      <c r="AB65" s="226" t="s">
        <v>278</v>
      </c>
      <c r="AC65" s="67">
        <v>20</v>
      </c>
      <c r="AD65" s="201" t="s">
        <v>154</v>
      </c>
      <c r="AE65" s="2384"/>
      <c r="AF65" s="2384"/>
      <c r="AG65" s="2384"/>
      <c r="AH65" s="2384"/>
      <c r="AI65" s="2384"/>
      <c r="AJ65" s="2384"/>
      <c r="AK65" s="2384"/>
      <c r="AL65" s="2384"/>
      <c r="AM65" s="2384"/>
      <c r="AN65" s="2384"/>
      <c r="AO65" s="2384"/>
      <c r="AP65" s="2384"/>
      <c r="AQ65" s="2384"/>
      <c r="AR65" s="2384"/>
      <c r="AS65" s="2384"/>
      <c r="AT65" s="2384"/>
      <c r="AU65" s="2384"/>
      <c r="AV65" s="2384"/>
      <c r="AW65" s="2384"/>
      <c r="AX65" s="2384"/>
      <c r="AY65" s="2384"/>
      <c r="AZ65" s="2384"/>
      <c r="BA65" s="2384"/>
      <c r="BB65" s="2384"/>
      <c r="BC65" s="2384"/>
      <c r="BD65" s="2384"/>
      <c r="BE65" s="2384"/>
      <c r="BF65" s="2384"/>
      <c r="BG65" s="2384"/>
      <c r="BH65" s="2384"/>
      <c r="BI65" s="2384"/>
      <c r="BJ65" s="2384"/>
      <c r="BK65" s="2384"/>
      <c r="BL65" s="2394"/>
      <c r="BM65" s="2394"/>
      <c r="BN65" s="2390"/>
      <c r="BO65" s="2384"/>
      <c r="BP65" s="2384"/>
      <c r="BQ65" s="2384"/>
      <c r="BR65" s="2384"/>
      <c r="BS65" s="2384"/>
      <c r="BT65" s="2384"/>
      <c r="BU65" s="2384"/>
      <c r="BV65" s="2387"/>
    </row>
    <row r="66" spans="1:74" ht="42.75" customHeight="1" x14ac:dyDescent="0.2">
      <c r="A66" s="229"/>
      <c r="C66" s="230"/>
      <c r="D66" s="231"/>
      <c r="F66" s="231"/>
      <c r="G66" s="2401"/>
      <c r="H66" s="2397"/>
      <c r="I66" s="2294"/>
      <c r="J66" s="2397"/>
      <c r="K66" s="2294"/>
      <c r="L66" s="2397"/>
      <c r="M66" s="2294"/>
      <c r="N66" s="2397"/>
      <c r="O66" s="2294"/>
      <c r="P66" s="2294"/>
      <c r="Q66" s="2294"/>
      <c r="R66" s="2397"/>
      <c r="S66" s="2398"/>
      <c r="T66" s="2399"/>
      <c r="U66" s="2397"/>
      <c r="V66" s="2396"/>
      <c r="W66" s="64" t="s">
        <v>280</v>
      </c>
      <c r="X66" s="247">
        <v>500000</v>
      </c>
      <c r="Y66" s="199">
        <v>500000</v>
      </c>
      <c r="Z66" s="199">
        <v>500000</v>
      </c>
      <c r="AA66" s="199">
        <v>500000</v>
      </c>
      <c r="AB66" s="226" t="s">
        <v>278</v>
      </c>
      <c r="AC66" s="67">
        <v>20</v>
      </c>
      <c r="AD66" s="201" t="s">
        <v>154</v>
      </c>
      <c r="AE66" s="2384"/>
      <c r="AF66" s="2384"/>
      <c r="AG66" s="2384"/>
      <c r="AH66" s="2384"/>
      <c r="AI66" s="2384"/>
      <c r="AJ66" s="2384"/>
      <c r="AK66" s="2384"/>
      <c r="AL66" s="2384"/>
      <c r="AM66" s="2384"/>
      <c r="AN66" s="2384"/>
      <c r="AO66" s="2384"/>
      <c r="AP66" s="2384"/>
      <c r="AQ66" s="2384"/>
      <c r="AR66" s="2384"/>
      <c r="AS66" s="2384"/>
      <c r="AT66" s="2384"/>
      <c r="AU66" s="2384"/>
      <c r="AV66" s="2384"/>
      <c r="AW66" s="2384"/>
      <c r="AX66" s="2384"/>
      <c r="AY66" s="2384"/>
      <c r="AZ66" s="2384"/>
      <c r="BA66" s="2384"/>
      <c r="BB66" s="2384"/>
      <c r="BC66" s="2384"/>
      <c r="BD66" s="2384"/>
      <c r="BE66" s="2384"/>
      <c r="BF66" s="2384"/>
      <c r="BG66" s="2384"/>
      <c r="BH66" s="2384"/>
      <c r="BI66" s="2384"/>
      <c r="BJ66" s="2384"/>
      <c r="BK66" s="2384"/>
      <c r="BL66" s="2394"/>
      <c r="BM66" s="2394"/>
      <c r="BN66" s="2390"/>
      <c r="BO66" s="2384"/>
      <c r="BP66" s="2384"/>
      <c r="BQ66" s="2384"/>
      <c r="BR66" s="2384"/>
      <c r="BS66" s="2384"/>
      <c r="BT66" s="2384"/>
      <c r="BU66" s="2384"/>
      <c r="BV66" s="2387"/>
    </row>
    <row r="67" spans="1:74" ht="42.75" customHeight="1" x14ac:dyDescent="0.2">
      <c r="A67" s="229"/>
      <c r="C67" s="230"/>
      <c r="D67" s="231"/>
      <c r="F67" s="231"/>
      <c r="G67" s="2401"/>
      <c r="H67" s="2397"/>
      <c r="I67" s="2294"/>
      <c r="J67" s="2397"/>
      <c r="K67" s="2294"/>
      <c r="L67" s="2397"/>
      <c r="M67" s="2294"/>
      <c r="N67" s="2397"/>
      <c r="O67" s="2294"/>
      <c r="P67" s="2294"/>
      <c r="Q67" s="2294"/>
      <c r="R67" s="2397"/>
      <c r="S67" s="2398"/>
      <c r="T67" s="2399"/>
      <c r="U67" s="2397"/>
      <c r="V67" s="2396"/>
      <c r="W67" s="64" t="s">
        <v>281</v>
      </c>
      <c r="X67" s="247">
        <v>500000</v>
      </c>
      <c r="Y67" s="199">
        <v>500000</v>
      </c>
      <c r="Z67" s="199">
        <v>500000</v>
      </c>
      <c r="AA67" s="199">
        <v>500000</v>
      </c>
      <c r="AB67" s="226" t="s">
        <v>278</v>
      </c>
      <c r="AC67" s="67">
        <v>20</v>
      </c>
      <c r="AD67" s="201" t="s">
        <v>154</v>
      </c>
      <c r="AE67" s="2384"/>
      <c r="AF67" s="2384"/>
      <c r="AG67" s="2384"/>
      <c r="AH67" s="2384"/>
      <c r="AI67" s="2384"/>
      <c r="AJ67" s="2384"/>
      <c r="AK67" s="2384"/>
      <c r="AL67" s="2384"/>
      <c r="AM67" s="2384"/>
      <c r="AN67" s="2384"/>
      <c r="AO67" s="2384"/>
      <c r="AP67" s="2384"/>
      <c r="AQ67" s="2384"/>
      <c r="AR67" s="2384"/>
      <c r="AS67" s="2384"/>
      <c r="AT67" s="2384"/>
      <c r="AU67" s="2384"/>
      <c r="AV67" s="2384"/>
      <c r="AW67" s="2384"/>
      <c r="AX67" s="2384"/>
      <c r="AY67" s="2384"/>
      <c r="AZ67" s="2384"/>
      <c r="BA67" s="2384"/>
      <c r="BB67" s="2384"/>
      <c r="BC67" s="2384"/>
      <c r="BD67" s="2384"/>
      <c r="BE67" s="2384"/>
      <c r="BF67" s="2384"/>
      <c r="BG67" s="2384"/>
      <c r="BH67" s="2384"/>
      <c r="BI67" s="2384"/>
      <c r="BJ67" s="2384"/>
      <c r="BK67" s="2384"/>
      <c r="BL67" s="2394"/>
      <c r="BM67" s="2394"/>
      <c r="BN67" s="2390"/>
      <c r="BO67" s="2384"/>
      <c r="BP67" s="2384"/>
      <c r="BQ67" s="2384"/>
      <c r="BR67" s="2384"/>
      <c r="BS67" s="2384"/>
      <c r="BT67" s="2384"/>
      <c r="BU67" s="2384"/>
      <c r="BV67" s="2387"/>
    </row>
    <row r="68" spans="1:74" ht="42.75" customHeight="1" x14ac:dyDescent="0.2">
      <c r="A68" s="229"/>
      <c r="C68" s="230"/>
      <c r="D68" s="231"/>
      <c r="F68" s="231"/>
      <c r="G68" s="2401"/>
      <c r="H68" s="2397"/>
      <c r="I68" s="2294"/>
      <c r="J68" s="2397"/>
      <c r="K68" s="2294"/>
      <c r="L68" s="2397"/>
      <c r="M68" s="2294"/>
      <c r="N68" s="2397"/>
      <c r="O68" s="2294"/>
      <c r="P68" s="2294"/>
      <c r="Q68" s="2294"/>
      <c r="R68" s="2397"/>
      <c r="S68" s="2398"/>
      <c r="T68" s="2399"/>
      <c r="U68" s="2397"/>
      <c r="V68" s="2396"/>
      <c r="W68" s="64" t="s">
        <v>282</v>
      </c>
      <c r="X68" s="247">
        <v>500000</v>
      </c>
      <c r="Y68" s="199">
        <v>500000</v>
      </c>
      <c r="Z68" s="199">
        <v>500000</v>
      </c>
      <c r="AA68" s="199">
        <v>500000</v>
      </c>
      <c r="AB68" s="226" t="s">
        <v>278</v>
      </c>
      <c r="AC68" s="67">
        <v>20</v>
      </c>
      <c r="AD68" s="201" t="s">
        <v>154</v>
      </c>
      <c r="AE68" s="2384"/>
      <c r="AF68" s="2384"/>
      <c r="AG68" s="2384"/>
      <c r="AH68" s="2384"/>
      <c r="AI68" s="2384"/>
      <c r="AJ68" s="2384"/>
      <c r="AK68" s="2384"/>
      <c r="AL68" s="2384"/>
      <c r="AM68" s="2384"/>
      <c r="AN68" s="2384"/>
      <c r="AO68" s="2384"/>
      <c r="AP68" s="2384"/>
      <c r="AQ68" s="2384"/>
      <c r="AR68" s="2384"/>
      <c r="AS68" s="2384"/>
      <c r="AT68" s="2384"/>
      <c r="AU68" s="2384"/>
      <c r="AV68" s="2384"/>
      <c r="AW68" s="2384"/>
      <c r="AX68" s="2384"/>
      <c r="AY68" s="2384"/>
      <c r="AZ68" s="2384"/>
      <c r="BA68" s="2384"/>
      <c r="BB68" s="2384"/>
      <c r="BC68" s="2384"/>
      <c r="BD68" s="2384"/>
      <c r="BE68" s="2384"/>
      <c r="BF68" s="2384"/>
      <c r="BG68" s="2384"/>
      <c r="BH68" s="2384"/>
      <c r="BI68" s="2384"/>
      <c r="BJ68" s="2384"/>
      <c r="BK68" s="2384"/>
      <c r="BL68" s="2394"/>
      <c r="BM68" s="2394"/>
      <c r="BN68" s="2390"/>
      <c r="BO68" s="2384"/>
      <c r="BP68" s="2384"/>
      <c r="BQ68" s="2384"/>
      <c r="BR68" s="2384"/>
      <c r="BS68" s="2384"/>
      <c r="BT68" s="2384"/>
      <c r="BU68" s="2384"/>
      <c r="BV68" s="2387"/>
    </row>
    <row r="69" spans="1:74" ht="42.75" customHeight="1" x14ac:dyDescent="0.2">
      <c r="A69" s="229"/>
      <c r="C69" s="230"/>
      <c r="D69" s="231"/>
      <c r="F69" s="231"/>
      <c r="G69" s="2401"/>
      <c r="H69" s="2397"/>
      <c r="I69" s="2294"/>
      <c r="J69" s="2397"/>
      <c r="K69" s="2294"/>
      <c r="L69" s="2397"/>
      <c r="M69" s="2294"/>
      <c r="N69" s="2397"/>
      <c r="O69" s="2294"/>
      <c r="P69" s="2294"/>
      <c r="Q69" s="2294"/>
      <c r="R69" s="2397"/>
      <c r="S69" s="2398"/>
      <c r="T69" s="2399"/>
      <c r="U69" s="2397"/>
      <c r="V69" s="2396"/>
      <c r="W69" s="64" t="s">
        <v>283</v>
      </c>
      <c r="X69" s="247">
        <v>500000</v>
      </c>
      <c r="Y69" s="199">
        <v>500000</v>
      </c>
      <c r="Z69" s="199">
        <v>500000</v>
      </c>
      <c r="AA69" s="199">
        <v>500000</v>
      </c>
      <c r="AB69" s="226" t="s">
        <v>278</v>
      </c>
      <c r="AC69" s="67">
        <v>20</v>
      </c>
      <c r="AD69" s="201" t="s">
        <v>154</v>
      </c>
      <c r="AE69" s="2384"/>
      <c r="AF69" s="2384"/>
      <c r="AG69" s="2384"/>
      <c r="AH69" s="2384"/>
      <c r="AI69" s="2384"/>
      <c r="AJ69" s="2384"/>
      <c r="AK69" s="2384"/>
      <c r="AL69" s="2384"/>
      <c r="AM69" s="2384"/>
      <c r="AN69" s="2384"/>
      <c r="AO69" s="2384"/>
      <c r="AP69" s="2384"/>
      <c r="AQ69" s="2384"/>
      <c r="AR69" s="2384"/>
      <c r="AS69" s="2384"/>
      <c r="AT69" s="2384"/>
      <c r="AU69" s="2384"/>
      <c r="AV69" s="2384"/>
      <c r="AW69" s="2384"/>
      <c r="AX69" s="2384"/>
      <c r="AY69" s="2384"/>
      <c r="AZ69" s="2384"/>
      <c r="BA69" s="2384"/>
      <c r="BB69" s="2384"/>
      <c r="BC69" s="2384"/>
      <c r="BD69" s="2384"/>
      <c r="BE69" s="2384"/>
      <c r="BF69" s="2384"/>
      <c r="BG69" s="2384"/>
      <c r="BH69" s="2384"/>
      <c r="BI69" s="2384"/>
      <c r="BJ69" s="2384"/>
      <c r="BK69" s="2384"/>
      <c r="BL69" s="2394"/>
      <c r="BM69" s="2394"/>
      <c r="BN69" s="2390"/>
      <c r="BO69" s="2384"/>
      <c r="BP69" s="2384"/>
      <c r="BQ69" s="2384"/>
      <c r="BR69" s="2384"/>
      <c r="BS69" s="2384"/>
      <c r="BT69" s="2384"/>
      <c r="BU69" s="2384"/>
      <c r="BV69" s="2387"/>
    </row>
    <row r="70" spans="1:74" ht="42.75" customHeight="1" x14ac:dyDescent="0.2">
      <c r="A70" s="229"/>
      <c r="C70" s="230"/>
      <c r="D70" s="231"/>
      <c r="F70" s="231"/>
      <c r="G70" s="2401"/>
      <c r="H70" s="2397"/>
      <c r="I70" s="2294"/>
      <c r="J70" s="2397"/>
      <c r="K70" s="2294"/>
      <c r="L70" s="2397"/>
      <c r="M70" s="2294"/>
      <c r="N70" s="2397"/>
      <c r="O70" s="2294"/>
      <c r="P70" s="2294"/>
      <c r="Q70" s="2294"/>
      <c r="R70" s="2397"/>
      <c r="S70" s="2398"/>
      <c r="T70" s="2399"/>
      <c r="U70" s="2397"/>
      <c r="V70" s="2396"/>
      <c r="W70" s="64" t="s">
        <v>284</v>
      </c>
      <c r="X70" s="247">
        <v>500000</v>
      </c>
      <c r="Y70" s="199">
        <v>500000</v>
      </c>
      <c r="Z70" s="199">
        <v>500000</v>
      </c>
      <c r="AA70" s="199">
        <v>500000</v>
      </c>
      <c r="AB70" s="226" t="s">
        <v>278</v>
      </c>
      <c r="AC70" s="67">
        <v>20</v>
      </c>
      <c r="AD70" s="201" t="s">
        <v>154</v>
      </c>
      <c r="AE70" s="2384"/>
      <c r="AF70" s="2384"/>
      <c r="AG70" s="2384"/>
      <c r="AH70" s="2384"/>
      <c r="AI70" s="2384"/>
      <c r="AJ70" s="2384"/>
      <c r="AK70" s="2384"/>
      <c r="AL70" s="2384"/>
      <c r="AM70" s="2384"/>
      <c r="AN70" s="2384"/>
      <c r="AO70" s="2384"/>
      <c r="AP70" s="2384"/>
      <c r="AQ70" s="2384"/>
      <c r="AR70" s="2384"/>
      <c r="AS70" s="2384"/>
      <c r="AT70" s="2384"/>
      <c r="AU70" s="2384"/>
      <c r="AV70" s="2384"/>
      <c r="AW70" s="2384"/>
      <c r="AX70" s="2384"/>
      <c r="AY70" s="2384"/>
      <c r="AZ70" s="2384"/>
      <c r="BA70" s="2384"/>
      <c r="BB70" s="2384"/>
      <c r="BC70" s="2384"/>
      <c r="BD70" s="2384"/>
      <c r="BE70" s="2384"/>
      <c r="BF70" s="2384"/>
      <c r="BG70" s="2384"/>
      <c r="BH70" s="2384"/>
      <c r="BI70" s="2384"/>
      <c r="BJ70" s="2384"/>
      <c r="BK70" s="2384"/>
      <c r="BL70" s="2394"/>
      <c r="BM70" s="2394"/>
      <c r="BN70" s="2390"/>
      <c r="BO70" s="2384"/>
      <c r="BP70" s="2384"/>
      <c r="BQ70" s="2384"/>
      <c r="BR70" s="2384"/>
      <c r="BS70" s="2384"/>
      <c r="BT70" s="2384"/>
      <c r="BU70" s="2384"/>
      <c r="BV70" s="2387"/>
    </row>
    <row r="71" spans="1:74" ht="42.75" customHeight="1" x14ac:dyDescent="0.2">
      <c r="A71" s="229"/>
      <c r="C71" s="230"/>
      <c r="D71" s="231"/>
      <c r="F71" s="231"/>
      <c r="G71" s="2401"/>
      <c r="H71" s="2397"/>
      <c r="I71" s="2294"/>
      <c r="J71" s="2397"/>
      <c r="K71" s="2294"/>
      <c r="L71" s="2397"/>
      <c r="M71" s="2294"/>
      <c r="N71" s="2397"/>
      <c r="O71" s="2294"/>
      <c r="P71" s="2294"/>
      <c r="Q71" s="2294"/>
      <c r="R71" s="2397"/>
      <c r="S71" s="2398"/>
      <c r="T71" s="2399"/>
      <c r="U71" s="2397"/>
      <c r="V71" s="2396"/>
      <c r="W71" s="64" t="s">
        <v>285</v>
      </c>
      <c r="X71" s="247">
        <v>5500000</v>
      </c>
      <c r="Y71" s="199">
        <v>2400000</v>
      </c>
      <c r="Z71" s="199">
        <v>2400000</v>
      </c>
      <c r="AA71" s="199">
        <v>2400000</v>
      </c>
      <c r="AB71" s="226" t="s">
        <v>278</v>
      </c>
      <c r="AC71" s="67">
        <v>20</v>
      </c>
      <c r="AD71" s="201" t="s">
        <v>154</v>
      </c>
      <c r="AE71" s="2384"/>
      <c r="AF71" s="2384"/>
      <c r="AG71" s="2384"/>
      <c r="AH71" s="2384"/>
      <c r="AI71" s="2384"/>
      <c r="AJ71" s="2384"/>
      <c r="AK71" s="2384"/>
      <c r="AL71" s="2384"/>
      <c r="AM71" s="2384"/>
      <c r="AN71" s="2384"/>
      <c r="AO71" s="2384"/>
      <c r="AP71" s="2384"/>
      <c r="AQ71" s="2384"/>
      <c r="AR71" s="2384"/>
      <c r="AS71" s="2384"/>
      <c r="AT71" s="2384"/>
      <c r="AU71" s="2384"/>
      <c r="AV71" s="2384"/>
      <c r="AW71" s="2384"/>
      <c r="AX71" s="2384"/>
      <c r="AY71" s="2384"/>
      <c r="AZ71" s="2384"/>
      <c r="BA71" s="2384"/>
      <c r="BB71" s="2384"/>
      <c r="BC71" s="2384"/>
      <c r="BD71" s="2384"/>
      <c r="BE71" s="2384"/>
      <c r="BF71" s="2384"/>
      <c r="BG71" s="2384"/>
      <c r="BH71" s="2384"/>
      <c r="BI71" s="2384"/>
      <c r="BJ71" s="2384"/>
      <c r="BK71" s="2384"/>
      <c r="BL71" s="2394"/>
      <c r="BM71" s="2394"/>
      <c r="BN71" s="2390"/>
      <c r="BO71" s="2384"/>
      <c r="BP71" s="2384"/>
      <c r="BQ71" s="2384"/>
      <c r="BR71" s="2384"/>
      <c r="BS71" s="2384"/>
      <c r="BT71" s="2384"/>
      <c r="BU71" s="2384"/>
      <c r="BV71" s="2387"/>
    </row>
    <row r="72" spans="1:74" ht="42.75" customHeight="1" x14ac:dyDescent="0.2">
      <c r="A72" s="229"/>
      <c r="C72" s="230"/>
      <c r="D72" s="231"/>
      <c r="F72" s="231"/>
      <c r="G72" s="2401"/>
      <c r="H72" s="2397"/>
      <c r="I72" s="2294"/>
      <c r="J72" s="2397"/>
      <c r="K72" s="2294"/>
      <c r="L72" s="2397"/>
      <c r="M72" s="2294"/>
      <c r="N72" s="2397"/>
      <c r="O72" s="2294"/>
      <c r="P72" s="2294"/>
      <c r="Q72" s="2294"/>
      <c r="R72" s="2397"/>
      <c r="S72" s="2398"/>
      <c r="T72" s="2399"/>
      <c r="U72" s="2397"/>
      <c r="V72" s="2396"/>
      <c r="W72" s="64" t="s">
        <v>286</v>
      </c>
      <c r="X72" s="247">
        <v>2200000</v>
      </c>
      <c r="Y72" s="199">
        <v>1000000</v>
      </c>
      <c r="Z72" s="199">
        <v>1000000</v>
      </c>
      <c r="AA72" s="199">
        <v>1000000</v>
      </c>
      <c r="AB72" s="226" t="s">
        <v>278</v>
      </c>
      <c r="AC72" s="67">
        <v>20</v>
      </c>
      <c r="AD72" s="201" t="s">
        <v>154</v>
      </c>
      <c r="AE72" s="2384"/>
      <c r="AF72" s="2384"/>
      <c r="AG72" s="2384"/>
      <c r="AH72" s="2384"/>
      <c r="AI72" s="2384"/>
      <c r="AJ72" s="2384"/>
      <c r="AK72" s="2384"/>
      <c r="AL72" s="2384"/>
      <c r="AM72" s="2384"/>
      <c r="AN72" s="2384"/>
      <c r="AO72" s="2384"/>
      <c r="AP72" s="2384"/>
      <c r="AQ72" s="2384"/>
      <c r="AR72" s="2384"/>
      <c r="AS72" s="2384"/>
      <c r="AT72" s="2384"/>
      <c r="AU72" s="2384"/>
      <c r="AV72" s="2384"/>
      <c r="AW72" s="2384"/>
      <c r="AX72" s="2384"/>
      <c r="AY72" s="2384"/>
      <c r="AZ72" s="2384"/>
      <c r="BA72" s="2384"/>
      <c r="BB72" s="2384"/>
      <c r="BC72" s="2384"/>
      <c r="BD72" s="2384"/>
      <c r="BE72" s="2384"/>
      <c r="BF72" s="2384"/>
      <c r="BG72" s="2384"/>
      <c r="BH72" s="2384"/>
      <c r="BI72" s="2384"/>
      <c r="BJ72" s="2384"/>
      <c r="BK72" s="2384"/>
      <c r="BL72" s="2394"/>
      <c r="BM72" s="2394"/>
      <c r="BN72" s="2390"/>
      <c r="BO72" s="2384"/>
      <c r="BP72" s="2384"/>
      <c r="BQ72" s="2384"/>
      <c r="BR72" s="2384"/>
      <c r="BS72" s="2384"/>
      <c r="BT72" s="2384"/>
      <c r="BU72" s="2384"/>
      <c r="BV72" s="2387"/>
    </row>
    <row r="73" spans="1:74" ht="42.75" customHeight="1" x14ac:dyDescent="0.2">
      <c r="A73" s="229"/>
      <c r="C73" s="230"/>
      <c r="D73" s="231"/>
      <c r="F73" s="231"/>
      <c r="G73" s="2401"/>
      <c r="H73" s="2397"/>
      <c r="I73" s="2294"/>
      <c r="J73" s="2397"/>
      <c r="K73" s="2294"/>
      <c r="L73" s="2397"/>
      <c r="M73" s="2294"/>
      <c r="N73" s="2397"/>
      <c r="O73" s="2294"/>
      <c r="P73" s="2294"/>
      <c r="Q73" s="2294"/>
      <c r="R73" s="2397"/>
      <c r="S73" s="2398"/>
      <c r="T73" s="2399"/>
      <c r="U73" s="2397"/>
      <c r="V73" s="2396"/>
      <c r="W73" s="64" t="s">
        <v>287</v>
      </c>
      <c r="X73" s="247">
        <v>2200000</v>
      </c>
      <c r="Y73" s="199">
        <v>1200000</v>
      </c>
      <c r="Z73" s="199">
        <v>700000</v>
      </c>
      <c r="AA73" s="199">
        <v>700000</v>
      </c>
      <c r="AB73" s="226" t="s">
        <v>278</v>
      </c>
      <c r="AC73" s="67">
        <v>20</v>
      </c>
      <c r="AD73" s="201" t="s">
        <v>154</v>
      </c>
      <c r="AE73" s="2384"/>
      <c r="AF73" s="2384"/>
      <c r="AG73" s="2384"/>
      <c r="AH73" s="2384"/>
      <c r="AI73" s="2384"/>
      <c r="AJ73" s="2384"/>
      <c r="AK73" s="2384"/>
      <c r="AL73" s="2384"/>
      <c r="AM73" s="2384"/>
      <c r="AN73" s="2384"/>
      <c r="AO73" s="2384"/>
      <c r="AP73" s="2384"/>
      <c r="AQ73" s="2384"/>
      <c r="AR73" s="2384"/>
      <c r="AS73" s="2384"/>
      <c r="AT73" s="2384"/>
      <c r="AU73" s="2384"/>
      <c r="AV73" s="2384"/>
      <c r="AW73" s="2384"/>
      <c r="AX73" s="2384"/>
      <c r="AY73" s="2384"/>
      <c r="AZ73" s="2384"/>
      <c r="BA73" s="2384"/>
      <c r="BB73" s="2384"/>
      <c r="BC73" s="2384"/>
      <c r="BD73" s="2384"/>
      <c r="BE73" s="2384"/>
      <c r="BF73" s="2384"/>
      <c r="BG73" s="2384"/>
      <c r="BH73" s="2384"/>
      <c r="BI73" s="2384"/>
      <c r="BJ73" s="2384"/>
      <c r="BK73" s="2384"/>
      <c r="BL73" s="2394"/>
      <c r="BM73" s="2394"/>
      <c r="BN73" s="2390"/>
      <c r="BO73" s="2384"/>
      <c r="BP73" s="2384"/>
      <c r="BQ73" s="2384"/>
      <c r="BR73" s="2384"/>
      <c r="BS73" s="2384"/>
      <c r="BT73" s="2384"/>
      <c r="BU73" s="2384"/>
      <c r="BV73" s="2387"/>
    </row>
    <row r="74" spans="1:74" ht="42.75" customHeight="1" x14ac:dyDescent="0.2">
      <c r="A74" s="229"/>
      <c r="C74" s="230"/>
      <c r="D74" s="231"/>
      <c r="F74" s="231"/>
      <c r="G74" s="2401"/>
      <c r="H74" s="2397"/>
      <c r="I74" s="2294"/>
      <c r="J74" s="2397"/>
      <c r="K74" s="2294"/>
      <c r="L74" s="2397"/>
      <c r="M74" s="2294"/>
      <c r="N74" s="2397"/>
      <c r="O74" s="2294"/>
      <c r="P74" s="2294"/>
      <c r="Q74" s="2294"/>
      <c r="R74" s="2397"/>
      <c r="S74" s="2398"/>
      <c r="T74" s="2399"/>
      <c r="U74" s="2397"/>
      <c r="V74" s="2396"/>
      <c r="W74" s="64" t="s">
        <v>288</v>
      </c>
      <c r="X74" s="247">
        <v>2200000</v>
      </c>
      <c r="Y74" s="199">
        <v>1700000</v>
      </c>
      <c r="Z74" s="199">
        <v>700000</v>
      </c>
      <c r="AA74" s="199">
        <v>700000</v>
      </c>
      <c r="AB74" s="226" t="s">
        <v>278</v>
      </c>
      <c r="AC74" s="67">
        <v>20</v>
      </c>
      <c r="AD74" s="201" t="s">
        <v>154</v>
      </c>
      <c r="AE74" s="2384"/>
      <c r="AF74" s="2384"/>
      <c r="AG74" s="2384"/>
      <c r="AH74" s="2384"/>
      <c r="AI74" s="2384"/>
      <c r="AJ74" s="2384"/>
      <c r="AK74" s="2384"/>
      <c r="AL74" s="2384"/>
      <c r="AM74" s="2384"/>
      <c r="AN74" s="2384"/>
      <c r="AO74" s="2384"/>
      <c r="AP74" s="2384"/>
      <c r="AQ74" s="2384"/>
      <c r="AR74" s="2384"/>
      <c r="AS74" s="2384"/>
      <c r="AT74" s="2384"/>
      <c r="AU74" s="2384"/>
      <c r="AV74" s="2384"/>
      <c r="AW74" s="2384"/>
      <c r="AX74" s="2384"/>
      <c r="AY74" s="2384"/>
      <c r="AZ74" s="2384"/>
      <c r="BA74" s="2384"/>
      <c r="BB74" s="2384"/>
      <c r="BC74" s="2384"/>
      <c r="BD74" s="2384"/>
      <c r="BE74" s="2384"/>
      <c r="BF74" s="2384"/>
      <c r="BG74" s="2384"/>
      <c r="BH74" s="2384"/>
      <c r="BI74" s="2384"/>
      <c r="BJ74" s="2384"/>
      <c r="BK74" s="2384"/>
      <c r="BL74" s="2394"/>
      <c r="BM74" s="2394"/>
      <c r="BN74" s="2390"/>
      <c r="BO74" s="2384"/>
      <c r="BP74" s="2384"/>
      <c r="BQ74" s="2384"/>
      <c r="BR74" s="2384"/>
      <c r="BS74" s="2384"/>
      <c r="BT74" s="2384"/>
      <c r="BU74" s="2384"/>
      <c r="BV74" s="2387"/>
    </row>
    <row r="75" spans="1:74" ht="42.75" customHeight="1" x14ac:dyDescent="0.2">
      <c r="A75" s="229"/>
      <c r="C75" s="230"/>
      <c r="D75" s="231"/>
      <c r="F75" s="231"/>
      <c r="G75" s="2401"/>
      <c r="H75" s="2397"/>
      <c r="I75" s="2294"/>
      <c r="J75" s="2397"/>
      <c r="K75" s="2294"/>
      <c r="L75" s="2397"/>
      <c r="M75" s="2294"/>
      <c r="N75" s="2397"/>
      <c r="O75" s="2294"/>
      <c r="P75" s="2294"/>
      <c r="Q75" s="2294"/>
      <c r="R75" s="2397"/>
      <c r="S75" s="2398"/>
      <c r="T75" s="2399"/>
      <c r="U75" s="2397"/>
      <c r="V75" s="2396"/>
      <c r="W75" s="64" t="s">
        <v>289</v>
      </c>
      <c r="X75" s="247">
        <v>4400000</v>
      </c>
      <c r="Y75" s="199">
        <v>2400000</v>
      </c>
      <c r="Z75" s="199">
        <v>1400000</v>
      </c>
      <c r="AA75" s="199">
        <v>1400000</v>
      </c>
      <c r="AB75" s="226" t="s">
        <v>278</v>
      </c>
      <c r="AC75" s="67">
        <v>20</v>
      </c>
      <c r="AD75" s="201" t="s">
        <v>154</v>
      </c>
      <c r="AE75" s="2384"/>
      <c r="AF75" s="2384"/>
      <c r="AG75" s="2384"/>
      <c r="AH75" s="2384"/>
      <c r="AI75" s="2384"/>
      <c r="AJ75" s="2384"/>
      <c r="AK75" s="2384"/>
      <c r="AL75" s="2384"/>
      <c r="AM75" s="2384"/>
      <c r="AN75" s="2384"/>
      <c r="AO75" s="2384"/>
      <c r="AP75" s="2384"/>
      <c r="AQ75" s="2384"/>
      <c r="AR75" s="2384"/>
      <c r="AS75" s="2384"/>
      <c r="AT75" s="2384"/>
      <c r="AU75" s="2384"/>
      <c r="AV75" s="2384"/>
      <c r="AW75" s="2384"/>
      <c r="AX75" s="2384"/>
      <c r="AY75" s="2384"/>
      <c r="AZ75" s="2384"/>
      <c r="BA75" s="2384"/>
      <c r="BB75" s="2384"/>
      <c r="BC75" s="2384"/>
      <c r="BD75" s="2384"/>
      <c r="BE75" s="2384"/>
      <c r="BF75" s="2384"/>
      <c r="BG75" s="2384"/>
      <c r="BH75" s="2384"/>
      <c r="BI75" s="2384"/>
      <c r="BJ75" s="2384"/>
      <c r="BK75" s="2384"/>
      <c r="BL75" s="2394"/>
      <c r="BM75" s="2394"/>
      <c r="BN75" s="2390"/>
      <c r="BO75" s="2384"/>
      <c r="BP75" s="2384"/>
      <c r="BQ75" s="2384"/>
      <c r="BR75" s="2384"/>
      <c r="BS75" s="2384"/>
      <c r="BT75" s="2384"/>
      <c r="BU75" s="2384"/>
      <c r="BV75" s="2387"/>
    </row>
    <row r="76" spans="1:74" ht="42.75" customHeight="1" x14ac:dyDescent="0.2">
      <c r="A76" s="229"/>
      <c r="C76" s="230"/>
      <c r="D76" s="231"/>
      <c r="F76" s="231"/>
      <c r="G76" s="2401"/>
      <c r="H76" s="2397"/>
      <c r="I76" s="2294"/>
      <c r="J76" s="2397"/>
      <c r="K76" s="2294"/>
      <c r="L76" s="2397"/>
      <c r="M76" s="2294"/>
      <c r="N76" s="2397"/>
      <c r="O76" s="2294"/>
      <c r="P76" s="2294"/>
      <c r="Q76" s="2294"/>
      <c r="R76" s="2397"/>
      <c r="S76" s="2398"/>
      <c r="T76" s="2399"/>
      <c r="U76" s="2397"/>
      <c r="V76" s="2396"/>
      <c r="W76" s="64" t="s">
        <v>290</v>
      </c>
      <c r="X76" s="247">
        <v>2200000</v>
      </c>
      <c r="Y76" s="199">
        <v>1000000</v>
      </c>
      <c r="Z76" s="199">
        <v>1000000</v>
      </c>
      <c r="AA76" s="199">
        <v>1000000</v>
      </c>
      <c r="AB76" s="226" t="s">
        <v>278</v>
      </c>
      <c r="AC76" s="67">
        <v>20</v>
      </c>
      <c r="AD76" s="201" t="s">
        <v>154</v>
      </c>
      <c r="AE76" s="2384"/>
      <c r="AF76" s="2384"/>
      <c r="AG76" s="2384"/>
      <c r="AH76" s="2384"/>
      <c r="AI76" s="2384"/>
      <c r="AJ76" s="2384"/>
      <c r="AK76" s="2384"/>
      <c r="AL76" s="2384"/>
      <c r="AM76" s="2384"/>
      <c r="AN76" s="2384"/>
      <c r="AO76" s="2384"/>
      <c r="AP76" s="2384"/>
      <c r="AQ76" s="2384"/>
      <c r="AR76" s="2384"/>
      <c r="AS76" s="2384"/>
      <c r="AT76" s="2384"/>
      <c r="AU76" s="2384"/>
      <c r="AV76" s="2384"/>
      <c r="AW76" s="2384"/>
      <c r="AX76" s="2384"/>
      <c r="AY76" s="2384"/>
      <c r="AZ76" s="2384"/>
      <c r="BA76" s="2384"/>
      <c r="BB76" s="2384"/>
      <c r="BC76" s="2384"/>
      <c r="BD76" s="2384"/>
      <c r="BE76" s="2384"/>
      <c r="BF76" s="2384"/>
      <c r="BG76" s="2384"/>
      <c r="BH76" s="2384"/>
      <c r="BI76" s="2384"/>
      <c r="BJ76" s="2384"/>
      <c r="BK76" s="2384"/>
      <c r="BL76" s="2394"/>
      <c r="BM76" s="2394"/>
      <c r="BN76" s="2390"/>
      <c r="BO76" s="2384"/>
      <c r="BP76" s="2384"/>
      <c r="BQ76" s="2384"/>
      <c r="BR76" s="2384"/>
      <c r="BS76" s="2384"/>
      <c r="BT76" s="2384"/>
      <c r="BU76" s="2384"/>
      <c r="BV76" s="2387"/>
    </row>
    <row r="77" spans="1:74" ht="42.75" customHeight="1" x14ac:dyDescent="0.2">
      <c r="A77" s="229"/>
      <c r="C77" s="230"/>
      <c r="D77" s="231"/>
      <c r="F77" s="231"/>
      <c r="G77" s="2401"/>
      <c r="H77" s="2397"/>
      <c r="I77" s="2294"/>
      <c r="J77" s="2397"/>
      <c r="K77" s="2294"/>
      <c r="L77" s="2397"/>
      <c r="M77" s="2294"/>
      <c r="N77" s="2397"/>
      <c r="O77" s="2294"/>
      <c r="P77" s="2294"/>
      <c r="Q77" s="2294"/>
      <c r="R77" s="2397"/>
      <c r="S77" s="2398"/>
      <c r="T77" s="2399"/>
      <c r="U77" s="2397"/>
      <c r="V77" s="2396"/>
      <c r="W77" s="64" t="s">
        <v>291</v>
      </c>
      <c r="X77" s="247">
        <v>2200000</v>
      </c>
      <c r="Y77" s="199">
        <v>1000000</v>
      </c>
      <c r="Z77" s="199">
        <v>1000000</v>
      </c>
      <c r="AA77" s="199">
        <v>1000000</v>
      </c>
      <c r="AB77" s="226" t="s">
        <v>278</v>
      </c>
      <c r="AC77" s="67">
        <v>20</v>
      </c>
      <c r="AD77" s="201" t="s">
        <v>154</v>
      </c>
      <c r="AE77" s="2384"/>
      <c r="AF77" s="2384"/>
      <c r="AG77" s="2384"/>
      <c r="AH77" s="2384"/>
      <c r="AI77" s="2384"/>
      <c r="AJ77" s="2384"/>
      <c r="AK77" s="2384"/>
      <c r="AL77" s="2384"/>
      <c r="AM77" s="2384"/>
      <c r="AN77" s="2384"/>
      <c r="AO77" s="2384"/>
      <c r="AP77" s="2384"/>
      <c r="AQ77" s="2384"/>
      <c r="AR77" s="2384"/>
      <c r="AS77" s="2384"/>
      <c r="AT77" s="2384"/>
      <c r="AU77" s="2384"/>
      <c r="AV77" s="2384"/>
      <c r="AW77" s="2384"/>
      <c r="AX77" s="2384"/>
      <c r="AY77" s="2384"/>
      <c r="AZ77" s="2384"/>
      <c r="BA77" s="2384"/>
      <c r="BB77" s="2384"/>
      <c r="BC77" s="2384"/>
      <c r="BD77" s="2384"/>
      <c r="BE77" s="2384"/>
      <c r="BF77" s="2384"/>
      <c r="BG77" s="2384"/>
      <c r="BH77" s="2384"/>
      <c r="BI77" s="2384"/>
      <c r="BJ77" s="2384"/>
      <c r="BK77" s="2384"/>
      <c r="BL77" s="2394"/>
      <c r="BM77" s="2394"/>
      <c r="BN77" s="2390"/>
      <c r="BO77" s="2384"/>
      <c r="BP77" s="2384"/>
      <c r="BQ77" s="2384"/>
      <c r="BR77" s="2384"/>
      <c r="BS77" s="2384"/>
      <c r="BT77" s="2384"/>
      <c r="BU77" s="2384"/>
      <c r="BV77" s="2387"/>
    </row>
    <row r="78" spans="1:74" ht="42.75" customHeight="1" x14ac:dyDescent="0.2">
      <c r="A78" s="229"/>
      <c r="C78" s="230"/>
      <c r="D78" s="231"/>
      <c r="F78" s="231"/>
      <c r="G78" s="2401"/>
      <c r="H78" s="2397"/>
      <c r="I78" s="2294"/>
      <c r="J78" s="2397"/>
      <c r="K78" s="2294"/>
      <c r="L78" s="2397"/>
      <c r="M78" s="2294"/>
      <c r="N78" s="2397"/>
      <c r="O78" s="2294"/>
      <c r="P78" s="2294"/>
      <c r="Q78" s="2294"/>
      <c r="R78" s="2397"/>
      <c r="S78" s="2398"/>
      <c r="T78" s="2399"/>
      <c r="U78" s="2397"/>
      <c r="V78" s="2396"/>
      <c r="W78" s="64" t="s">
        <v>292</v>
      </c>
      <c r="X78" s="247">
        <v>2200000</v>
      </c>
      <c r="Y78" s="199">
        <v>1000000</v>
      </c>
      <c r="Z78" s="199">
        <v>1000000</v>
      </c>
      <c r="AA78" s="199">
        <v>1000000</v>
      </c>
      <c r="AB78" s="226" t="s">
        <v>278</v>
      </c>
      <c r="AC78" s="67">
        <v>20</v>
      </c>
      <c r="AD78" s="201" t="s">
        <v>154</v>
      </c>
      <c r="AE78" s="2384"/>
      <c r="AF78" s="2384"/>
      <c r="AG78" s="2384"/>
      <c r="AH78" s="2384"/>
      <c r="AI78" s="2384"/>
      <c r="AJ78" s="2384"/>
      <c r="AK78" s="2384"/>
      <c r="AL78" s="2384"/>
      <c r="AM78" s="2384"/>
      <c r="AN78" s="2384"/>
      <c r="AO78" s="2384"/>
      <c r="AP78" s="2384"/>
      <c r="AQ78" s="2384"/>
      <c r="AR78" s="2384"/>
      <c r="AS78" s="2384"/>
      <c r="AT78" s="2384"/>
      <c r="AU78" s="2384"/>
      <c r="AV78" s="2384"/>
      <c r="AW78" s="2384"/>
      <c r="AX78" s="2384"/>
      <c r="AY78" s="2384"/>
      <c r="AZ78" s="2384"/>
      <c r="BA78" s="2384"/>
      <c r="BB78" s="2384"/>
      <c r="BC78" s="2384"/>
      <c r="BD78" s="2384"/>
      <c r="BE78" s="2384"/>
      <c r="BF78" s="2384"/>
      <c r="BG78" s="2384"/>
      <c r="BH78" s="2384"/>
      <c r="BI78" s="2384"/>
      <c r="BJ78" s="2384"/>
      <c r="BK78" s="2384"/>
      <c r="BL78" s="2394"/>
      <c r="BM78" s="2394"/>
      <c r="BN78" s="2390"/>
      <c r="BO78" s="2384"/>
      <c r="BP78" s="2384"/>
      <c r="BQ78" s="2384"/>
      <c r="BR78" s="2384"/>
      <c r="BS78" s="2384"/>
      <c r="BT78" s="2384"/>
      <c r="BU78" s="2384"/>
      <c r="BV78" s="2387"/>
    </row>
    <row r="79" spans="1:74" ht="42.75" customHeight="1" x14ac:dyDescent="0.2">
      <c r="A79" s="229"/>
      <c r="C79" s="230"/>
      <c r="D79" s="231"/>
      <c r="F79" s="231"/>
      <c r="G79" s="2401"/>
      <c r="H79" s="2397"/>
      <c r="I79" s="2294"/>
      <c r="J79" s="2397"/>
      <c r="K79" s="2294"/>
      <c r="L79" s="2397"/>
      <c r="M79" s="2294"/>
      <c r="N79" s="2397"/>
      <c r="O79" s="2294"/>
      <c r="P79" s="2294"/>
      <c r="Q79" s="2294"/>
      <c r="R79" s="2397"/>
      <c r="S79" s="2398"/>
      <c r="T79" s="2399"/>
      <c r="U79" s="2397"/>
      <c r="V79" s="2396"/>
      <c r="W79" s="64" t="s">
        <v>293</v>
      </c>
      <c r="X79" s="247">
        <v>5500000</v>
      </c>
      <c r="Y79" s="199">
        <v>2700000</v>
      </c>
      <c r="Z79" s="199">
        <v>1700000</v>
      </c>
      <c r="AA79" s="199">
        <v>1700000</v>
      </c>
      <c r="AB79" s="226" t="s">
        <v>278</v>
      </c>
      <c r="AC79" s="67">
        <v>20</v>
      </c>
      <c r="AD79" s="201" t="s">
        <v>154</v>
      </c>
      <c r="AE79" s="2384"/>
      <c r="AF79" s="2384"/>
      <c r="AG79" s="2384"/>
      <c r="AH79" s="2384"/>
      <c r="AI79" s="2384"/>
      <c r="AJ79" s="2384"/>
      <c r="AK79" s="2384"/>
      <c r="AL79" s="2384"/>
      <c r="AM79" s="2384"/>
      <c r="AN79" s="2384"/>
      <c r="AO79" s="2384"/>
      <c r="AP79" s="2384"/>
      <c r="AQ79" s="2384"/>
      <c r="AR79" s="2384"/>
      <c r="AS79" s="2384"/>
      <c r="AT79" s="2384"/>
      <c r="AU79" s="2384"/>
      <c r="AV79" s="2384"/>
      <c r="AW79" s="2384"/>
      <c r="AX79" s="2384"/>
      <c r="AY79" s="2384"/>
      <c r="AZ79" s="2384"/>
      <c r="BA79" s="2384"/>
      <c r="BB79" s="2384"/>
      <c r="BC79" s="2384"/>
      <c r="BD79" s="2384"/>
      <c r="BE79" s="2384"/>
      <c r="BF79" s="2384"/>
      <c r="BG79" s="2384"/>
      <c r="BH79" s="2384"/>
      <c r="BI79" s="2384"/>
      <c r="BJ79" s="2384"/>
      <c r="BK79" s="2384"/>
      <c r="BL79" s="2394"/>
      <c r="BM79" s="2394"/>
      <c r="BN79" s="2390"/>
      <c r="BO79" s="2384"/>
      <c r="BP79" s="2384"/>
      <c r="BQ79" s="2384"/>
      <c r="BR79" s="2384"/>
      <c r="BS79" s="2384"/>
      <c r="BT79" s="2384"/>
      <c r="BU79" s="2384"/>
      <c r="BV79" s="2387"/>
    </row>
    <row r="80" spans="1:74" ht="42.75" customHeight="1" x14ac:dyDescent="0.2">
      <c r="A80" s="229"/>
      <c r="C80" s="230"/>
      <c r="D80" s="231"/>
      <c r="F80" s="231"/>
      <c r="G80" s="2401"/>
      <c r="H80" s="2397"/>
      <c r="I80" s="2294"/>
      <c r="J80" s="2397"/>
      <c r="K80" s="2294"/>
      <c r="L80" s="2397"/>
      <c r="M80" s="2294"/>
      <c r="N80" s="2397"/>
      <c r="O80" s="2294"/>
      <c r="P80" s="2294"/>
      <c r="Q80" s="2294"/>
      <c r="R80" s="2397"/>
      <c r="S80" s="2398"/>
      <c r="T80" s="2399"/>
      <c r="U80" s="2397"/>
      <c r="V80" s="2396"/>
      <c r="W80" s="64" t="s">
        <v>294</v>
      </c>
      <c r="X80" s="247">
        <v>4400000</v>
      </c>
      <c r="Y80" s="199">
        <v>2400000</v>
      </c>
      <c r="Z80" s="199">
        <v>1400000</v>
      </c>
      <c r="AA80" s="199">
        <v>1400000</v>
      </c>
      <c r="AB80" s="226" t="s">
        <v>278</v>
      </c>
      <c r="AC80" s="67">
        <v>20</v>
      </c>
      <c r="AD80" s="201" t="s">
        <v>154</v>
      </c>
      <c r="AE80" s="2384"/>
      <c r="AF80" s="2384"/>
      <c r="AG80" s="2384"/>
      <c r="AH80" s="2384"/>
      <c r="AI80" s="2384"/>
      <c r="AJ80" s="2384"/>
      <c r="AK80" s="2384"/>
      <c r="AL80" s="2384"/>
      <c r="AM80" s="2384"/>
      <c r="AN80" s="2384"/>
      <c r="AO80" s="2384"/>
      <c r="AP80" s="2384"/>
      <c r="AQ80" s="2384"/>
      <c r="AR80" s="2384"/>
      <c r="AS80" s="2384"/>
      <c r="AT80" s="2384"/>
      <c r="AU80" s="2384"/>
      <c r="AV80" s="2384"/>
      <c r="AW80" s="2384"/>
      <c r="AX80" s="2384"/>
      <c r="AY80" s="2384"/>
      <c r="AZ80" s="2384"/>
      <c r="BA80" s="2384"/>
      <c r="BB80" s="2384"/>
      <c r="BC80" s="2384"/>
      <c r="BD80" s="2384"/>
      <c r="BE80" s="2384"/>
      <c r="BF80" s="2384"/>
      <c r="BG80" s="2384"/>
      <c r="BH80" s="2384"/>
      <c r="BI80" s="2384"/>
      <c r="BJ80" s="2384"/>
      <c r="BK80" s="2384"/>
      <c r="BL80" s="2394"/>
      <c r="BM80" s="2394"/>
      <c r="BN80" s="2390"/>
      <c r="BO80" s="2384"/>
      <c r="BP80" s="2384"/>
      <c r="BQ80" s="2384"/>
      <c r="BR80" s="2384"/>
      <c r="BS80" s="2384"/>
      <c r="BT80" s="2384"/>
      <c r="BU80" s="2384"/>
      <c r="BV80" s="2387"/>
    </row>
    <row r="81" spans="1:74" ht="42.75" customHeight="1" x14ac:dyDescent="0.2">
      <c r="A81" s="229"/>
      <c r="C81" s="230"/>
      <c r="D81" s="231"/>
      <c r="F81" s="231"/>
      <c r="G81" s="2401"/>
      <c r="H81" s="2397"/>
      <c r="I81" s="2294"/>
      <c r="J81" s="2397"/>
      <c r="K81" s="2294"/>
      <c r="L81" s="2397"/>
      <c r="M81" s="2294"/>
      <c r="N81" s="2397"/>
      <c r="O81" s="2294"/>
      <c r="P81" s="2294"/>
      <c r="Q81" s="2294"/>
      <c r="R81" s="2397"/>
      <c r="S81" s="2398"/>
      <c r="T81" s="2399"/>
      <c r="U81" s="2397"/>
      <c r="V81" s="2396"/>
      <c r="W81" s="64" t="s">
        <v>295</v>
      </c>
      <c r="X81" s="247">
        <v>4400000</v>
      </c>
      <c r="Y81" s="199">
        <v>2000000</v>
      </c>
      <c r="Z81" s="199">
        <v>2000000</v>
      </c>
      <c r="AA81" s="199">
        <v>2000000</v>
      </c>
      <c r="AB81" s="226" t="s">
        <v>278</v>
      </c>
      <c r="AC81" s="67">
        <v>20</v>
      </c>
      <c r="AD81" s="201" t="s">
        <v>154</v>
      </c>
      <c r="AE81" s="2384"/>
      <c r="AF81" s="2384"/>
      <c r="AG81" s="2384"/>
      <c r="AH81" s="2384"/>
      <c r="AI81" s="2384"/>
      <c r="AJ81" s="2384"/>
      <c r="AK81" s="2384"/>
      <c r="AL81" s="2384"/>
      <c r="AM81" s="2384"/>
      <c r="AN81" s="2384"/>
      <c r="AO81" s="2384"/>
      <c r="AP81" s="2384"/>
      <c r="AQ81" s="2384"/>
      <c r="AR81" s="2384"/>
      <c r="AS81" s="2384"/>
      <c r="AT81" s="2384"/>
      <c r="AU81" s="2384"/>
      <c r="AV81" s="2384"/>
      <c r="AW81" s="2384"/>
      <c r="AX81" s="2384"/>
      <c r="AY81" s="2384"/>
      <c r="AZ81" s="2384"/>
      <c r="BA81" s="2384"/>
      <c r="BB81" s="2384"/>
      <c r="BC81" s="2384"/>
      <c r="BD81" s="2384"/>
      <c r="BE81" s="2384"/>
      <c r="BF81" s="2384"/>
      <c r="BG81" s="2384"/>
      <c r="BH81" s="2384"/>
      <c r="BI81" s="2384"/>
      <c r="BJ81" s="2384"/>
      <c r="BK81" s="2384"/>
      <c r="BL81" s="2394"/>
      <c r="BM81" s="2394"/>
      <c r="BN81" s="2390"/>
      <c r="BO81" s="2384"/>
      <c r="BP81" s="2384"/>
      <c r="BQ81" s="2384"/>
      <c r="BR81" s="2384"/>
      <c r="BS81" s="2384"/>
      <c r="BT81" s="2384"/>
      <c r="BU81" s="2384"/>
      <c r="BV81" s="2387"/>
    </row>
    <row r="82" spans="1:74" ht="42.75" customHeight="1" x14ac:dyDescent="0.2">
      <c r="A82" s="229"/>
      <c r="C82" s="230"/>
      <c r="D82" s="231"/>
      <c r="F82" s="231"/>
      <c r="G82" s="2401"/>
      <c r="H82" s="2397"/>
      <c r="I82" s="2294"/>
      <c r="J82" s="2397"/>
      <c r="K82" s="2294"/>
      <c r="L82" s="2397"/>
      <c r="M82" s="2294"/>
      <c r="N82" s="2397"/>
      <c r="O82" s="2294"/>
      <c r="P82" s="2294"/>
      <c r="Q82" s="2294"/>
      <c r="R82" s="2397"/>
      <c r="S82" s="2398"/>
      <c r="T82" s="2399"/>
      <c r="U82" s="2397"/>
      <c r="V82" s="2396"/>
      <c r="W82" s="64" t="s">
        <v>296</v>
      </c>
      <c r="X82" s="247">
        <v>4400000</v>
      </c>
      <c r="Y82" s="199">
        <v>2400000</v>
      </c>
      <c r="Z82" s="199">
        <v>1400000</v>
      </c>
      <c r="AA82" s="199">
        <v>1400000</v>
      </c>
      <c r="AB82" s="226" t="s">
        <v>278</v>
      </c>
      <c r="AC82" s="67">
        <v>20</v>
      </c>
      <c r="AD82" s="201" t="s">
        <v>154</v>
      </c>
      <c r="AE82" s="2384"/>
      <c r="AF82" s="2384"/>
      <c r="AG82" s="2384"/>
      <c r="AH82" s="2384"/>
      <c r="AI82" s="2384"/>
      <c r="AJ82" s="2384"/>
      <c r="AK82" s="2384"/>
      <c r="AL82" s="2384"/>
      <c r="AM82" s="2384"/>
      <c r="AN82" s="2384"/>
      <c r="AO82" s="2384"/>
      <c r="AP82" s="2384"/>
      <c r="AQ82" s="2384"/>
      <c r="AR82" s="2384"/>
      <c r="AS82" s="2384"/>
      <c r="AT82" s="2384"/>
      <c r="AU82" s="2384"/>
      <c r="AV82" s="2384"/>
      <c r="AW82" s="2384"/>
      <c r="AX82" s="2384"/>
      <c r="AY82" s="2384"/>
      <c r="AZ82" s="2384"/>
      <c r="BA82" s="2384"/>
      <c r="BB82" s="2384"/>
      <c r="BC82" s="2384"/>
      <c r="BD82" s="2384"/>
      <c r="BE82" s="2384"/>
      <c r="BF82" s="2384"/>
      <c r="BG82" s="2384"/>
      <c r="BH82" s="2384"/>
      <c r="BI82" s="2384"/>
      <c r="BJ82" s="2384"/>
      <c r="BK82" s="2384"/>
      <c r="BL82" s="2394"/>
      <c r="BM82" s="2394"/>
      <c r="BN82" s="2390"/>
      <c r="BO82" s="2384"/>
      <c r="BP82" s="2384"/>
      <c r="BQ82" s="2384"/>
      <c r="BR82" s="2384"/>
      <c r="BS82" s="2384"/>
      <c r="BT82" s="2384"/>
      <c r="BU82" s="2384"/>
      <c r="BV82" s="2387"/>
    </row>
    <row r="83" spans="1:74" ht="42.75" customHeight="1" x14ac:dyDescent="0.2">
      <c r="A83" s="229"/>
      <c r="C83" s="230"/>
      <c r="D83" s="231"/>
      <c r="F83" s="231"/>
      <c r="G83" s="2401"/>
      <c r="H83" s="2397"/>
      <c r="I83" s="2294"/>
      <c r="J83" s="2397"/>
      <c r="K83" s="2294"/>
      <c r="L83" s="2397"/>
      <c r="M83" s="2294"/>
      <c r="N83" s="2397"/>
      <c r="O83" s="2294"/>
      <c r="P83" s="2294"/>
      <c r="Q83" s="2294"/>
      <c r="R83" s="2397"/>
      <c r="S83" s="2398"/>
      <c r="T83" s="2399"/>
      <c r="U83" s="2397"/>
      <c r="V83" s="2396"/>
      <c r="W83" s="64" t="s">
        <v>297</v>
      </c>
      <c r="X83" s="247">
        <v>4400000</v>
      </c>
      <c r="Y83" s="199">
        <v>1500000</v>
      </c>
      <c r="Z83" s="199">
        <v>1500000</v>
      </c>
      <c r="AA83" s="199">
        <v>1500000</v>
      </c>
      <c r="AB83" s="226" t="s">
        <v>278</v>
      </c>
      <c r="AC83" s="67">
        <v>20</v>
      </c>
      <c r="AD83" s="201" t="s">
        <v>154</v>
      </c>
      <c r="AE83" s="2384"/>
      <c r="AF83" s="2384"/>
      <c r="AG83" s="2384"/>
      <c r="AH83" s="2384"/>
      <c r="AI83" s="2384"/>
      <c r="AJ83" s="2384"/>
      <c r="AK83" s="2384"/>
      <c r="AL83" s="2384"/>
      <c r="AM83" s="2384"/>
      <c r="AN83" s="2384"/>
      <c r="AO83" s="2384"/>
      <c r="AP83" s="2384"/>
      <c r="AQ83" s="2384"/>
      <c r="AR83" s="2384"/>
      <c r="AS83" s="2384"/>
      <c r="AT83" s="2384"/>
      <c r="AU83" s="2384"/>
      <c r="AV83" s="2384"/>
      <c r="AW83" s="2384"/>
      <c r="AX83" s="2384"/>
      <c r="AY83" s="2384"/>
      <c r="AZ83" s="2384"/>
      <c r="BA83" s="2384"/>
      <c r="BB83" s="2384"/>
      <c r="BC83" s="2384"/>
      <c r="BD83" s="2384"/>
      <c r="BE83" s="2384"/>
      <c r="BF83" s="2384"/>
      <c r="BG83" s="2384"/>
      <c r="BH83" s="2384"/>
      <c r="BI83" s="2384"/>
      <c r="BJ83" s="2384"/>
      <c r="BK83" s="2384"/>
      <c r="BL83" s="2394"/>
      <c r="BM83" s="2394"/>
      <c r="BN83" s="2390"/>
      <c r="BO83" s="2384"/>
      <c r="BP83" s="2384"/>
      <c r="BQ83" s="2384"/>
      <c r="BR83" s="2384"/>
      <c r="BS83" s="2384"/>
      <c r="BT83" s="2384"/>
      <c r="BU83" s="2384"/>
      <c r="BV83" s="2387"/>
    </row>
    <row r="84" spans="1:74" ht="42.75" customHeight="1" x14ac:dyDescent="0.2">
      <c r="A84" s="229"/>
      <c r="C84" s="230"/>
      <c r="D84" s="231"/>
      <c r="F84" s="231"/>
      <c r="G84" s="2401"/>
      <c r="H84" s="2397"/>
      <c r="I84" s="2294"/>
      <c r="J84" s="2397"/>
      <c r="K84" s="2294"/>
      <c r="L84" s="2397"/>
      <c r="M84" s="2294"/>
      <c r="N84" s="2397"/>
      <c r="O84" s="2294"/>
      <c r="P84" s="2294"/>
      <c r="Q84" s="2294"/>
      <c r="R84" s="2397"/>
      <c r="S84" s="2398"/>
      <c r="T84" s="2399"/>
      <c r="U84" s="2397"/>
      <c r="V84" s="2396"/>
      <c r="W84" s="64" t="s">
        <v>298</v>
      </c>
      <c r="X84" s="247">
        <v>2200000</v>
      </c>
      <c r="Y84" s="199">
        <v>1700000</v>
      </c>
      <c r="Z84" s="199">
        <v>700000</v>
      </c>
      <c r="AA84" s="199">
        <v>700000</v>
      </c>
      <c r="AB84" s="226" t="s">
        <v>278</v>
      </c>
      <c r="AC84" s="67">
        <v>20</v>
      </c>
      <c r="AD84" s="201" t="s">
        <v>154</v>
      </c>
      <c r="AE84" s="2384"/>
      <c r="AF84" s="2384"/>
      <c r="AG84" s="2384"/>
      <c r="AH84" s="2384"/>
      <c r="AI84" s="2384"/>
      <c r="AJ84" s="2384"/>
      <c r="AK84" s="2384"/>
      <c r="AL84" s="2384"/>
      <c r="AM84" s="2384"/>
      <c r="AN84" s="2384"/>
      <c r="AO84" s="2384"/>
      <c r="AP84" s="2384"/>
      <c r="AQ84" s="2384"/>
      <c r="AR84" s="2384"/>
      <c r="AS84" s="2384"/>
      <c r="AT84" s="2384"/>
      <c r="AU84" s="2384"/>
      <c r="AV84" s="2384"/>
      <c r="AW84" s="2384"/>
      <c r="AX84" s="2384"/>
      <c r="AY84" s="2384"/>
      <c r="AZ84" s="2384"/>
      <c r="BA84" s="2384"/>
      <c r="BB84" s="2384"/>
      <c r="BC84" s="2384"/>
      <c r="BD84" s="2384"/>
      <c r="BE84" s="2384"/>
      <c r="BF84" s="2384"/>
      <c r="BG84" s="2384"/>
      <c r="BH84" s="2384"/>
      <c r="BI84" s="2384"/>
      <c r="BJ84" s="2384"/>
      <c r="BK84" s="2384"/>
      <c r="BL84" s="2394"/>
      <c r="BM84" s="2394"/>
      <c r="BN84" s="2390"/>
      <c r="BO84" s="2384"/>
      <c r="BP84" s="2384"/>
      <c r="BQ84" s="2384"/>
      <c r="BR84" s="2384"/>
      <c r="BS84" s="2384"/>
      <c r="BT84" s="2384"/>
      <c r="BU84" s="2384"/>
      <c r="BV84" s="2387"/>
    </row>
    <row r="85" spans="1:74" ht="42.75" customHeight="1" x14ac:dyDescent="0.2">
      <c r="A85" s="229"/>
      <c r="C85" s="230"/>
      <c r="D85" s="231"/>
      <c r="F85" s="231"/>
      <c r="G85" s="2401"/>
      <c r="H85" s="2397"/>
      <c r="I85" s="2294"/>
      <c r="J85" s="2397"/>
      <c r="K85" s="2294"/>
      <c r="L85" s="2397"/>
      <c r="M85" s="2294"/>
      <c r="N85" s="2397"/>
      <c r="O85" s="2294"/>
      <c r="P85" s="2294"/>
      <c r="Q85" s="2294"/>
      <c r="R85" s="2397"/>
      <c r="S85" s="2398"/>
      <c r="T85" s="2399"/>
      <c r="U85" s="2397"/>
      <c r="V85" s="2396"/>
      <c r="W85" s="64" t="s">
        <v>299</v>
      </c>
      <c r="X85" s="247">
        <v>3300000</v>
      </c>
      <c r="Y85" s="199">
        <v>1900000</v>
      </c>
      <c r="Z85" s="199">
        <v>900000</v>
      </c>
      <c r="AA85" s="199">
        <v>900000</v>
      </c>
      <c r="AB85" s="226" t="s">
        <v>278</v>
      </c>
      <c r="AC85" s="67">
        <v>20</v>
      </c>
      <c r="AD85" s="201" t="s">
        <v>154</v>
      </c>
      <c r="AE85" s="2384"/>
      <c r="AF85" s="2384"/>
      <c r="AG85" s="2384"/>
      <c r="AH85" s="2384"/>
      <c r="AI85" s="2384"/>
      <c r="AJ85" s="2384"/>
      <c r="AK85" s="2384"/>
      <c r="AL85" s="2384"/>
      <c r="AM85" s="2384"/>
      <c r="AN85" s="2384"/>
      <c r="AO85" s="2384"/>
      <c r="AP85" s="2384"/>
      <c r="AQ85" s="2384"/>
      <c r="AR85" s="2384"/>
      <c r="AS85" s="2384"/>
      <c r="AT85" s="2384"/>
      <c r="AU85" s="2384"/>
      <c r="AV85" s="2384"/>
      <c r="AW85" s="2384"/>
      <c r="AX85" s="2384"/>
      <c r="AY85" s="2384"/>
      <c r="AZ85" s="2384"/>
      <c r="BA85" s="2384"/>
      <c r="BB85" s="2384"/>
      <c r="BC85" s="2384"/>
      <c r="BD85" s="2384"/>
      <c r="BE85" s="2384"/>
      <c r="BF85" s="2384"/>
      <c r="BG85" s="2384"/>
      <c r="BH85" s="2384"/>
      <c r="BI85" s="2384"/>
      <c r="BJ85" s="2384"/>
      <c r="BK85" s="2384"/>
      <c r="BL85" s="2394"/>
      <c r="BM85" s="2394"/>
      <c r="BN85" s="2390"/>
      <c r="BO85" s="2384"/>
      <c r="BP85" s="2384"/>
      <c r="BQ85" s="2384"/>
      <c r="BR85" s="2384"/>
      <c r="BS85" s="2384"/>
      <c r="BT85" s="2384"/>
      <c r="BU85" s="2384"/>
      <c r="BV85" s="2387"/>
    </row>
    <row r="86" spans="1:74" ht="42.75" customHeight="1" x14ac:dyDescent="0.2">
      <c r="A86" s="229"/>
      <c r="C86" s="230"/>
      <c r="D86" s="231"/>
      <c r="F86" s="231"/>
      <c r="G86" s="2401"/>
      <c r="H86" s="2397"/>
      <c r="I86" s="2294"/>
      <c r="J86" s="2397"/>
      <c r="K86" s="2294"/>
      <c r="L86" s="2397"/>
      <c r="M86" s="2294"/>
      <c r="N86" s="2397"/>
      <c r="O86" s="2294"/>
      <c r="P86" s="2294"/>
      <c r="Q86" s="2294"/>
      <c r="R86" s="2397"/>
      <c r="S86" s="2398"/>
      <c r="T86" s="2399"/>
      <c r="U86" s="2397"/>
      <c r="V86" s="2396"/>
      <c r="W86" s="64" t="s">
        <v>300</v>
      </c>
      <c r="X86" s="247">
        <v>2200000</v>
      </c>
      <c r="Y86" s="199">
        <v>2200000</v>
      </c>
      <c r="Z86" s="199">
        <v>700000</v>
      </c>
      <c r="AA86" s="199">
        <v>700000</v>
      </c>
      <c r="AB86" s="226" t="s">
        <v>278</v>
      </c>
      <c r="AC86" s="67">
        <v>20</v>
      </c>
      <c r="AD86" s="201" t="s">
        <v>154</v>
      </c>
      <c r="AE86" s="2384"/>
      <c r="AF86" s="2384"/>
      <c r="AG86" s="2384"/>
      <c r="AH86" s="2384"/>
      <c r="AI86" s="2384"/>
      <c r="AJ86" s="2384"/>
      <c r="AK86" s="2384"/>
      <c r="AL86" s="2384"/>
      <c r="AM86" s="2384"/>
      <c r="AN86" s="2384"/>
      <c r="AO86" s="2384"/>
      <c r="AP86" s="2384"/>
      <c r="AQ86" s="2384"/>
      <c r="AR86" s="2384"/>
      <c r="AS86" s="2384"/>
      <c r="AT86" s="2384"/>
      <c r="AU86" s="2384"/>
      <c r="AV86" s="2384"/>
      <c r="AW86" s="2384"/>
      <c r="AX86" s="2384"/>
      <c r="AY86" s="2384"/>
      <c r="AZ86" s="2384"/>
      <c r="BA86" s="2384"/>
      <c r="BB86" s="2384"/>
      <c r="BC86" s="2384"/>
      <c r="BD86" s="2384"/>
      <c r="BE86" s="2384"/>
      <c r="BF86" s="2384"/>
      <c r="BG86" s="2384"/>
      <c r="BH86" s="2384"/>
      <c r="BI86" s="2384"/>
      <c r="BJ86" s="2384"/>
      <c r="BK86" s="2384"/>
      <c r="BL86" s="2394"/>
      <c r="BM86" s="2394"/>
      <c r="BN86" s="2390"/>
      <c r="BO86" s="2384"/>
      <c r="BP86" s="2384"/>
      <c r="BQ86" s="2384"/>
      <c r="BR86" s="2384"/>
      <c r="BS86" s="2384"/>
      <c r="BT86" s="2384"/>
      <c r="BU86" s="2384"/>
      <c r="BV86" s="2387"/>
    </row>
    <row r="87" spans="1:74" ht="42.75" customHeight="1" x14ac:dyDescent="0.2">
      <c r="A87" s="229"/>
      <c r="C87" s="230"/>
      <c r="D87" s="231"/>
      <c r="F87" s="231"/>
      <c r="G87" s="2401"/>
      <c r="H87" s="2397"/>
      <c r="I87" s="2294"/>
      <c r="J87" s="2397"/>
      <c r="K87" s="2294"/>
      <c r="L87" s="2397"/>
      <c r="M87" s="2294"/>
      <c r="N87" s="2397"/>
      <c r="O87" s="2294"/>
      <c r="P87" s="2294"/>
      <c r="Q87" s="2294"/>
      <c r="R87" s="2397"/>
      <c r="S87" s="2398"/>
      <c r="T87" s="2399"/>
      <c r="U87" s="2397"/>
      <c r="V87" s="2396"/>
      <c r="W87" s="64" t="s">
        <v>301</v>
      </c>
      <c r="X87" s="247">
        <v>5500000</v>
      </c>
      <c r="Y87" s="199">
        <v>1400000</v>
      </c>
      <c r="Z87" s="199">
        <v>1400000</v>
      </c>
      <c r="AA87" s="199">
        <v>1400000</v>
      </c>
      <c r="AB87" s="226" t="s">
        <v>278</v>
      </c>
      <c r="AC87" s="67">
        <v>20</v>
      </c>
      <c r="AD87" s="201" t="s">
        <v>154</v>
      </c>
      <c r="AE87" s="2384"/>
      <c r="AF87" s="2384"/>
      <c r="AG87" s="2384"/>
      <c r="AH87" s="2384"/>
      <c r="AI87" s="2384"/>
      <c r="AJ87" s="2384"/>
      <c r="AK87" s="2384"/>
      <c r="AL87" s="2384"/>
      <c r="AM87" s="2384"/>
      <c r="AN87" s="2384"/>
      <c r="AO87" s="2384"/>
      <c r="AP87" s="2384"/>
      <c r="AQ87" s="2384"/>
      <c r="AR87" s="2384"/>
      <c r="AS87" s="2384"/>
      <c r="AT87" s="2384"/>
      <c r="AU87" s="2384"/>
      <c r="AV87" s="2384"/>
      <c r="AW87" s="2384"/>
      <c r="AX87" s="2384"/>
      <c r="AY87" s="2384"/>
      <c r="AZ87" s="2384"/>
      <c r="BA87" s="2384"/>
      <c r="BB87" s="2384"/>
      <c r="BC87" s="2384"/>
      <c r="BD87" s="2384"/>
      <c r="BE87" s="2384"/>
      <c r="BF87" s="2384"/>
      <c r="BG87" s="2384"/>
      <c r="BH87" s="2384"/>
      <c r="BI87" s="2384"/>
      <c r="BJ87" s="2384"/>
      <c r="BK87" s="2384"/>
      <c r="BL87" s="2394"/>
      <c r="BM87" s="2394"/>
      <c r="BN87" s="2390"/>
      <c r="BO87" s="2384"/>
      <c r="BP87" s="2384"/>
      <c r="BQ87" s="2384"/>
      <c r="BR87" s="2384"/>
      <c r="BS87" s="2384"/>
      <c r="BT87" s="2384"/>
      <c r="BU87" s="2384"/>
      <c r="BV87" s="2387"/>
    </row>
    <row r="88" spans="1:74" ht="42.75" customHeight="1" x14ac:dyDescent="0.2">
      <c r="A88" s="229"/>
      <c r="C88" s="230"/>
      <c r="D88" s="231"/>
      <c r="F88" s="231"/>
      <c r="G88" s="2401"/>
      <c r="H88" s="2397"/>
      <c r="I88" s="2294"/>
      <c r="J88" s="2397"/>
      <c r="K88" s="2294"/>
      <c r="L88" s="2397"/>
      <c r="M88" s="2294"/>
      <c r="N88" s="2397"/>
      <c r="O88" s="2294"/>
      <c r="P88" s="2294"/>
      <c r="Q88" s="2294"/>
      <c r="R88" s="2397"/>
      <c r="S88" s="2398"/>
      <c r="T88" s="2399"/>
      <c r="U88" s="2397"/>
      <c r="V88" s="2396"/>
      <c r="W88" s="64" t="s">
        <v>302</v>
      </c>
      <c r="X88" s="247">
        <v>4600000</v>
      </c>
      <c r="Y88" s="199">
        <v>2300000</v>
      </c>
      <c r="Z88" s="199">
        <v>1400000</v>
      </c>
      <c r="AA88" s="199">
        <v>1400000</v>
      </c>
      <c r="AB88" s="226" t="s">
        <v>278</v>
      </c>
      <c r="AC88" s="67">
        <v>20</v>
      </c>
      <c r="AD88" s="201" t="s">
        <v>154</v>
      </c>
      <c r="AE88" s="2384"/>
      <c r="AF88" s="2384"/>
      <c r="AG88" s="2384"/>
      <c r="AH88" s="2384"/>
      <c r="AI88" s="2384"/>
      <c r="AJ88" s="2384"/>
      <c r="AK88" s="2384"/>
      <c r="AL88" s="2384"/>
      <c r="AM88" s="2384"/>
      <c r="AN88" s="2384"/>
      <c r="AO88" s="2384"/>
      <c r="AP88" s="2384"/>
      <c r="AQ88" s="2384"/>
      <c r="AR88" s="2384"/>
      <c r="AS88" s="2384"/>
      <c r="AT88" s="2384"/>
      <c r="AU88" s="2384"/>
      <c r="AV88" s="2384"/>
      <c r="AW88" s="2384"/>
      <c r="AX88" s="2384"/>
      <c r="AY88" s="2384"/>
      <c r="AZ88" s="2384"/>
      <c r="BA88" s="2384"/>
      <c r="BB88" s="2384"/>
      <c r="BC88" s="2384"/>
      <c r="BD88" s="2384"/>
      <c r="BE88" s="2384"/>
      <c r="BF88" s="2384"/>
      <c r="BG88" s="2384"/>
      <c r="BH88" s="2384"/>
      <c r="BI88" s="2384"/>
      <c r="BJ88" s="2384"/>
      <c r="BK88" s="2384"/>
      <c r="BL88" s="2394"/>
      <c r="BM88" s="2394"/>
      <c r="BN88" s="2390"/>
      <c r="BO88" s="2384"/>
      <c r="BP88" s="2384"/>
      <c r="BQ88" s="2384"/>
      <c r="BR88" s="2384"/>
      <c r="BS88" s="2384"/>
      <c r="BT88" s="2384"/>
      <c r="BU88" s="2384"/>
      <c r="BV88" s="2387"/>
    </row>
    <row r="89" spans="1:74" ht="42.75" customHeight="1" x14ac:dyDescent="0.2">
      <c r="A89" s="229"/>
      <c r="C89" s="230"/>
      <c r="D89" s="231"/>
      <c r="F89" s="231"/>
      <c r="G89" s="2401"/>
      <c r="H89" s="2397"/>
      <c r="I89" s="2294"/>
      <c r="J89" s="2397"/>
      <c r="K89" s="2294"/>
      <c r="L89" s="2397"/>
      <c r="M89" s="2294"/>
      <c r="N89" s="2397"/>
      <c r="O89" s="2294"/>
      <c r="P89" s="2294"/>
      <c r="Q89" s="2294"/>
      <c r="R89" s="2397"/>
      <c r="S89" s="2398"/>
      <c r="T89" s="2399"/>
      <c r="U89" s="2397"/>
      <c r="V89" s="2396"/>
      <c r="W89" s="258" t="s">
        <v>303</v>
      </c>
      <c r="X89" s="247">
        <v>2400000</v>
      </c>
      <c r="Y89" s="199">
        <v>600000</v>
      </c>
      <c r="Z89" s="199">
        <v>600000</v>
      </c>
      <c r="AA89" s="199">
        <v>600000</v>
      </c>
      <c r="AB89" s="226" t="s">
        <v>278</v>
      </c>
      <c r="AC89" s="67">
        <v>20</v>
      </c>
      <c r="AD89" s="201" t="s">
        <v>154</v>
      </c>
      <c r="AE89" s="2384"/>
      <c r="AF89" s="2384"/>
      <c r="AG89" s="2384"/>
      <c r="AH89" s="2384"/>
      <c r="AI89" s="2384"/>
      <c r="AJ89" s="2384"/>
      <c r="AK89" s="2384"/>
      <c r="AL89" s="2384"/>
      <c r="AM89" s="2384"/>
      <c r="AN89" s="2384"/>
      <c r="AO89" s="2384"/>
      <c r="AP89" s="2384"/>
      <c r="AQ89" s="2384"/>
      <c r="AR89" s="2384"/>
      <c r="AS89" s="2384"/>
      <c r="AT89" s="2384"/>
      <c r="AU89" s="2384"/>
      <c r="AV89" s="2384"/>
      <c r="AW89" s="2384"/>
      <c r="AX89" s="2384"/>
      <c r="AY89" s="2384"/>
      <c r="AZ89" s="2384"/>
      <c r="BA89" s="2384"/>
      <c r="BB89" s="2384"/>
      <c r="BC89" s="2384"/>
      <c r="BD89" s="2384"/>
      <c r="BE89" s="2384"/>
      <c r="BF89" s="2384"/>
      <c r="BG89" s="2384"/>
      <c r="BH89" s="2384"/>
      <c r="BI89" s="2384"/>
      <c r="BJ89" s="2384"/>
      <c r="BK89" s="2384"/>
      <c r="BL89" s="2394"/>
      <c r="BM89" s="2394"/>
      <c r="BN89" s="2390"/>
      <c r="BO89" s="2384"/>
      <c r="BP89" s="2384"/>
      <c r="BQ89" s="2384"/>
      <c r="BR89" s="2384"/>
      <c r="BS89" s="2384"/>
      <c r="BT89" s="2384"/>
      <c r="BU89" s="2384"/>
      <c r="BV89" s="2387"/>
    </row>
    <row r="90" spans="1:74" ht="42.75" customHeight="1" x14ac:dyDescent="0.2">
      <c r="A90" s="229"/>
      <c r="C90" s="230"/>
      <c r="D90" s="231"/>
      <c r="F90" s="231"/>
      <c r="G90" s="2401"/>
      <c r="H90" s="2397"/>
      <c r="I90" s="2294"/>
      <c r="J90" s="2397"/>
      <c r="K90" s="2294"/>
      <c r="L90" s="2397"/>
      <c r="M90" s="2294"/>
      <c r="N90" s="2397"/>
      <c r="O90" s="2294"/>
      <c r="P90" s="2294"/>
      <c r="Q90" s="2294"/>
      <c r="R90" s="2397"/>
      <c r="S90" s="2398"/>
      <c r="T90" s="2399"/>
      <c r="U90" s="2397"/>
      <c r="V90" s="2396"/>
      <c r="W90" s="258" t="s">
        <v>304</v>
      </c>
      <c r="X90" s="247">
        <v>2100000</v>
      </c>
      <c r="Y90" s="199">
        <v>0</v>
      </c>
      <c r="Z90" s="199">
        <v>0</v>
      </c>
      <c r="AA90" s="199">
        <v>0</v>
      </c>
      <c r="AB90" s="226" t="s">
        <v>278</v>
      </c>
      <c r="AC90" s="67">
        <v>20</v>
      </c>
      <c r="AD90" s="201" t="s">
        <v>154</v>
      </c>
      <c r="AE90" s="2385"/>
      <c r="AF90" s="2385"/>
      <c r="AG90" s="2385"/>
      <c r="AH90" s="2385"/>
      <c r="AI90" s="2385"/>
      <c r="AJ90" s="2385"/>
      <c r="AK90" s="2385"/>
      <c r="AL90" s="2385"/>
      <c r="AM90" s="2385"/>
      <c r="AN90" s="2385"/>
      <c r="AO90" s="2385"/>
      <c r="AP90" s="2385"/>
      <c r="AQ90" s="2385"/>
      <c r="AR90" s="2385"/>
      <c r="AS90" s="2385"/>
      <c r="AT90" s="2385"/>
      <c r="AU90" s="2385"/>
      <c r="AV90" s="2385"/>
      <c r="AW90" s="2385"/>
      <c r="AX90" s="2385"/>
      <c r="AY90" s="2385"/>
      <c r="AZ90" s="2385"/>
      <c r="BA90" s="2385"/>
      <c r="BB90" s="2385"/>
      <c r="BC90" s="2385"/>
      <c r="BD90" s="2385"/>
      <c r="BE90" s="2385"/>
      <c r="BF90" s="2385"/>
      <c r="BG90" s="2385"/>
      <c r="BH90" s="2385"/>
      <c r="BI90" s="2385"/>
      <c r="BJ90" s="2385"/>
      <c r="BK90" s="2385"/>
      <c r="BL90" s="2395"/>
      <c r="BM90" s="2395"/>
      <c r="BN90" s="2391"/>
      <c r="BO90" s="2385"/>
      <c r="BP90" s="2385"/>
      <c r="BQ90" s="2385"/>
      <c r="BR90" s="2385"/>
      <c r="BS90" s="2385"/>
      <c r="BT90" s="2385"/>
      <c r="BU90" s="2385"/>
      <c r="BV90" s="2388"/>
    </row>
    <row r="91" spans="1:74" s="277" customFormat="1" ht="33" customHeight="1" x14ac:dyDescent="0.25">
      <c r="A91" s="259"/>
      <c r="B91" s="260"/>
      <c r="C91" s="261"/>
      <c r="D91" s="262"/>
      <c r="E91" s="260"/>
      <c r="F91" s="262"/>
      <c r="G91" s="263"/>
      <c r="H91" s="264"/>
      <c r="I91" s="264"/>
      <c r="J91" s="264"/>
      <c r="K91" s="264"/>
      <c r="L91" s="264"/>
      <c r="M91" s="264"/>
      <c r="N91" s="264"/>
      <c r="O91" s="264"/>
      <c r="P91" s="264"/>
      <c r="Q91" s="264"/>
      <c r="R91" s="265"/>
      <c r="S91" s="205"/>
      <c r="T91" s="266">
        <f>SUM(T10:T90)</f>
        <v>986333529</v>
      </c>
      <c r="U91" s="267"/>
      <c r="V91" s="265"/>
      <c r="W91" s="268" t="s">
        <v>127</v>
      </c>
      <c r="X91" s="269">
        <f>SUM(X10:X90)</f>
        <v>986333529</v>
      </c>
      <c r="Y91" s="269">
        <f t="shared" ref="Y91:AA91" si="1">SUM(Y10:Y90)</f>
        <v>405450000</v>
      </c>
      <c r="Z91" s="269">
        <f t="shared" si="1"/>
        <v>274970000</v>
      </c>
      <c r="AA91" s="269">
        <f t="shared" si="1"/>
        <v>274970000</v>
      </c>
      <c r="AB91" s="270"/>
      <c r="AC91" s="271"/>
      <c r="AD91" s="272"/>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73">
        <f>SUM(BK10:BK90)</f>
        <v>32</v>
      </c>
      <c r="BL91" s="274">
        <f>SUM(BL10:BL90)</f>
        <v>405450000</v>
      </c>
      <c r="BM91" s="274">
        <f>SUM(BM10:BM90)</f>
        <v>274970000</v>
      </c>
      <c r="BN91" s="275">
        <f>BM91/BL91</f>
        <v>0.67818473301270199</v>
      </c>
      <c r="BO91" s="264"/>
      <c r="BP91" s="264"/>
      <c r="BQ91" s="264"/>
      <c r="BR91" s="264"/>
      <c r="BS91" s="264"/>
      <c r="BT91" s="276"/>
      <c r="BU91" s="276"/>
      <c r="BV91" s="276"/>
    </row>
    <row r="92" spans="1:74" x14ac:dyDescent="0.2">
      <c r="R92" s="119"/>
      <c r="W92" s="282"/>
      <c r="X92" s="283"/>
      <c r="Y92" s="284"/>
      <c r="Z92" s="284"/>
      <c r="AA92" s="284"/>
    </row>
    <row r="93" spans="1:74" x14ac:dyDescent="0.2">
      <c r="W93" s="282"/>
      <c r="X93" s="284"/>
      <c r="Y93" s="284"/>
      <c r="Z93" s="284"/>
      <c r="AA93" s="284"/>
    </row>
    <row r="101" spans="1:93" ht="15.75" x14ac:dyDescent="0.25">
      <c r="AB101" s="289" t="s">
        <v>305</v>
      </c>
    </row>
    <row r="102" spans="1:93" s="135" customFormat="1" x14ac:dyDescent="0.2">
      <c r="A102" s="278"/>
      <c r="B102" s="136"/>
      <c r="C102" s="136"/>
      <c r="D102" s="136"/>
      <c r="E102" s="136"/>
      <c r="F102" s="136"/>
      <c r="G102" s="136"/>
      <c r="H102" s="136"/>
      <c r="I102" s="136"/>
      <c r="J102" s="136"/>
      <c r="K102" s="136"/>
      <c r="L102" s="119"/>
      <c r="M102" s="136"/>
      <c r="N102" s="119"/>
      <c r="P102" s="149"/>
      <c r="R102" s="149"/>
      <c r="S102" s="279"/>
      <c r="T102" s="280"/>
      <c r="U102" s="281"/>
      <c r="V102" s="2"/>
      <c r="W102" s="119"/>
      <c r="X102" s="288"/>
      <c r="Y102" s="288"/>
      <c r="Z102" s="288"/>
      <c r="AA102" s="288"/>
      <c r="AB102" s="290" t="s">
        <v>306</v>
      </c>
      <c r="AC102" s="130"/>
      <c r="AD102" s="124"/>
      <c r="AE102" s="2"/>
      <c r="AF102" s="2"/>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286"/>
      <c r="BU102" s="286"/>
      <c r="BV102" s="287"/>
      <c r="BW102" s="136"/>
      <c r="BX102" s="136"/>
      <c r="BY102" s="136"/>
      <c r="BZ102" s="136"/>
      <c r="CA102" s="136"/>
      <c r="CB102" s="136"/>
      <c r="CC102" s="136"/>
      <c r="CD102" s="136"/>
      <c r="CE102" s="136"/>
      <c r="CF102" s="136"/>
      <c r="CG102" s="136"/>
      <c r="CH102" s="136"/>
      <c r="CI102" s="136"/>
      <c r="CJ102" s="136"/>
      <c r="CK102" s="136"/>
      <c r="CL102" s="136"/>
      <c r="CM102" s="136"/>
      <c r="CN102" s="136"/>
      <c r="CO102" s="136"/>
    </row>
  </sheetData>
  <sheetProtection algorithmName="SHA-512" hashValue="xISoqq4ctRcpkK1tdwjazyAW68f8E/kRSl1zZ8jvK5CDnE/cYPEmF2RCeMtwNByeT7KLfeRf2mzS0F/W7NxTzA==" saltValue="GpbNNESXcrwtnQy0rEjf2g==" spinCount="100000" sheet="1" formatCells="0" selectLockedCells="1" selectUnlockedCells="1"/>
  <mergeCells count="481">
    <mergeCell ref="A1:BT4"/>
    <mergeCell ref="A5:P6"/>
    <mergeCell ref="Q5:BV5"/>
    <mergeCell ref="AE6:BG6"/>
    <mergeCell ref="A7:B7"/>
    <mergeCell ref="C7:D7"/>
    <mergeCell ref="E7:F7"/>
    <mergeCell ref="G7:J7"/>
    <mergeCell ref="K7:N7"/>
    <mergeCell ref="O7:P8"/>
    <mergeCell ref="BI7:BJ8"/>
    <mergeCell ref="BK7:BQ7"/>
    <mergeCell ref="BR7:BS8"/>
    <mergeCell ref="BT7:BU8"/>
    <mergeCell ref="BV7:BV8"/>
    <mergeCell ref="A8:A9"/>
    <mergeCell ref="B8:B9"/>
    <mergeCell ref="C8:C9"/>
    <mergeCell ref="D8:D9"/>
    <mergeCell ref="E8:E9"/>
    <mergeCell ref="Q7:W7"/>
    <mergeCell ref="AB7:AD7"/>
    <mergeCell ref="AE7:AH7"/>
    <mergeCell ref="AI7:AP7"/>
    <mergeCell ref="AQ7:BB7"/>
    <mergeCell ref="BC7:BH7"/>
    <mergeCell ref="L8:L9"/>
    <mergeCell ref="M8:M9"/>
    <mergeCell ref="N8:N9"/>
    <mergeCell ref="Q8:Q9"/>
    <mergeCell ref="R8:R9"/>
    <mergeCell ref="S8:S9"/>
    <mergeCell ref="F8:F9"/>
    <mergeCell ref="G8:G9"/>
    <mergeCell ref="H8:H9"/>
    <mergeCell ref="I8:I9"/>
    <mergeCell ref="J8:J9"/>
    <mergeCell ref="K8:K9"/>
    <mergeCell ref="AE8:AF8"/>
    <mergeCell ref="AG8:AH8"/>
    <mergeCell ref="AI8:AJ8"/>
    <mergeCell ref="AK8:AL8"/>
    <mergeCell ref="T8:T9"/>
    <mergeCell ref="U8:U9"/>
    <mergeCell ref="V8:V9"/>
    <mergeCell ref="W8:W9"/>
    <mergeCell ref="X8:AA8"/>
    <mergeCell ref="AB8:AB9"/>
    <mergeCell ref="BL8:BL9"/>
    <mergeCell ref="BM8:BM9"/>
    <mergeCell ref="BN8:BN9"/>
    <mergeCell ref="BO8:BP8"/>
    <mergeCell ref="BQ8:BQ9"/>
    <mergeCell ref="G13:G30"/>
    <mergeCell ref="H13:H30"/>
    <mergeCell ref="I13:I30"/>
    <mergeCell ref="J13:J30"/>
    <mergeCell ref="K13:K30"/>
    <mergeCell ref="AY8:AZ8"/>
    <mergeCell ref="BA8:BB8"/>
    <mergeCell ref="BC8:BD8"/>
    <mergeCell ref="BE8:BF8"/>
    <mergeCell ref="BG8:BH8"/>
    <mergeCell ref="BK8:BK9"/>
    <mergeCell ref="AM8:AN8"/>
    <mergeCell ref="AO8:AP8"/>
    <mergeCell ref="AQ8:AR8"/>
    <mergeCell ref="AS8:AT8"/>
    <mergeCell ref="AU8:AV8"/>
    <mergeCell ref="AW8:AX8"/>
    <mergeCell ref="AC8:AC9"/>
    <mergeCell ref="AD8:AD9"/>
    <mergeCell ref="R13:R30"/>
    <mergeCell ref="S13:S30"/>
    <mergeCell ref="T13:T30"/>
    <mergeCell ref="U13:U30"/>
    <mergeCell ref="V13:V30"/>
    <mergeCell ref="W13:W14"/>
    <mergeCell ref="L13:L30"/>
    <mergeCell ref="M13:M30"/>
    <mergeCell ref="N13:N30"/>
    <mergeCell ref="O13:O30"/>
    <mergeCell ref="P13:P30"/>
    <mergeCell ref="Q13:Q30"/>
    <mergeCell ref="AK13:AK30"/>
    <mergeCell ref="AL13:AL30"/>
    <mergeCell ref="AM13:AM30"/>
    <mergeCell ref="AN13:AN30"/>
    <mergeCell ref="AO13:AO30"/>
    <mergeCell ref="AP13:AP30"/>
    <mergeCell ref="AE13:AE30"/>
    <mergeCell ref="AF13:AF30"/>
    <mergeCell ref="AG13:AG30"/>
    <mergeCell ref="AH13:AH30"/>
    <mergeCell ref="AI13:AI30"/>
    <mergeCell ref="AJ13:AJ30"/>
    <mergeCell ref="AW13:AW30"/>
    <mergeCell ref="AX13:AX30"/>
    <mergeCell ref="AY13:AY30"/>
    <mergeCell ref="AZ13:AZ30"/>
    <mergeCell ref="BA13:BA30"/>
    <mergeCell ref="BB13:BB30"/>
    <mergeCell ref="AQ13:AQ30"/>
    <mergeCell ref="AR13:AR30"/>
    <mergeCell ref="AS13:AS30"/>
    <mergeCell ref="AT13:AT30"/>
    <mergeCell ref="AU13:AU30"/>
    <mergeCell ref="AV13:AV30"/>
    <mergeCell ref="BU13:BU30"/>
    <mergeCell ref="BV13:BV30"/>
    <mergeCell ref="W15:W17"/>
    <mergeCell ref="W18:W19"/>
    <mergeCell ref="W20:W21"/>
    <mergeCell ref="W29:W30"/>
    <mergeCell ref="BO13:BO30"/>
    <mergeCell ref="BP13:BP30"/>
    <mergeCell ref="BQ13:BQ30"/>
    <mergeCell ref="BR13:BR30"/>
    <mergeCell ref="BS13:BS30"/>
    <mergeCell ref="BT13:BT30"/>
    <mergeCell ref="BI13:BI30"/>
    <mergeCell ref="BJ13:BJ30"/>
    <mergeCell ref="BK13:BK30"/>
    <mergeCell ref="BL13:BL30"/>
    <mergeCell ref="BM13:BM30"/>
    <mergeCell ref="BN13:BN30"/>
    <mergeCell ref="BC13:BC30"/>
    <mergeCell ref="BD13:BD30"/>
    <mergeCell ref="BE13:BE30"/>
    <mergeCell ref="BF13:BF30"/>
    <mergeCell ref="BG13:BG30"/>
    <mergeCell ref="BH13:BH30"/>
    <mergeCell ref="M31:M35"/>
    <mergeCell ref="N31:N35"/>
    <mergeCell ref="O31:O35"/>
    <mergeCell ref="P31:P35"/>
    <mergeCell ref="Q31:Q35"/>
    <mergeCell ref="R31:R35"/>
    <mergeCell ref="G31:G35"/>
    <mergeCell ref="H31:H35"/>
    <mergeCell ref="I31:I35"/>
    <mergeCell ref="J31:J35"/>
    <mergeCell ref="K31:K35"/>
    <mergeCell ref="L31:L35"/>
    <mergeCell ref="AG31:AG35"/>
    <mergeCell ref="AH31:AH35"/>
    <mergeCell ref="AI31:AI35"/>
    <mergeCell ref="AJ31:AJ35"/>
    <mergeCell ref="AK31:AK35"/>
    <mergeCell ref="AL31:AL35"/>
    <mergeCell ref="S31:S35"/>
    <mergeCell ref="T31:T35"/>
    <mergeCell ref="U31:U35"/>
    <mergeCell ref="V31:V35"/>
    <mergeCell ref="AE31:AE35"/>
    <mergeCell ref="AF31:AF35"/>
    <mergeCell ref="AS31:AS35"/>
    <mergeCell ref="AT31:AT35"/>
    <mergeCell ref="AU31:AU35"/>
    <mergeCell ref="AV31:AV35"/>
    <mergeCell ref="AW31:AW35"/>
    <mergeCell ref="AX31:AX35"/>
    <mergeCell ref="AM31:AM35"/>
    <mergeCell ref="AN31:AN35"/>
    <mergeCell ref="AO31:AO35"/>
    <mergeCell ref="AP31:AP35"/>
    <mergeCell ref="AQ31:AQ35"/>
    <mergeCell ref="AR31:AR35"/>
    <mergeCell ref="BE31:BE35"/>
    <mergeCell ref="BF31:BF35"/>
    <mergeCell ref="BG31:BG35"/>
    <mergeCell ref="BH31:BH35"/>
    <mergeCell ref="BI31:BI35"/>
    <mergeCell ref="BJ31:BJ35"/>
    <mergeCell ref="AY31:AY35"/>
    <mergeCell ref="AZ31:AZ35"/>
    <mergeCell ref="BA31:BA35"/>
    <mergeCell ref="BB31:BB35"/>
    <mergeCell ref="BC31:BC35"/>
    <mergeCell ref="BD31:BD35"/>
    <mergeCell ref="BQ31:BQ35"/>
    <mergeCell ref="BR31:BR35"/>
    <mergeCell ref="BS31:BS35"/>
    <mergeCell ref="BT31:BT35"/>
    <mergeCell ref="BU31:BU35"/>
    <mergeCell ref="BV31:BV35"/>
    <mergeCell ref="BK31:BK35"/>
    <mergeCell ref="BL31:BL35"/>
    <mergeCell ref="BM31:BM35"/>
    <mergeCell ref="BN31:BN35"/>
    <mergeCell ref="BO31:BO35"/>
    <mergeCell ref="BP31:BP35"/>
    <mergeCell ref="M37:M42"/>
    <mergeCell ref="N37:N42"/>
    <mergeCell ref="O37:O42"/>
    <mergeCell ref="P37:P42"/>
    <mergeCell ref="Q37:Q42"/>
    <mergeCell ref="R37:R42"/>
    <mergeCell ref="G37:G42"/>
    <mergeCell ref="H37:H42"/>
    <mergeCell ref="I37:I42"/>
    <mergeCell ref="J37:J42"/>
    <mergeCell ref="K37:K42"/>
    <mergeCell ref="L37:L42"/>
    <mergeCell ref="AG37:AG42"/>
    <mergeCell ref="AH37:AH42"/>
    <mergeCell ref="AI37:AI42"/>
    <mergeCell ref="AJ37:AJ42"/>
    <mergeCell ref="AK37:AK42"/>
    <mergeCell ref="AL37:AL42"/>
    <mergeCell ref="S37:S42"/>
    <mergeCell ref="T37:T42"/>
    <mergeCell ref="U37:U42"/>
    <mergeCell ref="V37:V42"/>
    <mergeCell ref="AE37:AE42"/>
    <mergeCell ref="AF37:AF42"/>
    <mergeCell ref="AS37:AS42"/>
    <mergeCell ref="AT37:AT42"/>
    <mergeCell ref="AU37:AU42"/>
    <mergeCell ref="AV37:AV42"/>
    <mergeCell ref="AW37:AW42"/>
    <mergeCell ref="AX37:AX42"/>
    <mergeCell ref="AM37:AM42"/>
    <mergeCell ref="AN37:AN42"/>
    <mergeCell ref="AO37:AO42"/>
    <mergeCell ref="AP37:AP42"/>
    <mergeCell ref="AQ37:AQ42"/>
    <mergeCell ref="AR37:AR42"/>
    <mergeCell ref="BE37:BE42"/>
    <mergeCell ref="BF37:BF42"/>
    <mergeCell ref="BG37:BG42"/>
    <mergeCell ref="BH37:BH42"/>
    <mergeCell ref="BI37:BI42"/>
    <mergeCell ref="BJ37:BJ42"/>
    <mergeCell ref="AY37:AY42"/>
    <mergeCell ref="AZ37:AZ42"/>
    <mergeCell ref="BA37:BA42"/>
    <mergeCell ref="BB37:BB42"/>
    <mergeCell ref="BC37:BC42"/>
    <mergeCell ref="BD37:BD42"/>
    <mergeCell ref="BQ37:BQ42"/>
    <mergeCell ref="BR37:BR42"/>
    <mergeCell ref="BS37:BS42"/>
    <mergeCell ref="BT37:BT42"/>
    <mergeCell ref="BU37:BU42"/>
    <mergeCell ref="BV37:BV42"/>
    <mergeCell ref="BK37:BK42"/>
    <mergeCell ref="BL37:BL42"/>
    <mergeCell ref="BM37:BM42"/>
    <mergeCell ref="BN37:BN42"/>
    <mergeCell ref="BO37:BO42"/>
    <mergeCell ref="BP37:BP42"/>
    <mergeCell ref="M43:M45"/>
    <mergeCell ref="N43:N45"/>
    <mergeCell ref="O43:O45"/>
    <mergeCell ref="P43:P45"/>
    <mergeCell ref="Q43:Q45"/>
    <mergeCell ref="R43:R45"/>
    <mergeCell ref="G43:G45"/>
    <mergeCell ref="H43:H45"/>
    <mergeCell ref="I43:I45"/>
    <mergeCell ref="J43:J45"/>
    <mergeCell ref="K43:K45"/>
    <mergeCell ref="L43:L45"/>
    <mergeCell ref="AG43:AG45"/>
    <mergeCell ref="AH43:AH45"/>
    <mergeCell ref="AI43:AI45"/>
    <mergeCell ref="AJ43:AJ45"/>
    <mergeCell ref="AK43:AK45"/>
    <mergeCell ref="AL43:AL45"/>
    <mergeCell ref="S43:S45"/>
    <mergeCell ref="T43:T45"/>
    <mergeCell ref="U43:U45"/>
    <mergeCell ref="V43:V45"/>
    <mergeCell ref="AE43:AE45"/>
    <mergeCell ref="AF43:AF45"/>
    <mergeCell ref="AS43:AS45"/>
    <mergeCell ref="AT43:AT45"/>
    <mergeCell ref="AU43:AU45"/>
    <mergeCell ref="AV43:AV45"/>
    <mergeCell ref="AW43:AW45"/>
    <mergeCell ref="AX43:AX45"/>
    <mergeCell ref="AM43:AM45"/>
    <mergeCell ref="AN43:AN45"/>
    <mergeCell ref="AO43:AO45"/>
    <mergeCell ref="AP43:AP45"/>
    <mergeCell ref="AQ43:AQ45"/>
    <mergeCell ref="AR43:AR45"/>
    <mergeCell ref="BE43:BE45"/>
    <mergeCell ref="BF43:BF45"/>
    <mergeCell ref="BG43:BG45"/>
    <mergeCell ref="BH43:BH45"/>
    <mergeCell ref="BI43:BI45"/>
    <mergeCell ref="BJ43:BJ45"/>
    <mergeCell ref="AY43:AY45"/>
    <mergeCell ref="AZ43:AZ45"/>
    <mergeCell ref="BA43:BA45"/>
    <mergeCell ref="BB43:BB45"/>
    <mergeCell ref="BC43:BC45"/>
    <mergeCell ref="BD43:BD45"/>
    <mergeCell ref="BQ43:BQ45"/>
    <mergeCell ref="BR43:BR45"/>
    <mergeCell ref="BS43:BS45"/>
    <mergeCell ref="BT43:BT45"/>
    <mergeCell ref="BU43:BU45"/>
    <mergeCell ref="BV43:BV45"/>
    <mergeCell ref="BK43:BK45"/>
    <mergeCell ref="BL43:BL45"/>
    <mergeCell ref="BM43:BM45"/>
    <mergeCell ref="BN43:BN45"/>
    <mergeCell ref="BO43:BO45"/>
    <mergeCell ref="BP43:BP45"/>
    <mergeCell ref="M46:M57"/>
    <mergeCell ref="N46:N57"/>
    <mergeCell ref="O46:O57"/>
    <mergeCell ref="P46:P57"/>
    <mergeCell ref="Q46:Q57"/>
    <mergeCell ref="R46:R57"/>
    <mergeCell ref="G46:G57"/>
    <mergeCell ref="H46:H57"/>
    <mergeCell ref="I46:I57"/>
    <mergeCell ref="J46:J57"/>
    <mergeCell ref="K46:K57"/>
    <mergeCell ref="L46:L57"/>
    <mergeCell ref="AG46:AG57"/>
    <mergeCell ref="AH46:AH57"/>
    <mergeCell ref="AI46:AI57"/>
    <mergeCell ref="AJ46:AJ57"/>
    <mergeCell ref="AK46:AK57"/>
    <mergeCell ref="AL46:AL57"/>
    <mergeCell ref="S46:S57"/>
    <mergeCell ref="T46:T57"/>
    <mergeCell ref="U46:U57"/>
    <mergeCell ref="V46:V57"/>
    <mergeCell ref="AE46:AE57"/>
    <mergeCell ref="AF46:AF57"/>
    <mergeCell ref="AV46:AV57"/>
    <mergeCell ref="AW46:AW57"/>
    <mergeCell ref="AX46:AX57"/>
    <mergeCell ref="AM46:AM57"/>
    <mergeCell ref="AN46:AN57"/>
    <mergeCell ref="AO46:AO57"/>
    <mergeCell ref="AP46:AP57"/>
    <mergeCell ref="AQ46:AQ57"/>
    <mergeCell ref="AR46:AR57"/>
    <mergeCell ref="BT46:BT57"/>
    <mergeCell ref="BU46:BU57"/>
    <mergeCell ref="BV46:BV57"/>
    <mergeCell ref="BK46:BK57"/>
    <mergeCell ref="BL46:BL57"/>
    <mergeCell ref="BM46:BM57"/>
    <mergeCell ref="BN46:BN57"/>
    <mergeCell ref="BO46:BO57"/>
    <mergeCell ref="BP46:BP57"/>
    <mergeCell ref="Q58:Q63"/>
    <mergeCell ref="R58:R63"/>
    <mergeCell ref="T58:T63"/>
    <mergeCell ref="U58:U63"/>
    <mergeCell ref="V58:V63"/>
    <mergeCell ref="AE58:AE63"/>
    <mergeCell ref="BQ46:BQ57"/>
    <mergeCell ref="BR46:BR57"/>
    <mergeCell ref="BS46:BS57"/>
    <mergeCell ref="BE46:BE57"/>
    <mergeCell ref="BF46:BF57"/>
    <mergeCell ref="BG46:BG57"/>
    <mergeCell ref="BH46:BH57"/>
    <mergeCell ref="BI46:BI57"/>
    <mergeCell ref="BJ46:BJ57"/>
    <mergeCell ref="AY46:AY57"/>
    <mergeCell ref="AZ46:AZ57"/>
    <mergeCell ref="BA46:BA57"/>
    <mergeCell ref="BB46:BB57"/>
    <mergeCell ref="BC46:BC57"/>
    <mergeCell ref="BD46:BD57"/>
    <mergeCell ref="AS46:AS57"/>
    <mergeCell ref="AT46:AT57"/>
    <mergeCell ref="AU46:AU57"/>
    <mergeCell ref="AL58:AL63"/>
    <mergeCell ref="AM58:AM63"/>
    <mergeCell ref="AN58:AN63"/>
    <mergeCell ref="AO58:AO63"/>
    <mergeCell ref="AP58:AP63"/>
    <mergeCell ref="AQ58:AQ63"/>
    <mergeCell ref="AF58:AF63"/>
    <mergeCell ref="AG58:AG63"/>
    <mergeCell ref="AH58:AH63"/>
    <mergeCell ref="AI58:AI63"/>
    <mergeCell ref="AJ58:AJ63"/>
    <mergeCell ref="AK58:AK63"/>
    <mergeCell ref="AX58:AX63"/>
    <mergeCell ref="AY58:AY63"/>
    <mergeCell ref="AZ58:AZ63"/>
    <mergeCell ref="BA58:BA63"/>
    <mergeCell ref="BB58:BB63"/>
    <mergeCell ref="BC58:BC63"/>
    <mergeCell ref="AR58:AR63"/>
    <mergeCell ref="AS58:AS63"/>
    <mergeCell ref="AT58:AT63"/>
    <mergeCell ref="AU58:AU63"/>
    <mergeCell ref="AV58:AV63"/>
    <mergeCell ref="AW58:AW63"/>
    <mergeCell ref="BL58:BL63"/>
    <mergeCell ref="BM58:BM63"/>
    <mergeCell ref="BN58:BN63"/>
    <mergeCell ref="BO58:BO63"/>
    <mergeCell ref="BD58:BD63"/>
    <mergeCell ref="BE58:BE63"/>
    <mergeCell ref="BF58:BF63"/>
    <mergeCell ref="BG58:BG63"/>
    <mergeCell ref="BH58:BH63"/>
    <mergeCell ref="BI58:BI63"/>
    <mergeCell ref="P64:P90"/>
    <mergeCell ref="Q64:Q90"/>
    <mergeCell ref="R64:R90"/>
    <mergeCell ref="S64:S90"/>
    <mergeCell ref="T64:T90"/>
    <mergeCell ref="U64:U90"/>
    <mergeCell ref="BV58:BV63"/>
    <mergeCell ref="G64:G90"/>
    <mergeCell ref="H64:H90"/>
    <mergeCell ref="I64:I90"/>
    <mergeCell ref="J64:J90"/>
    <mergeCell ref="K64:K90"/>
    <mergeCell ref="L64:L90"/>
    <mergeCell ref="M64:M90"/>
    <mergeCell ref="N64:N90"/>
    <mergeCell ref="O64:O90"/>
    <mergeCell ref="BP58:BP63"/>
    <mergeCell ref="BQ58:BQ63"/>
    <mergeCell ref="BR58:BR63"/>
    <mergeCell ref="BS58:BS63"/>
    <mergeCell ref="BT58:BT63"/>
    <mergeCell ref="BU58:BU63"/>
    <mergeCell ref="BJ58:BJ63"/>
    <mergeCell ref="BK58:BK63"/>
    <mergeCell ref="AJ64:AJ90"/>
    <mergeCell ref="AK64:AK90"/>
    <mergeCell ref="AL64:AL90"/>
    <mergeCell ref="AM64:AM90"/>
    <mergeCell ref="AN64:AN90"/>
    <mergeCell ref="AO64:AO90"/>
    <mergeCell ref="V64:V90"/>
    <mergeCell ref="AE64:AE90"/>
    <mergeCell ref="AF64:AF90"/>
    <mergeCell ref="AG64:AG90"/>
    <mergeCell ref="AH64:AH90"/>
    <mergeCell ref="AI64:AI90"/>
    <mergeCell ref="AV64:AV90"/>
    <mergeCell ref="AW64:AW90"/>
    <mergeCell ref="AX64:AX90"/>
    <mergeCell ref="AY64:AY90"/>
    <mergeCell ref="AZ64:AZ90"/>
    <mergeCell ref="BA64:BA90"/>
    <mergeCell ref="AP64:AP90"/>
    <mergeCell ref="AQ64:AQ90"/>
    <mergeCell ref="AR64:AR90"/>
    <mergeCell ref="AS64:AS90"/>
    <mergeCell ref="AT64:AT90"/>
    <mergeCell ref="AU64:AU90"/>
    <mergeCell ref="BH64:BH90"/>
    <mergeCell ref="BI64:BI90"/>
    <mergeCell ref="BJ64:BJ90"/>
    <mergeCell ref="BK64:BK90"/>
    <mergeCell ref="BL64:BL90"/>
    <mergeCell ref="BM64:BM90"/>
    <mergeCell ref="BB64:BB90"/>
    <mergeCell ref="BC64:BC90"/>
    <mergeCell ref="BD64:BD90"/>
    <mergeCell ref="BE64:BE90"/>
    <mergeCell ref="BF64:BF90"/>
    <mergeCell ref="BG64:BG90"/>
    <mergeCell ref="BT64:BT90"/>
    <mergeCell ref="BU64:BU90"/>
    <mergeCell ref="BV64:BV90"/>
    <mergeCell ref="BN64:BN90"/>
    <mergeCell ref="BO64:BO90"/>
    <mergeCell ref="BP64:BP90"/>
    <mergeCell ref="BQ64:BQ90"/>
    <mergeCell ref="BR64:BR90"/>
    <mergeCell ref="BS64:BS9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N43"/>
  <sheetViews>
    <sheetView showGridLines="0" zoomScale="70" zoomScaleNormal="70" workbookViewId="0">
      <selection activeCell="D18" sqref="D18"/>
    </sheetView>
  </sheetViews>
  <sheetFormatPr baseColWidth="10" defaultColWidth="11.42578125" defaultRowHeight="25.5" customHeight="1" x14ac:dyDescent="0.25"/>
  <cols>
    <col min="1" max="1" width="12.5703125" style="117" customWidth="1"/>
    <col min="2" max="2" width="15.5703125" style="3" customWidth="1"/>
    <col min="3" max="3" width="13.28515625" style="3" customWidth="1"/>
    <col min="4" max="4" width="13.7109375" style="3" customWidth="1"/>
    <col min="5" max="5" width="13.85546875" style="3" customWidth="1"/>
    <col min="6" max="6" width="13.5703125" style="3" customWidth="1"/>
    <col min="7" max="7" width="15.5703125" style="3" customWidth="1"/>
    <col min="8" max="8" width="28.140625" style="118" customWidth="1"/>
    <col min="9" max="9" width="25.42578125" style="3" customWidth="1"/>
    <col min="10" max="10" width="28.140625" style="118" customWidth="1"/>
    <col min="11" max="11" width="16.42578125" style="3" customWidth="1"/>
    <col min="12" max="12" width="26.85546875" style="119" customWidth="1"/>
    <col min="13" max="13" width="25.42578125" style="2" customWidth="1"/>
    <col min="14" max="14" width="26.85546875" style="119" customWidth="1"/>
    <col min="15" max="15" width="10.7109375" style="2" customWidth="1"/>
    <col min="16" max="16" width="9.85546875" style="2" customWidth="1"/>
    <col min="17" max="17" width="31.85546875" style="2" customWidth="1"/>
    <col min="18" max="18" width="23" style="119" customWidth="1"/>
    <col min="19" max="19" width="11.85546875" style="120" customWidth="1"/>
    <col min="20" max="20" width="31.85546875" style="121" customWidth="1"/>
    <col min="21" max="21" width="36.42578125" style="122" customWidth="1"/>
    <col min="22" max="22" width="39.140625" style="119" customWidth="1"/>
    <col min="23" max="23" width="33.28515625" style="119" customWidth="1"/>
    <col min="24" max="24" width="32" style="2" customWidth="1"/>
    <col min="25" max="25" width="32.28515625" style="2" customWidth="1"/>
    <col min="26" max="26" width="29.5703125" style="2" customWidth="1"/>
    <col min="27" max="27" width="53.7109375" style="119" customWidth="1"/>
    <col min="28" max="28" width="11.28515625" style="130" customWidth="1"/>
    <col min="29" max="29" width="24.7109375" style="360" customWidth="1"/>
    <col min="30" max="30" width="16.42578125" style="2" customWidth="1"/>
    <col min="31" max="31" width="13.140625" style="2" customWidth="1"/>
    <col min="32" max="34" width="10.85546875" style="3" bestFit="1" customWidth="1"/>
    <col min="35" max="35" width="10.42578125" style="3" bestFit="1" customWidth="1"/>
    <col min="36" max="37" width="9.42578125" style="3" bestFit="1" customWidth="1"/>
    <col min="38" max="39" width="10.42578125" style="3" bestFit="1" customWidth="1"/>
    <col min="40" max="41" width="9.42578125" style="3" bestFit="1" customWidth="1"/>
    <col min="42" max="43" width="7.5703125" style="3" bestFit="1" customWidth="1"/>
    <col min="44" max="45" width="8.42578125" style="3" bestFit="1" customWidth="1"/>
    <col min="46" max="49" width="4.42578125" style="3" bestFit="1" customWidth="1"/>
    <col min="50" max="50" width="4" style="3" bestFit="1" customWidth="1"/>
    <col min="51" max="51" width="3.7109375" style="3" bestFit="1" customWidth="1"/>
    <col min="52" max="52" width="4" style="3" bestFit="1" customWidth="1"/>
    <col min="53" max="53" width="3.7109375" style="3" bestFit="1" customWidth="1"/>
    <col min="54" max="55" width="9.42578125" style="3" bestFit="1" customWidth="1"/>
    <col min="56" max="57" width="9" style="3" bestFit="1" customWidth="1"/>
    <col min="58" max="59" width="9.42578125" style="3" bestFit="1" customWidth="1"/>
    <col min="60" max="61" width="13.28515625" style="3" customWidth="1"/>
    <col min="62" max="62" width="16.140625" style="3" customWidth="1"/>
    <col min="63" max="63" width="30.140625" style="3" customWidth="1"/>
    <col min="64" max="64" width="34.28515625" style="3" customWidth="1"/>
    <col min="65" max="65" width="20" style="3" customWidth="1"/>
    <col min="66" max="66" width="20.42578125" style="3" customWidth="1"/>
    <col min="67" max="67" width="25.5703125" style="3" customWidth="1"/>
    <col min="68" max="68" width="33" style="3" customWidth="1"/>
    <col min="69" max="69" width="16.7109375" style="3" customWidth="1"/>
    <col min="70" max="70" width="20.28515625" style="2" customWidth="1"/>
    <col min="71" max="71" width="21.140625" style="125" customWidth="1"/>
    <col min="72" max="72" width="20.5703125" style="125" customWidth="1"/>
    <col min="73" max="73" width="24.42578125" style="126" customWidth="1"/>
    <col min="74" max="74" width="9.140625" style="3" customWidth="1"/>
    <col min="75" max="16384" width="11.42578125" style="3"/>
  </cols>
  <sheetData>
    <row r="1" spans="1:92" ht="15.75" x14ac:dyDescent="0.25">
      <c r="A1" s="2366" t="s">
        <v>307</v>
      </c>
      <c r="B1" s="2367"/>
      <c r="C1" s="2367"/>
      <c r="D1" s="2367"/>
      <c r="E1" s="2367"/>
      <c r="F1" s="2367"/>
      <c r="G1" s="2367"/>
      <c r="H1" s="2367"/>
      <c r="I1" s="2367"/>
      <c r="J1" s="2367"/>
      <c r="K1" s="2367"/>
      <c r="L1" s="2367"/>
      <c r="M1" s="2367"/>
      <c r="N1" s="2367"/>
      <c r="O1" s="2367"/>
      <c r="P1" s="2367"/>
      <c r="Q1" s="2367"/>
      <c r="R1" s="2367"/>
      <c r="S1" s="2367"/>
      <c r="T1" s="2367"/>
      <c r="U1" s="2367"/>
      <c r="V1" s="2367"/>
      <c r="W1" s="2367"/>
      <c r="X1" s="2367"/>
      <c r="Y1" s="2367"/>
      <c r="Z1" s="2367"/>
      <c r="AA1" s="2367"/>
      <c r="AB1" s="2367"/>
      <c r="AC1" s="2367"/>
      <c r="AD1" s="2367"/>
      <c r="AE1" s="2367"/>
      <c r="AF1" s="2367"/>
      <c r="AG1" s="2367"/>
      <c r="AH1" s="2367"/>
      <c r="AI1" s="2367"/>
      <c r="AJ1" s="2367"/>
      <c r="AK1" s="2367"/>
      <c r="AL1" s="2367"/>
      <c r="AM1" s="2367"/>
      <c r="AN1" s="2367"/>
      <c r="AO1" s="2367"/>
      <c r="AP1" s="2367"/>
      <c r="AQ1" s="2367"/>
      <c r="AR1" s="2367"/>
      <c r="AS1" s="2367"/>
      <c r="AT1" s="2367"/>
      <c r="AU1" s="2367"/>
      <c r="AV1" s="2367"/>
      <c r="AW1" s="2367"/>
      <c r="AX1" s="2367"/>
      <c r="AY1" s="2367"/>
      <c r="AZ1" s="2367"/>
      <c r="BA1" s="2367"/>
      <c r="BB1" s="2367"/>
      <c r="BC1" s="2367"/>
      <c r="BD1" s="2367"/>
      <c r="BE1" s="2367"/>
      <c r="BF1" s="2367"/>
      <c r="BG1" s="2367"/>
      <c r="BH1" s="2367"/>
      <c r="BI1" s="2367"/>
      <c r="BJ1" s="2367"/>
      <c r="BK1" s="2367"/>
      <c r="BL1" s="2367"/>
      <c r="BM1" s="2367"/>
      <c r="BN1" s="2367"/>
      <c r="BO1" s="2367"/>
      <c r="BP1" s="2367"/>
      <c r="BQ1" s="2367"/>
      <c r="BR1" s="2367"/>
      <c r="BS1" s="2368"/>
      <c r="BT1" s="291" t="s">
        <v>0</v>
      </c>
      <c r="BU1" s="1" t="s">
        <v>1</v>
      </c>
      <c r="BV1" s="2"/>
      <c r="BW1" s="2"/>
      <c r="BX1" s="2"/>
      <c r="BY1" s="2"/>
      <c r="BZ1" s="2"/>
      <c r="CA1" s="2"/>
      <c r="CB1" s="2"/>
      <c r="CC1" s="2"/>
      <c r="CD1" s="2"/>
      <c r="CE1" s="2"/>
      <c r="CF1" s="2"/>
      <c r="CG1" s="2"/>
      <c r="CH1" s="2"/>
      <c r="CI1" s="2"/>
      <c r="CJ1" s="2"/>
      <c r="CK1" s="2"/>
      <c r="CL1" s="2"/>
      <c r="CM1" s="2"/>
      <c r="CN1" s="2"/>
    </row>
    <row r="2" spans="1:92" ht="15.75" x14ac:dyDescent="0.25">
      <c r="A2" s="2367"/>
      <c r="B2" s="2367"/>
      <c r="C2" s="2367"/>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c r="AE2" s="2367"/>
      <c r="AF2" s="2367"/>
      <c r="AG2" s="2367"/>
      <c r="AH2" s="2367"/>
      <c r="AI2" s="2367"/>
      <c r="AJ2" s="2367"/>
      <c r="AK2" s="2367"/>
      <c r="AL2" s="2367"/>
      <c r="AM2" s="2367"/>
      <c r="AN2" s="2367"/>
      <c r="AO2" s="2367"/>
      <c r="AP2" s="2367"/>
      <c r="AQ2" s="2367"/>
      <c r="AR2" s="2367"/>
      <c r="AS2" s="2367"/>
      <c r="AT2" s="2367"/>
      <c r="AU2" s="2367"/>
      <c r="AV2" s="2367"/>
      <c r="AW2" s="2367"/>
      <c r="AX2" s="2367"/>
      <c r="AY2" s="2367"/>
      <c r="AZ2" s="2367"/>
      <c r="BA2" s="2367"/>
      <c r="BB2" s="2367"/>
      <c r="BC2" s="2367"/>
      <c r="BD2" s="2367"/>
      <c r="BE2" s="2367"/>
      <c r="BF2" s="2367"/>
      <c r="BG2" s="2367"/>
      <c r="BH2" s="2367"/>
      <c r="BI2" s="2367"/>
      <c r="BJ2" s="2367"/>
      <c r="BK2" s="2367"/>
      <c r="BL2" s="2367"/>
      <c r="BM2" s="2367"/>
      <c r="BN2" s="2367"/>
      <c r="BO2" s="2367"/>
      <c r="BP2" s="2367"/>
      <c r="BQ2" s="2367"/>
      <c r="BR2" s="2367"/>
      <c r="BS2" s="2368"/>
      <c r="BT2" s="291" t="s">
        <v>2</v>
      </c>
      <c r="BU2" s="2237" t="s">
        <v>1073</v>
      </c>
      <c r="BV2" s="2"/>
      <c r="BW2" s="2"/>
      <c r="BX2" s="2"/>
      <c r="BY2" s="2"/>
      <c r="BZ2" s="2"/>
      <c r="CA2" s="2"/>
      <c r="CB2" s="2"/>
      <c r="CC2" s="2"/>
      <c r="CD2" s="2"/>
      <c r="CE2" s="2"/>
      <c r="CF2" s="2"/>
      <c r="CG2" s="2"/>
      <c r="CH2" s="2"/>
      <c r="CI2" s="2"/>
      <c r="CJ2" s="2"/>
      <c r="CK2" s="2"/>
      <c r="CL2" s="2"/>
      <c r="CM2" s="2"/>
      <c r="CN2" s="2"/>
    </row>
    <row r="3" spans="1:92" ht="15.75" x14ac:dyDescent="0.25">
      <c r="A3" s="2367"/>
      <c r="B3" s="2367"/>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7"/>
      <c r="AH3" s="2367"/>
      <c r="AI3" s="2367"/>
      <c r="AJ3" s="2367"/>
      <c r="AK3" s="2367"/>
      <c r="AL3" s="2367"/>
      <c r="AM3" s="2367"/>
      <c r="AN3" s="2367"/>
      <c r="AO3" s="2367"/>
      <c r="AP3" s="2367"/>
      <c r="AQ3" s="2367"/>
      <c r="AR3" s="2367"/>
      <c r="AS3" s="2367"/>
      <c r="AT3" s="2367"/>
      <c r="AU3" s="2367"/>
      <c r="AV3" s="2367"/>
      <c r="AW3" s="2367"/>
      <c r="AX3" s="2367"/>
      <c r="AY3" s="2367"/>
      <c r="AZ3" s="2367"/>
      <c r="BA3" s="2367"/>
      <c r="BB3" s="2367"/>
      <c r="BC3" s="2367"/>
      <c r="BD3" s="2367"/>
      <c r="BE3" s="2367"/>
      <c r="BF3" s="2367"/>
      <c r="BG3" s="2367"/>
      <c r="BH3" s="2367"/>
      <c r="BI3" s="2367"/>
      <c r="BJ3" s="2367"/>
      <c r="BK3" s="2367"/>
      <c r="BL3" s="2367"/>
      <c r="BM3" s="2367"/>
      <c r="BN3" s="2367"/>
      <c r="BO3" s="2367"/>
      <c r="BP3" s="2367"/>
      <c r="BQ3" s="2367"/>
      <c r="BR3" s="2367"/>
      <c r="BS3" s="2368"/>
      <c r="BT3" s="291" t="s">
        <v>4</v>
      </c>
      <c r="BU3" s="2234">
        <v>44266</v>
      </c>
      <c r="BV3" s="2"/>
      <c r="BW3" s="2"/>
      <c r="BX3" s="2"/>
      <c r="BY3" s="2"/>
      <c r="BZ3" s="2"/>
      <c r="CA3" s="2"/>
      <c r="CB3" s="2"/>
      <c r="CC3" s="2"/>
      <c r="CD3" s="2"/>
      <c r="CE3" s="2"/>
      <c r="CF3" s="2"/>
      <c r="CG3" s="2"/>
      <c r="CH3" s="2"/>
      <c r="CI3" s="2"/>
      <c r="CJ3" s="2"/>
      <c r="CK3" s="2"/>
      <c r="CL3" s="2"/>
      <c r="CM3" s="2"/>
      <c r="CN3" s="2"/>
    </row>
    <row r="4" spans="1:92" ht="15.75" x14ac:dyDescent="0.25">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9"/>
      <c r="BT4" s="291" t="s">
        <v>5</v>
      </c>
      <c r="BU4" s="5" t="s">
        <v>6</v>
      </c>
      <c r="BV4" s="2"/>
      <c r="BW4" s="2"/>
      <c r="BX4" s="2"/>
      <c r="BY4" s="2"/>
      <c r="BZ4" s="2"/>
      <c r="CA4" s="2"/>
      <c r="CB4" s="2"/>
      <c r="CC4" s="2"/>
      <c r="CD4" s="2"/>
      <c r="CE4" s="2"/>
      <c r="CF4" s="2"/>
      <c r="CG4" s="2"/>
      <c r="CH4" s="2"/>
      <c r="CI4" s="2"/>
      <c r="CJ4" s="2"/>
      <c r="CK4" s="2"/>
      <c r="CL4" s="2"/>
      <c r="CM4" s="2"/>
      <c r="CN4" s="2"/>
    </row>
    <row r="5" spans="1:92" ht="15.75" x14ac:dyDescent="0.25">
      <c r="A5" s="2363" t="s">
        <v>308</v>
      </c>
      <c r="B5" s="2363"/>
      <c r="C5" s="2363"/>
      <c r="D5" s="2363"/>
      <c r="E5" s="2363"/>
      <c r="F5" s="2363"/>
      <c r="G5" s="2363"/>
      <c r="H5" s="2363"/>
      <c r="I5" s="2363"/>
      <c r="J5" s="2363"/>
      <c r="K5" s="2363"/>
      <c r="L5" s="2363"/>
      <c r="M5" s="2363"/>
      <c r="N5" s="2363"/>
      <c r="O5" s="2363"/>
      <c r="P5" s="6"/>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row>
    <row r="6" spans="1:92" ht="15.75" x14ac:dyDescent="0.25">
      <c r="A6" s="2365"/>
      <c r="B6" s="2365"/>
      <c r="C6" s="2365"/>
      <c r="D6" s="2365"/>
      <c r="E6" s="2365"/>
      <c r="F6" s="2365"/>
      <c r="G6" s="2365"/>
      <c r="H6" s="2365"/>
      <c r="I6" s="2365"/>
      <c r="J6" s="2365"/>
      <c r="K6" s="2365"/>
      <c r="L6" s="2365"/>
      <c r="M6" s="2365"/>
      <c r="N6" s="2365"/>
      <c r="O6" s="2367"/>
      <c r="P6" s="7"/>
      <c r="Q6" s="7"/>
      <c r="R6" s="8"/>
      <c r="S6" s="7"/>
      <c r="T6" s="7"/>
      <c r="U6" s="8"/>
      <c r="V6" s="8"/>
      <c r="W6" s="8"/>
      <c r="X6" s="7"/>
      <c r="Y6" s="7"/>
      <c r="Z6" s="7"/>
      <c r="AA6" s="8"/>
      <c r="AB6" s="7"/>
      <c r="AC6" s="8"/>
      <c r="AD6" s="2371" t="s">
        <v>8</v>
      </c>
      <c r="AE6" s="2367"/>
      <c r="AF6" s="2367"/>
      <c r="AG6" s="2367"/>
      <c r="AH6" s="2367"/>
      <c r="AI6" s="2367"/>
      <c r="AJ6" s="2367"/>
      <c r="AK6" s="2367"/>
      <c r="AL6" s="2367"/>
      <c r="AM6" s="2367"/>
      <c r="AN6" s="2367"/>
      <c r="AO6" s="2367"/>
      <c r="AP6" s="2367"/>
      <c r="AQ6" s="2367"/>
      <c r="AR6" s="2367"/>
      <c r="AS6" s="2367"/>
      <c r="AT6" s="2367"/>
      <c r="AU6" s="2367"/>
      <c r="AV6" s="2367"/>
      <c r="AW6" s="2367"/>
      <c r="AX6" s="2367"/>
      <c r="AY6" s="2367"/>
      <c r="AZ6" s="2367"/>
      <c r="BA6" s="2367"/>
      <c r="BB6" s="2367"/>
      <c r="BC6" s="2367"/>
      <c r="BD6" s="2367"/>
      <c r="BE6" s="2367"/>
      <c r="BF6" s="2368"/>
      <c r="BG6" s="7"/>
      <c r="BH6" s="7"/>
      <c r="BI6" s="7"/>
      <c r="BJ6" s="7"/>
      <c r="BK6" s="7"/>
      <c r="BL6" s="7"/>
      <c r="BM6" s="7"/>
      <c r="BN6" s="7"/>
      <c r="BO6" s="7"/>
      <c r="BP6" s="7"/>
      <c r="BQ6" s="7"/>
      <c r="BR6" s="292"/>
      <c r="BS6" s="7"/>
      <c r="BT6" s="293"/>
      <c r="BU6" s="9"/>
      <c r="BV6" s="2"/>
      <c r="BW6" s="2"/>
      <c r="BX6" s="2"/>
      <c r="BY6" s="2"/>
      <c r="BZ6" s="2"/>
      <c r="CA6" s="2"/>
      <c r="CB6" s="2"/>
      <c r="CC6" s="2"/>
      <c r="CD6" s="2"/>
      <c r="CE6" s="2"/>
      <c r="CF6" s="2"/>
      <c r="CG6" s="2"/>
      <c r="CH6" s="2"/>
      <c r="CI6" s="2"/>
      <c r="CJ6" s="2"/>
      <c r="CK6" s="2"/>
      <c r="CL6" s="2"/>
      <c r="CM6" s="2"/>
      <c r="CN6" s="2"/>
    </row>
    <row r="7" spans="1:92" ht="15.75" customHeight="1" x14ac:dyDescent="0.25">
      <c r="A7" s="2372" t="s">
        <v>9</v>
      </c>
      <c r="B7" s="2372"/>
      <c r="C7" s="2372" t="s">
        <v>10</v>
      </c>
      <c r="D7" s="2372"/>
      <c r="E7" s="2372" t="s">
        <v>11</v>
      </c>
      <c r="F7" s="2372"/>
      <c r="G7" s="2372" t="s">
        <v>12</v>
      </c>
      <c r="H7" s="2372"/>
      <c r="I7" s="2372"/>
      <c r="J7" s="2372"/>
      <c r="K7" s="2372" t="s">
        <v>13</v>
      </c>
      <c r="L7" s="2372"/>
      <c r="M7" s="2372"/>
      <c r="N7" s="2522"/>
      <c r="O7" s="2541" t="s">
        <v>14</v>
      </c>
      <c r="P7" s="2542"/>
      <c r="Q7" s="2542"/>
      <c r="R7" s="2542"/>
      <c r="S7" s="2542"/>
      <c r="T7" s="2542"/>
      <c r="U7" s="2542"/>
      <c r="V7" s="2542"/>
      <c r="W7" s="2542"/>
      <c r="X7" s="2542"/>
      <c r="Y7" s="2542"/>
      <c r="Z7" s="2543"/>
      <c r="AA7" s="2372" t="s">
        <v>15</v>
      </c>
      <c r="AB7" s="2372"/>
      <c r="AC7" s="2372"/>
      <c r="AD7" s="2640" t="s">
        <v>16</v>
      </c>
      <c r="AE7" s="2640"/>
      <c r="AF7" s="2640"/>
      <c r="AG7" s="2640"/>
      <c r="AH7" s="2356" t="s">
        <v>17</v>
      </c>
      <c r="AI7" s="2356"/>
      <c r="AJ7" s="2356"/>
      <c r="AK7" s="2356"/>
      <c r="AL7" s="2356"/>
      <c r="AM7" s="2356"/>
      <c r="AN7" s="2356"/>
      <c r="AO7" s="2356"/>
      <c r="AP7" s="2355" t="s">
        <v>18</v>
      </c>
      <c r="AQ7" s="2355"/>
      <c r="AR7" s="2355"/>
      <c r="AS7" s="2355"/>
      <c r="AT7" s="2355"/>
      <c r="AU7" s="2355"/>
      <c r="AV7" s="2355"/>
      <c r="AW7" s="2355"/>
      <c r="AX7" s="2355"/>
      <c r="AY7" s="2355"/>
      <c r="AZ7" s="2355"/>
      <c r="BA7" s="2355"/>
      <c r="BB7" s="2356" t="s">
        <v>19</v>
      </c>
      <c r="BC7" s="2356"/>
      <c r="BD7" s="2356"/>
      <c r="BE7" s="2356"/>
      <c r="BF7" s="2356"/>
      <c r="BG7" s="2356"/>
      <c r="BH7" s="2357" t="s">
        <v>20</v>
      </c>
      <c r="BI7" s="2357"/>
      <c r="BJ7" s="2638" t="s">
        <v>21</v>
      </c>
      <c r="BK7" s="2638"/>
      <c r="BL7" s="2638"/>
      <c r="BM7" s="2638"/>
      <c r="BN7" s="2638"/>
      <c r="BO7" s="2638"/>
      <c r="BP7" s="2638"/>
      <c r="BQ7" s="2343" t="s">
        <v>22</v>
      </c>
      <c r="BR7" s="2343"/>
      <c r="BS7" s="2633" t="s">
        <v>23</v>
      </c>
      <c r="BT7" s="2633"/>
      <c r="BU7" s="2639" t="s">
        <v>24</v>
      </c>
      <c r="BV7" s="2"/>
      <c r="BW7" s="2"/>
      <c r="BX7" s="2"/>
      <c r="BY7" s="2"/>
      <c r="BZ7" s="2"/>
      <c r="CA7" s="2"/>
      <c r="CB7" s="2"/>
      <c r="CC7" s="2"/>
      <c r="CD7" s="2"/>
      <c r="CE7" s="2"/>
      <c r="CF7" s="2"/>
      <c r="CG7" s="2"/>
      <c r="CH7" s="2"/>
      <c r="CI7" s="2"/>
      <c r="CJ7" s="2"/>
      <c r="CK7" s="2"/>
      <c r="CL7" s="2"/>
      <c r="CM7" s="2"/>
      <c r="CN7" s="2"/>
    </row>
    <row r="8" spans="1:92" ht="132.75" customHeight="1" x14ac:dyDescent="0.25">
      <c r="A8" s="2343" t="s">
        <v>25</v>
      </c>
      <c r="B8" s="2343" t="s">
        <v>26</v>
      </c>
      <c r="C8" s="2343" t="s">
        <v>25</v>
      </c>
      <c r="D8" s="2343" t="s">
        <v>26</v>
      </c>
      <c r="E8" s="2343" t="s">
        <v>25</v>
      </c>
      <c r="F8" s="2343" t="s">
        <v>26</v>
      </c>
      <c r="G8" s="2343" t="s">
        <v>27</v>
      </c>
      <c r="H8" s="2343" t="s">
        <v>28</v>
      </c>
      <c r="I8" s="2343" t="s">
        <v>29</v>
      </c>
      <c r="J8" s="2343" t="s">
        <v>131</v>
      </c>
      <c r="K8" s="2343" t="s">
        <v>27</v>
      </c>
      <c r="L8" s="2343" t="s">
        <v>31</v>
      </c>
      <c r="M8" s="2343" t="s">
        <v>32</v>
      </c>
      <c r="N8" s="2635" t="s">
        <v>33</v>
      </c>
      <c r="O8" s="2636" t="s">
        <v>34</v>
      </c>
      <c r="P8" s="2636"/>
      <c r="Q8" s="2343" t="s">
        <v>35</v>
      </c>
      <c r="R8" s="2634" t="s">
        <v>36</v>
      </c>
      <c r="S8" s="2343" t="s">
        <v>37</v>
      </c>
      <c r="T8" s="2343" t="s">
        <v>38</v>
      </c>
      <c r="U8" s="2634" t="s">
        <v>39</v>
      </c>
      <c r="V8" s="2634" t="s">
        <v>40</v>
      </c>
      <c r="W8" s="2634" t="s">
        <v>41</v>
      </c>
      <c r="X8" s="2344" t="s">
        <v>42</v>
      </c>
      <c r="Y8" s="2344"/>
      <c r="Z8" s="2344"/>
      <c r="AA8" s="2634" t="s">
        <v>43</v>
      </c>
      <c r="AB8" s="2343" t="s">
        <v>44</v>
      </c>
      <c r="AC8" s="2634" t="s">
        <v>26</v>
      </c>
      <c r="AD8" s="2637" t="s">
        <v>45</v>
      </c>
      <c r="AE8" s="2637"/>
      <c r="AF8" s="2340" t="s">
        <v>46</v>
      </c>
      <c r="AG8" s="2340"/>
      <c r="AH8" s="2340" t="s">
        <v>47</v>
      </c>
      <c r="AI8" s="2340"/>
      <c r="AJ8" s="2340" t="s">
        <v>48</v>
      </c>
      <c r="AK8" s="2340"/>
      <c r="AL8" s="2341" t="s">
        <v>49</v>
      </c>
      <c r="AM8" s="2342"/>
      <c r="AN8" s="2340" t="s">
        <v>50</v>
      </c>
      <c r="AO8" s="2340"/>
      <c r="AP8" s="2340" t="s">
        <v>51</v>
      </c>
      <c r="AQ8" s="2340"/>
      <c r="AR8" s="2340" t="s">
        <v>52</v>
      </c>
      <c r="AS8" s="2340"/>
      <c r="AT8" s="2340" t="s">
        <v>53</v>
      </c>
      <c r="AU8" s="2340"/>
      <c r="AV8" s="2340" t="s">
        <v>54</v>
      </c>
      <c r="AW8" s="2340"/>
      <c r="AX8" s="2340" t="s">
        <v>55</v>
      </c>
      <c r="AY8" s="2340"/>
      <c r="AZ8" s="2340" t="s">
        <v>56</v>
      </c>
      <c r="BA8" s="2340"/>
      <c r="BB8" s="2340" t="s">
        <v>57</v>
      </c>
      <c r="BC8" s="2340"/>
      <c r="BD8" s="2340" t="s">
        <v>58</v>
      </c>
      <c r="BE8" s="2340"/>
      <c r="BF8" s="2340" t="s">
        <v>59</v>
      </c>
      <c r="BG8" s="2340"/>
      <c r="BH8" s="2357"/>
      <c r="BI8" s="2357"/>
      <c r="BJ8" s="2332" t="s">
        <v>60</v>
      </c>
      <c r="BK8" s="2331" t="s">
        <v>61</v>
      </c>
      <c r="BL8" s="2332" t="s">
        <v>62</v>
      </c>
      <c r="BM8" s="2333" t="s">
        <v>63</v>
      </c>
      <c r="BN8" s="2334" t="s">
        <v>64</v>
      </c>
      <c r="BO8" s="2335"/>
      <c r="BP8" s="2332" t="s">
        <v>65</v>
      </c>
      <c r="BQ8" s="2343"/>
      <c r="BR8" s="2343"/>
      <c r="BS8" s="2633"/>
      <c r="BT8" s="2633"/>
      <c r="BU8" s="2639"/>
      <c r="BV8" s="2"/>
      <c r="BW8" s="2"/>
      <c r="BX8" s="2"/>
      <c r="BY8" s="2"/>
      <c r="BZ8" s="2"/>
      <c r="CA8" s="2"/>
      <c r="CB8" s="2"/>
      <c r="CC8" s="2"/>
      <c r="CD8" s="2"/>
      <c r="CE8" s="2"/>
      <c r="CF8" s="2"/>
      <c r="CG8" s="2"/>
      <c r="CH8" s="2"/>
      <c r="CI8" s="2"/>
      <c r="CJ8" s="2"/>
      <c r="CK8" s="2"/>
      <c r="CL8" s="2"/>
      <c r="CM8" s="2"/>
      <c r="CN8" s="2"/>
    </row>
    <row r="9" spans="1:92" ht="15.75" x14ac:dyDescent="0.25">
      <c r="A9" s="2343"/>
      <c r="B9" s="2343"/>
      <c r="C9" s="2343"/>
      <c r="D9" s="2343"/>
      <c r="E9" s="2343"/>
      <c r="F9" s="2343"/>
      <c r="G9" s="2343"/>
      <c r="H9" s="2343"/>
      <c r="I9" s="2343"/>
      <c r="J9" s="2343"/>
      <c r="K9" s="2343"/>
      <c r="L9" s="2343"/>
      <c r="M9" s="2343"/>
      <c r="N9" s="2635"/>
      <c r="O9" s="13" t="s">
        <v>66</v>
      </c>
      <c r="P9" s="13" t="s">
        <v>67</v>
      </c>
      <c r="Q9" s="2343"/>
      <c r="R9" s="2634"/>
      <c r="S9" s="2343"/>
      <c r="T9" s="2343"/>
      <c r="U9" s="2634"/>
      <c r="V9" s="2634"/>
      <c r="W9" s="2634"/>
      <c r="X9" s="296" t="s">
        <v>68</v>
      </c>
      <c r="Y9" s="296" t="s">
        <v>69</v>
      </c>
      <c r="Z9" s="296" t="s">
        <v>70</v>
      </c>
      <c r="AA9" s="2634"/>
      <c r="AB9" s="2343"/>
      <c r="AC9" s="2634"/>
      <c r="AD9" s="13" t="s">
        <v>66</v>
      </c>
      <c r="AE9" s="13" t="s">
        <v>67</v>
      </c>
      <c r="AF9" s="13" t="s">
        <v>66</v>
      </c>
      <c r="AG9" s="13" t="s">
        <v>67</v>
      </c>
      <c r="AH9" s="13" t="s">
        <v>66</v>
      </c>
      <c r="AI9" s="13" t="s">
        <v>67</v>
      </c>
      <c r="AJ9" s="13" t="s">
        <v>66</v>
      </c>
      <c r="AK9" s="13" t="s">
        <v>67</v>
      </c>
      <c r="AL9" s="13" t="s">
        <v>66</v>
      </c>
      <c r="AM9" s="13" t="s">
        <v>67</v>
      </c>
      <c r="AN9" s="13" t="s">
        <v>66</v>
      </c>
      <c r="AO9" s="13" t="s">
        <v>67</v>
      </c>
      <c r="AP9" s="13" t="s">
        <v>66</v>
      </c>
      <c r="AQ9" s="13" t="s">
        <v>67</v>
      </c>
      <c r="AR9" s="13" t="s">
        <v>66</v>
      </c>
      <c r="AS9" s="13" t="s">
        <v>67</v>
      </c>
      <c r="AT9" s="13" t="s">
        <v>66</v>
      </c>
      <c r="AU9" s="13" t="s">
        <v>67</v>
      </c>
      <c r="AV9" s="13" t="s">
        <v>66</v>
      </c>
      <c r="AW9" s="13" t="s">
        <v>67</v>
      </c>
      <c r="AX9" s="13" t="s">
        <v>66</v>
      </c>
      <c r="AY9" s="13" t="s">
        <v>67</v>
      </c>
      <c r="AZ9" s="13" t="s">
        <v>66</v>
      </c>
      <c r="BA9" s="13" t="s">
        <v>67</v>
      </c>
      <c r="BB9" s="13" t="s">
        <v>66</v>
      </c>
      <c r="BC9" s="13" t="s">
        <v>67</v>
      </c>
      <c r="BD9" s="13" t="s">
        <v>66</v>
      </c>
      <c r="BE9" s="13" t="s">
        <v>67</v>
      </c>
      <c r="BF9" s="13" t="s">
        <v>66</v>
      </c>
      <c r="BG9" s="13" t="s">
        <v>67</v>
      </c>
      <c r="BH9" s="13" t="s">
        <v>66</v>
      </c>
      <c r="BI9" s="13" t="s">
        <v>67</v>
      </c>
      <c r="BJ9" s="2332"/>
      <c r="BK9" s="2331"/>
      <c r="BL9" s="2332"/>
      <c r="BM9" s="2333"/>
      <c r="BN9" s="15" t="s">
        <v>25</v>
      </c>
      <c r="BO9" s="16" t="s">
        <v>26</v>
      </c>
      <c r="BP9" s="2332"/>
      <c r="BQ9" s="17" t="s">
        <v>66</v>
      </c>
      <c r="BR9" s="17" t="s">
        <v>67</v>
      </c>
      <c r="BS9" s="17" t="s">
        <v>66</v>
      </c>
      <c r="BT9" s="17" t="s">
        <v>67</v>
      </c>
      <c r="BU9" s="2639"/>
      <c r="BV9" s="2"/>
      <c r="BW9" s="2"/>
      <c r="BX9" s="2"/>
      <c r="BY9" s="2"/>
      <c r="BZ9" s="2"/>
      <c r="CA9" s="2"/>
      <c r="CB9" s="2"/>
      <c r="CC9" s="2"/>
      <c r="CD9" s="2"/>
      <c r="CE9" s="2"/>
      <c r="CF9" s="2"/>
      <c r="CG9" s="2"/>
      <c r="CH9" s="2"/>
      <c r="CI9" s="2"/>
      <c r="CJ9" s="2"/>
      <c r="CK9" s="2"/>
      <c r="CL9" s="2"/>
      <c r="CM9" s="2"/>
      <c r="CN9" s="2"/>
    </row>
    <row r="10" spans="1:92" s="28" customFormat="1" ht="15.75" x14ac:dyDescent="0.25">
      <c r="A10" s="297">
        <v>4</v>
      </c>
      <c r="B10" s="2617" t="s">
        <v>71</v>
      </c>
      <c r="C10" s="2617"/>
      <c r="D10" s="2617"/>
      <c r="E10" s="2617"/>
      <c r="F10" s="2617"/>
      <c r="G10" s="2617"/>
      <c r="H10" s="2617"/>
      <c r="I10" s="2617"/>
      <c r="J10" s="298"/>
      <c r="K10" s="299"/>
      <c r="L10" s="298"/>
      <c r="M10" s="299"/>
      <c r="N10" s="300"/>
      <c r="O10" s="299"/>
      <c r="P10" s="299"/>
      <c r="Q10" s="299"/>
      <c r="R10" s="298"/>
      <c r="S10" s="301"/>
      <c r="T10" s="302"/>
      <c r="U10" s="303"/>
      <c r="V10" s="298"/>
      <c r="W10" s="298"/>
      <c r="X10" s="299"/>
      <c r="Y10" s="299"/>
      <c r="Z10" s="299"/>
      <c r="AA10" s="298"/>
      <c r="AB10" s="304"/>
      <c r="AC10" s="305"/>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306"/>
      <c r="BT10" s="306"/>
      <c r="BU10" s="306"/>
      <c r="BV10" s="2"/>
      <c r="BW10" s="2"/>
      <c r="BX10" s="2"/>
      <c r="BY10" s="2"/>
      <c r="BZ10" s="2"/>
      <c r="CA10" s="2"/>
      <c r="CB10" s="2"/>
      <c r="CC10" s="2"/>
      <c r="CD10" s="2"/>
      <c r="CE10" s="2"/>
      <c r="CF10" s="2"/>
      <c r="CG10" s="2"/>
      <c r="CH10" s="2"/>
      <c r="CI10" s="2"/>
      <c r="CJ10" s="2"/>
      <c r="CK10" s="2"/>
      <c r="CL10" s="2"/>
    </row>
    <row r="11" spans="1:92" s="69" customFormat="1" ht="15.75" x14ac:dyDescent="0.25">
      <c r="A11" s="307"/>
      <c r="B11" s="308"/>
      <c r="C11" s="309">
        <v>45</v>
      </c>
      <c r="D11" s="2618" t="s">
        <v>72</v>
      </c>
      <c r="E11" s="2619"/>
      <c r="F11" s="2619"/>
      <c r="G11" s="2619"/>
      <c r="H11" s="2619"/>
      <c r="I11" s="2619"/>
      <c r="J11" s="2619"/>
      <c r="K11" s="310"/>
      <c r="L11" s="311"/>
      <c r="M11" s="310"/>
      <c r="N11" s="311"/>
      <c r="O11" s="312"/>
      <c r="P11" s="312"/>
      <c r="Q11" s="312"/>
      <c r="R11" s="313"/>
      <c r="S11" s="314"/>
      <c r="T11" s="315"/>
      <c r="U11" s="316"/>
      <c r="V11" s="313"/>
      <c r="W11" s="313"/>
      <c r="X11" s="312"/>
      <c r="Y11" s="312"/>
      <c r="Z11" s="312"/>
      <c r="AA11" s="313"/>
      <c r="AB11" s="317"/>
      <c r="AC11" s="318"/>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9"/>
      <c r="BT11" s="319"/>
      <c r="BU11" s="319"/>
      <c r="BV11" s="70"/>
      <c r="BW11" s="70"/>
      <c r="BX11" s="70"/>
      <c r="BY11" s="70"/>
      <c r="BZ11" s="70"/>
      <c r="CA11" s="70"/>
      <c r="CB11" s="70"/>
      <c r="CC11" s="70"/>
      <c r="CD11" s="70"/>
      <c r="CE11" s="70"/>
      <c r="CF11" s="70"/>
      <c r="CG11" s="70"/>
      <c r="CH11" s="70"/>
      <c r="CI11" s="70"/>
      <c r="CJ11" s="70"/>
      <c r="CK11" s="70"/>
      <c r="CL11" s="70"/>
    </row>
    <row r="12" spans="1:92" ht="15.75" x14ac:dyDescent="0.25">
      <c r="A12" s="43"/>
      <c r="B12" s="44"/>
      <c r="C12" s="320"/>
      <c r="D12" s="46"/>
      <c r="E12" s="211">
        <v>4599</v>
      </c>
      <c r="F12" s="2620" t="s">
        <v>195</v>
      </c>
      <c r="G12" s="2621"/>
      <c r="H12" s="2621"/>
      <c r="I12" s="2621"/>
      <c r="J12" s="2621"/>
      <c r="K12" s="2621"/>
      <c r="L12" s="2621"/>
      <c r="M12" s="2621"/>
      <c r="N12" s="2621"/>
      <c r="O12" s="321"/>
      <c r="P12" s="321"/>
      <c r="Q12" s="188"/>
      <c r="R12" s="185"/>
      <c r="S12" s="186"/>
      <c r="T12" s="322"/>
      <c r="U12" s="323"/>
      <c r="V12" s="323"/>
      <c r="W12" s="323"/>
      <c r="X12" s="322"/>
      <c r="Y12" s="322"/>
      <c r="Z12" s="322"/>
      <c r="AA12" s="323"/>
      <c r="AB12" s="192"/>
      <c r="AC12" s="323"/>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324"/>
      <c r="BR12" s="324"/>
      <c r="BS12" s="324"/>
      <c r="BT12" s="324"/>
      <c r="BU12" s="188"/>
      <c r="BV12" s="28"/>
      <c r="BW12" s="61"/>
      <c r="BX12" s="2"/>
      <c r="BY12" s="2"/>
      <c r="BZ12" s="2"/>
      <c r="CA12" s="2"/>
      <c r="CB12" s="2"/>
      <c r="CC12" s="2"/>
      <c r="CD12" s="2"/>
      <c r="CE12" s="2"/>
      <c r="CF12" s="2"/>
      <c r="CG12" s="2"/>
      <c r="CH12" s="2"/>
      <c r="CI12" s="2"/>
      <c r="CJ12" s="2"/>
      <c r="CK12" s="2"/>
      <c r="CL12" s="2"/>
    </row>
    <row r="13" spans="1:92" s="70" customFormat="1" ht="31.5" customHeight="1" x14ac:dyDescent="0.25">
      <c r="A13" s="325"/>
      <c r="B13" s="326"/>
      <c r="C13" s="327"/>
      <c r="D13" s="326"/>
      <c r="E13" s="328"/>
      <c r="F13" s="329"/>
      <c r="G13" s="2316" t="s">
        <v>74</v>
      </c>
      <c r="H13" s="2558" t="s">
        <v>309</v>
      </c>
      <c r="I13" s="2622">
        <v>4599002</v>
      </c>
      <c r="J13" s="2625" t="s">
        <v>93</v>
      </c>
      <c r="K13" s="2628">
        <v>459900201</v>
      </c>
      <c r="L13" s="2631" t="s">
        <v>310</v>
      </c>
      <c r="M13" s="2316">
        <v>459900201</v>
      </c>
      <c r="N13" s="2397" t="s">
        <v>311</v>
      </c>
      <c r="O13" s="2307">
        <v>1</v>
      </c>
      <c r="P13" s="2252">
        <v>0.5</v>
      </c>
      <c r="Q13" s="2294" t="s">
        <v>312</v>
      </c>
      <c r="R13" s="2397" t="s">
        <v>313</v>
      </c>
      <c r="S13" s="2608">
        <v>1</v>
      </c>
      <c r="T13" s="2611">
        <f>SUM(X13:X32)</f>
        <v>2569625342.8400002</v>
      </c>
      <c r="U13" s="2614" t="s">
        <v>314</v>
      </c>
      <c r="V13" s="2614" t="s">
        <v>315</v>
      </c>
      <c r="W13" s="2614" t="s">
        <v>316</v>
      </c>
      <c r="X13" s="330">
        <v>250000000</v>
      </c>
      <c r="Y13" s="331">
        <v>0</v>
      </c>
      <c r="Z13" s="331">
        <v>0</v>
      </c>
      <c r="AA13" s="332" t="s">
        <v>317</v>
      </c>
      <c r="AB13" s="333">
        <v>20</v>
      </c>
      <c r="AC13" s="64" t="s">
        <v>318</v>
      </c>
      <c r="AD13" s="2605">
        <v>295972</v>
      </c>
      <c r="AE13" s="2605">
        <v>295973</v>
      </c>
      <c r="AF13" s="2605">
        <v>295974</v>
      </c>
      <c r="AG13" s="2605">
        <v>295975</v>
      </c>
      <c r="AH13" s="2605">
        <v>295976</v>
      </c>
      <c r="AI13" s="2596">
        <v>135545</v>
      </c>
      <c r="AJ13" s="2596">
        <v>44254</v>
      </c>
      <c r="AK13" s="2596">
        <v>44254</v>
      </c>
      <c r="AL13" s="2596">
        <v>309146</v>
      </c>
      <c r="AM13" s="2596">
        <v>309146</v>
      </c>
      <c r="AN13" s="2596">
        <v>92607</v>
      </c>
      <c r="AO13" s="2596">
        <v>92607</v>
      </c>
      <c r="AP13" s="2596">
        <v>2145</v>
      </c>
      <c r="AQ13" s="2596">
        <v>2145</v>
      </c>
      <c r="AR13" s="2596">
        <v>12718</v>
      </c>
      <c r="AS13" s="2596">
        <v>12718</v>
      </c>
      <c r="AT13" s="2596">
        <v>26</v>
      </c>
      <c r="AU13" s="2596">
        <v>26</v>
      </c>
      <c r="AV13" s="2596">
        <v>37</v>
      </c>
      <c r="AW13" s="2596">
        <v>37</v>
      </c>
      <c r="AX13" s="2596" t="s">
        <v>319</v>
      </c>
      <c r="AY13" s="2596"/>
      <c r="AZ13" s="2596" t="s">
        <v>319</v>
      </c>
      <c r="BA13" s="2596"/>
      <c r="BB13" s="2596">
        <v>44350</v>
      </c>
      <c r="BC13" s="2596">
        <v>44350</v>
      </c>
      <c r="BD13" s="2596">
        <v>21944</v>
      </c>
      <c r="BE13" s="2596">
        <v>21944</v>
      </c>
      <c r="BF13" s="2596">
        <v>75687</v>
      </c>
      <c r="BG13" s="2596">
        <v>75687</v>
      </c>
      <c r="BH13" s="2596">
        <v>581552</v>
      </c>
      <c r="BI13" s="2596">
        <f>+AE13+AG13</f>
        <v>591948</v>
      </c>
      <c r="BJ13" s="2596">
        <v>52</v>
      </c>
      <c r="BK13" s="2599">
        <f>SUM(Y13:Y32)</f>
        <v>1448393481</v>
      </c>
      <c r="BL13" s="2599">
        <f>SUM(Z13:Z32)</f>
        <v>433947567</v>
      </c>
      <c r="BM13" s="2602">
        <f>+BL13/BK13</f>
        <v>0.29960613099445454</v>
      </c>
      <c r="BN13" s="2596" t="s">
        <v>320</v>
      </c>
      <c r="BO13" s="2581" t="s">
        <v>321</v>
      </c>
      <c r="BP13" s="2584" t="s">
        <v>322</v>
      </c>
      <c r="BQ13" s="2587">
        <v>44201</v>
      </c>
      <c r="BR13" s="2590">
        <v>44228</v>
      </c>
      <c r="BS13" s="2587">
        <v>44560</v>
      </c>
      <c r="BT13" s="2593">
        <v>44558</v>
      </c>
      <c r="BU13" s="2562" t="s">
        <v>323</v>
      </c>
      <c r="BV13" s="69"/>
      <c r="BW13" s="69"/>
    </row>
    <row r="14" spans="1:92" s="70" customFormat="1" ht="30" x14ac:dyDescent="0.25">
      <c r="A14" s="325"/>
      <c r="B14" s="326"/>
      <c r="C14" s="327"/>
      <c r="D14" s="326"/>
      <c r="E14" s="334"/>
      <c r="F14" s="335"/>
      <c r="G14" s="2316"/>
      <c r="H14" s="2558"/>
      <c r="I14" s="2623"/>
      <c r="J14" s="2626"/>
      <c r="K14" s="2629"/>
      <c r="L14" s="2632"/>
      <c r="M14" s="2316"/>
      <c r="N14" s="2397"/>
      <c r="O14" s="2307"/>
      <c r="P14" s="2252"/>
      <c r="Q14" s="2294"/>
      <c r="R14" s="2397"/>
      <c r="S14" s="2609"/>
      <c r="T14" s="2612"/>
      <c r="U14" s="2615"/>
      <c r="V14" s="2615"/>
      <c r="W14" s="2615"/>
      <c r="X14" s="336">
        <v>5000000</v>
      </c>
      <c r="Y14" s="331">
        <v>5000000</v>
      </c>
      <c r="Z14" s="331">
        <v>0</v>
      </c>
      <c r="AA14" s="332" t="s">
        <v>324</v>
      </c>
      <c r="AB14" s="333">
        <v>56</v>
      </c>
      <c r="AC14" s="64" t="s">
        <v>325</v>
      </c>
      <c r="AD14" s="2606"/>
      <c r="AE14" s="2606"/>
      <c r="AF14" s="2606"/>
      <c r="AG14" s="2606"/>
      <c r="AH14" s="2606"/>
      <c r="AI14" s="2597"/>
      <c r="AJ14" s="2597"/>
      <c r="AK14" s="2597"/>
      <c r="AL14" s="2597"/>
      <c r="AM14" s="2597"/>
      <c r="AN14" s="2597"/>
      <c r="AO14" s="2597"/>
      <c r="AP14" s="2597"/>
      <c r="AQ14" s="2597"/>
      <c r="AR14" s="2597"/>
      <c r="AS14" s="2597"/>
      <c r="AT14" s="2597"/>
      <c r="AU14" s="2597"/>
      <c r="AV14" s="2597"/>
      <c r="AW14" s="2597"/>
      <c r="AX14" s="2597"/>
      <c r="AY14" s="2597"/>
      <c r="AZ14" s="2597"/>
      <c r="BA14" s="2597"/>
      <c r="BB14" s="2597"/>
      <c r="BC14" s="2597"/>
      <c r="BD14" s="2597"/>
      <c r="BE14" s="2597"/>
      <c r="BF14" s="2597"/>
      <c r="BG14" s="2597"/>
      <c r="BH14" s="2597"/>
      <c r="BI14" s="2597"/>
      <c r="BJ14" s="2597"/>
      <c r="BK14" s="2600"/>
      <c r="BL14" s="2600"/>
      <c r="BM14" s="2603"/>
      <c r="BN14" s="2597"/>
      <c r="BO14" s="2582"/>
      <c r="BP14" s="2585"/>
      <c r="BQ14" s="2588"/>
      <c r="BR14" s="2591"/>
      <c r="BS14" s="2588"/>
      <c r="BT14" s="2594"/>
      <c r="BU14" s="2563"/>
      <c r="BV14" s="69"/>
      <c r="BW14" s="69"/>
    </row>
    <row r="15" spans="1:92" s="70" customFormat="1" ht="30" x14ac:dyDescent="0.25">
      <c r="A15" s="325"/>
      <c r="B15" s="326"/>
      <c r="C15" s="327"/>
      <c r="D15" s="326"/>
      <c r="E15" s="334"/>
      <c r="F15" s="335"/>
      <c r="G15" s="2316"/>
      <c r="H15" s="2558"/>
      <c r="I15" s="2623"/>
      <c r="J15" s="2626"/>
      <c r="K15" s="2629"/>
      <c r="L15" s="2632"/>
      <c r="M15" s="2316"/>
      <c r="N15" s="2397"/>
      <c r="O15" s="2307"/>
      <c r="P15" s="2252"/>
      <c r="Q15" s="2294"/>
      <c r="R15" s="2397"/>
      <c r="S15" s="2609"/>
      <c r="T15" s="2612"/>
      <c r="U15" s="2615"/>
      <c r="V15" s="2615"/>
      <c r="W15" s="2615"/>
      <c r="X15" s="336">
        <v>0</v>
      </c>
      <c r="Y15" s="331">
        <v>0</v>
      </c>
      <c r="Z15" s="331">
        <v>0</v>
      </c>
      <c r="AA15" s="332" t="s">
        <v>326</v>
      </c>
      <c r="AB15" s="333">
        <v>56</v>
      </c>
      <c r="AC15" s="64" t="s">
        <v>325</v>
      </c>
      <c r="AD15" s="2606"/>
      <c r="AE15" s="2606"/>
      <c r="AF15" s="2606"/>
      <c r="AG15" s="2606"/>
      <c r="AH15" s="2606"/>
      <c r="AI15" s="2597"/>
      <c r="AJ15" s="2597"/>
      <c r="AK15" s="2597"/>
      <c r="AL15" s="2597"/>
      <c r="AM15" s="2597"/>
      <c r="AN15" s="2597"/>
      <c r="AO15" s="2597"/>
      <c r="AP15" s="2597"/>
      <c r="AQ15" s="2597"/>
      <c r="AR15" s="2597"/>
      <c r="AS15" s="2597"/>
      <c r="AT15" s="2597"/>
      <c r="AU15" s="2597"/>
      <c r="AV15" s="2597"/>
      <c r="AW15" s="2597"/>
      <c r="AX15" s="2597"/>
      <c r="AY15" s="2597"/>
      <c r="AZ15" s="2597"/>
      <c r="BA15" s="2597"/>
      <c r="BB15" s="2597"/>
      <c r="BC15" s="2597"/>
      <c r="BD15" s="2597"/>
      <c r="BE15" s="2597"/>
      <c r="BF15" s="2597"/>
      <c r="BG15" s="2597"/>
      <c r="BH15" s="2597"/>
      <c r="BI15" s="2597"/>
      <c r="BJ15" s="2597"/>
      <c r="BK15" s="2600"/>
      <c r="BL15" s="2600"/>
      <c r="BM15" s="2603"/>
      <c r="BN15" s="2597"/>
      <c r="BO15" s="2582"/>
      <c r="BP15" s="2585"/>
      <c r="BQ15" s="2588"/>
      <c r="BR15" s="2591"/>
      <c r="BS15" s="2588"/>
      <c r="BT15" s="2594"/>
      <c r="BU15" s="2563"/>
      <c r="BV15" s="69"/>
      <c r="BW15" s="69"/>
    </row>
    <row r="16" spans="1:92" s="70" customFormat="1" ht="37.5" customHeight="1" x14ac:dyDescent="0.25">
      <c r="A16" s="325"/>
      <c r="B16" s="326"/>
      <c r="C16" s="327"/>
      <c r="D16" s="326"/>
      <c r="E16" s="334"/>
      <c r="F16" s="335"/>
      <c r="G16" s="2316"/>
      <c r="H16" s="2558"/>
      <c r="I16" s="2623"/>
      <c r="J16" s="2626"/>
      <c r="K16" s="2629"/>
      <c r="L16" s="2632"/>
      <c r="M16" s="2316"/>
      <c r="N16" s="2397"/>
      <c r="O16" s="2307"/>
      <c r="P16" s="2252"/>
      <c r="Q16" s="2294"/>
      <c r="R16" s="2397"/>
      <c r="S16" s="2609"/>
      <c r="T16" s="2612"/>
      <c r="U16" s="2615"/>
      <c r="V16" s="2615"/>
      <c r="W16" s="2615"/>
      <c r="X16" s="336">
        <f>20000000-18000000</f>
        <v>2000000</v>
      </c>
      <c r="Y16" s="331">
        <v>1000000</v>
      </c>
      <c r="Z16" s="331">
        <v>0</v>
      </c>
      <c r="AA16" s="332" t="s">
        <v>327</v>
      </c>
      <c r="AB16" s="333">
        <v>20</v>
      </c>
      <c r="AC16" s="64" t="s">
        <v>318</v>
      </c>
      <c r="AD16" s="2606"/>
      <c r="AE16" s="2606"/>
      <c r="AF16" s="2606"/>
      <c r="AG16" s="2606"/>
      <c r="AH16" s="2606"/>
      <c r="AI16" s="2597"/>
      <c r="AJ16" s="2597"/>
      <c r="AK16" s="2597"/>
      <c r="AL16" s="2597"/>
      <c r="AM16" s="2597"/>
      <c r="AN16" s="2597"/>
      <c r="AO16" s="2597"/>
      <c r="AP16" s="2597"/>
      <c r="AQ16" s="2597"/>
      <c r="AR16" s="2597"/>
      <c r="AS16" s="2597"/>
      <c r="AT16" s="2597"/>
      <c r="AU16" s="2597"/>
      <c r="AV16" s="2597"/>
      <c r="AW16" s="2597"/>
      <c r="AX16" s="2597"/>
      <c r="AY16" s="2597"/>
      <c r="AZ16" s="2597"/>
      <c r="BA16" s="2597"/>
      <c r="BB16" s="2597"/>
      <c r="BC16" s="2597"/>
      <c r="BD16" s="2597"/>
      <c r="BE16" s="2597"/>
      <c r="BF16" s="2597"/>
      <c r="BG16" s="2597"/>
      <c r="BH16" s="2597"/>
      <c r="BI16" s="2597"/>
      <c r="BJ16" s="2597"/>
      <c r="BK16" s="2600"/>
      <c r="BL16" s="2600"/>
      <c r="BM16" s="2603"/>
      <c r="BN16" s="2597"/>
      <c r="BO16" s="2582"/>
      <c r="BP16" s="2585"/>
      <c r="BQ16" s="2588"/>
      <c r="BR16" s="2591"/>
      <c r="BS16" s="2588"/>
      <c r="BT16" s="2594"/>
      <c r="BU16" s="2563"/>
      <c r="BV16" s="69"/>
      <c r="BW16" s="69"/>
    </row>
    <row r="17" spans="1:75" s="70" customFormat="1" ht="30" x14ac:dyDescent="0.25">
      <c r="A17" s="325"/>
      <c r="B17" s="326"/>
      <c r="C17" s="327"/>
      <c r="D17" s="326"/>
      <c r="E17" s="334"/>
      <c r="F17" s="335"/>
      <c r="G17" s="2316"/>
      <c r="H17" s="2558"/>
      <c r="I17" s="2623"/>
      <c r="J17" s="2626"/>
      <c r="K17" s="2629"/>
      <c r="L17" s="2632"/>
      <c r="M17" s="2316"/>
      <c r="N17" s="2397"/>
      <c r="O17" s="2307"/>
      <c r="P17" s="2252"/>
      <c r="Q17" s="2294"/>
      <c r="R17" s="2397"/>
      <c r="S17" s="2609"/>
      <c r="T17" s="2612"/>
      <c r="U17" s="2615"/>
      <c r="V17" s="2615"/>
      <c r="W17" s="2615"/>
      <c r="X17" s="336">
        <v>250000</v>
      </c>
      <c r="Y17" s="331">
        <v>0</v>
      </c>
      <c r="Z17" s="331">
        <v>0</v>
      </c>
      <c r="AA17" s="332" t="s">
        <v>328</v>
      </c>
      <c r="AB17" s="333">
        <v>56</v>
      </c>
      <c r="AC17" s="64" t="s">
        <v>325</v>
      </c>
      <c r="AD17" s="2606"/>
      <c r="AE17" s="2606"/>
      <c r="AF17" s="2606"/>
      <c r="AG17" s="2606"/>
      <c r="AH17" s="2606"/>
      <c r="AI17" s="2597"/>
      <c r="AJ17" s="2597"/>
      <c r="AK17" s="2597"/>
      <c r="AL17" s="2597"/>
      <c r="AM17" s="2597"/>
      <c r="AN17" s="2597"/>
      <c r="AO17" s="2597"/>
      <c r="AP17" s="2597"/>
      <c r="AQ17" s="2597"/>
      <c r="AR17" s="2597"/>
      <c r="AS17" s="2597"/>
      <c r="AT17" s="2597"/>
      <c r="AU17" s="2597"/>
      <c r="AV17" s="2597"/>
      <c r="AW17" s="2597"/>
      <c r="AX17" s="2597"/>
      <c r="AY17" s="2597"/>
      <c r="AZ17" s="2597"/>
      <c r="BA17" s="2597"/>
      <c r="BB17" s="2597"/>
      <c r="BC17" s="2597"/>
      <c r="BD17" s="2597"/>
      <c r="BE17" s="2597"/>
      <c r="BF17" s="2597"/>
      <c r="BG17" s="2597"/>
      <c r="BH17" s="2597"/>
      <c r="BI17" s="2597"/>
      <c r="BJ17" s="2597"/>
      <c r="BK17" s="2600"/>
      <c r="BL17" s="2600"/>
      <c r="BM17" s="2603"/>
      <c r="BN17" s="2597"/>
      <c r="BO17" s="2582"/>
      <c r="BP17" s="2585"/>
      <c r="BQ17" s="2588"/>
      <c r="BR17" s="2591"/>
      <c r="BS17" s="2588"/>
      <c r="BT17" s="2594"/>
      <c r="BU17" s="2563"/>
      <c r="BV17" s="69"/>
      <c r="BW17" s="69"/>
    </row>
    <row r="18" spans="1:75" s="70" customFormat="1" ht="30" x14ac:dyDescent="0.25">
      <c r="A18" s="325"/>
      <c r="B18" s="326"/>
      <c r="C18" s="327"/>
      <c r="D18" s="326"/>
      <c r="E18" s="334"/>
      <c r="F18" s="335"/>
      <c r="G18" s="2316"/>
      <c r="H18" s="2558"/>
      <c r="I18" s="2623"/>
      <c r="J18" s="2626"/>
      <c r="K18" s="2629"/>
      <c r="L18" s="2632"/>
      <c r="M18" s="2316"/>
      <c r="N18" s="2397"/>
      <c r="O18" s="2307"/>
      <c r="P18" s="2252"/>
      <c r="Q18" s="2294"/>
      <c r="R18" s="2397"/>
      <c r="S18" s="2609"/>
      <c r="T18" s="2612"/>
      <c r="U18" s="2615"/>
      <c r="V18" s="2615"/>
      <c r="W18" s="2615"/>
      <c r="X18" s="336">
        <v>4750000</v>
      </c>
      <c r="Y18" s="331">
        <v>4750000</v>
      </c>
      <c r="Z18" s="331">
        <v>0</v>
      </c>
      <c r="AA18" s="332" t="s">
        <v>329</v>
      </c>
      <c r="AB18" s="333">
        <v>56</v>
      </c>
      <c r="AC18" s="64" t="s">
        <v>325</v>
      </c>
      <c r="AD18" s="2606"/>
      <c r="AE18" s="2606"/>
      <c r="AF18" s="2606"/>
      <c r="AG18" s="2606"/>
      <c r="AH18" s="2606"/>
      <c r="AI18" s="2597"/>
      <c r="AJ18" s="2597"/>
      <c r="AK18" s="2597"/>
      <c r="AL18" s="2597"/>
      <c r="AM18" s="2597"/>
      <c r="AN18" s="2597"/>
      <c r="AO18" s="2597"/>
      <c r="AP18" s="2597"/>
      <c r="AQ18" s="2597"/>
      <c r="AR18" s="2597"/>
      <c r="AS18" s="2597"/>
      <c r="AT18" s="2597"/>
      <c r="AU18" s="2597"/>
      <c r="AV18" s="2597"/>
      <c r="AW18" s="2597"/>
      <c r="AX18" s="2597"/>
      <c r="AY18" s="2597"/>
      <c r="AZ18" s="2597"/>
      <c r="BA18" s="2597"/>
      <c r="BB18" s="2597"/>
      <c r="BC18" s="2597"/>
      <c r="BD18" s="2597"/>
      <c r="BE18" s="2597"/>
      <c r="BF18" s="2597"/>
      <c r="BG18" s="2597"/>
      <c r="BH18" s="2597"/>
      <c r="BI18" s="2597"/>
      <c r="BJ18" s="2597"/>
      <c r="BK18" s="2600"/>
      <c r="BL18" s="2600"/>
      <c r="BM18" s="2603"/>
      <c r="BN18" s="2597"/>
      <c r="BO18" s="2582"/>
      <c r="BP18" s="2585"/>
      <c r="BQ18" s="2588"/>
      <c r="BR18" s="2591"/>
      <c r="BS18" s="2588"/>
      <c r="BT18" s="2594"/>
      <c r="BU18" s="2563"/>
      <c r="BV18" s="69"/>
      <c r="BW18" s="69"/>
    </row>
    <row r="19" spans="1:75" s="70" customFormat="1" ht="30" x14ac:dyDescent="0.25">
      <c r="A19" s="325"/>
      <c r="B19" s="326"/>
      <c r="C19" s="327"/>
      <c r="D19" s="326"/>
      <c r="E19" s="334"/>
      <c r="F19" s="335"/>
      <c r="G19" s="2316"/>
      <c r="H19" s="2558"/>
      <c r="I19" s="2623"/>
      <c r="J19" s="2626"/>
      <c r="K19" s="2629"/>
      <c r="L19" s="2632"/>
      <c r="M19" s="2316"/>
      <c r="N19" s="2397"/>
      <c r="O19" s="2307"/>
      <c r="P19" s="2252"/>
      <c r="Q19" s="2294"/>
      <c r="R19" s="2397"/>
      <c r="S19" s="2609"/>
      <c r="T19" s="2612"/>
      <c r="U19" s="2615"/>
      <c r="V19" s="2615"/>
      <c r="W19" s="2615"/>
      <c r="X19" s="336">
        <v>0</v>
      </c>
      <c r="Y19" s="331">
        <v>0</v>
      </c>
      <c r="Z19" s="331">
        <v>0</v>
      </c>
      <c r="AA19" s="332" t="s">
        <v>330</v>
      </c>
      <c r="AB19" s="333">
        <v>56</v>
      </c>
      <c r="AC19" s="64" t="s">
        <v>325</v>
      </c>
      <c r="AD19" s="2606"/>
      <c r="AE19" s="2606"/>
      <c r="AF19" s="2606"/>
      <c r="AG19" s="2606"/>
      <c r="AH19" s="2606"/>
      <c r="AI19" s="2597"/>
      <c r="AJ19" s="2597"/>
      <c r="AK19" s="2597"/>
      <c r="AL19" s="2597"/>
      <c r="AM19" s="2597"/>
      <c r="AN19" s="2597"/>
      <c r="AO19" s="2597"/>
      <c r="AP19" s="2597"/>
      <c r="AQ19" s="2597"/>
      <c r="AR19" s="2597"/>
      <c r="AS19" s="2597"/>
      <c r="AT19" s="2597"/>
      <c r="AU19" s="2597"/>
      <c r="AV19" s="2597"/>
      <c r="AW19" s="2597"/>
      <c r="AX19" s="2597"/>
      <c r="AY19" s="2597"/>
      <c r="AZ19" s="2597"/>
      <c r="BA19" s="2597"/>
      <c r="BB19" s="2597"/>
      <c r="BC19" s="2597"/>
      <c r="BD19" s="2597"/>
      <c r="BE19" s="2597"/>
      <c r="BF19" s="2597"/>
      <c r="BG19" s="2597"/>
      <c r="BH19" s="2597"/>
      <c r="BI19" s="2597"/>
      <c r="BJ19" s="2597"/>
      <c r="BK19" s="2600"/>
      <c r="BL19" s="2600"/>
      <c r="BM19" s="2603"/>
      <c r="BN19" s="2597"/>
      <c r="BO19" s="2582"/>
      <c r="BP19" s="2585"/>
      <c r="BQ19" s="2588"/>
      <c r="BR19" s="2591"/>
      <c r="BS19" s="2588"/>
      <c r="BT19" s="2594"/>
      <c r="BU19" s="2563"/>
      <c r="BV19" s="69"/>
      <c r="BW19" s="69"/>
    </row>
    <row r="20" spans="1:75" s="70" customFormat="1" ht="58.5" customHeight="1" x14ac:dyDescent="0.25">
      <c r="A20" s="325"/>
      <c r="B20" s="326"/>
      <c r="C20" s="327"/>
      <c r="D20" s="326"/>
      <c r="E20" s="334"/>
      <c r="F20" s="335"/>
      <c r="G20" s="2316"/>
      <c r="H20" s="2558"/>
      <c r="I20" s="2623"/>
      <c r="J20" s="2626"/>
      <c r="K20" s="2629"/>
      <c r="L20" s="2632"/>
      <c r="M20" s="2316"/>
      <c r="N20" s="2397"/>
      <c r="O20" s="2307"/>
      <c r="P20" s="2252"/>
      <c r="Q20" s="2294"/>
      <c r="R20" s="2397"/>
      <c r="S20" s="2609"/>
      <c r="T20" s="2612"/>
      <c r="U20" s="2615"/>
      <c r="V20" s="2615"/>
      <c r="W20" s="2615"/>
      <c r="X20" s="336">
        <v>20000000</v>
      </c>
      <c r="Y20" s="331">
        <v>0</v>
      </c>
      <c r="Z20" s="331">
        <v>0</v>
      </c>
      <c r="AA20" s="332" t="s">
        <v>331</v>
      </c>
      <c r="AB20" s="333">
        <v>20</v>
      </c>
      <c r="AC20" s="64" t="s">
        <v>318</v>
      </c>
      <c r="AD20" s="2606"/>
      <c r="AE20" s="2606"/>
      <c r="AF20" s="2606"/>
      <c r="AG20" s="2606"/>
      <c r="AH20" s="2606"/>
      <c r="AI20" s="2597"/>
      <c r="AJ20" s="2597"/>
      <c r="AK20" s="2597"/>
      <c r="AL20" s="2597"/>
      <c r="AM20" s="2597"/>
      <c r="AN20" s="2597"/>
      <c r="AO20" s="2597"/>
      <c r="AP20" s="2597"/>
      <c r="AQ20" s="2597"/>
      <c r="AR20" s="2597"/>
      <c r="AS20" s="2597"/>
      <c r="AT20" s="2597"/>
      <c r="AU20" s="2597"/>
      <c r="AV20" s="2597"/>
      <c r="AW20" s="2597"/>
      <c r="AX20" s="2597"/>
      <c r="AY20" s="2597"/>
      <c r="AZ20" s="2597"/>
      <c r="BA20" s="2597"/>
      <c r="BB20" s="2597"/>
      <c r="BC20" s="2597"/>
      <c r="BD20" s="2597"/>
      <c r="BE20" s="2597"/>
      <c r="BF20" s="2597"/>
      <c r="BG20" s="2597"/>
      <c r="BH20" s="2597"/>
      <c r="BI20" s="2597"/>
      <c r="BJ20" s="2597"/>
      <c r="BK20" s="2600"/>
      <c r="BL20" s="2600"/>
      <c r="BM20" s="2603"/>
      <c r="BN20" s="2597"/>
      <c r="BO20" s="2582"/>
      <c r="BP20" s="2585"/>
      <c r="BQ20" s="2588"/>
      <c r="BR20" s="2591"/>
      <c r="BS20" s="2588"/>
      <c r="BT20" s="2594"/>
      <c r="BU20" s="2563"/>
      <c r="BV20" s="69"/>
      <c r="BW20" s="69"/>
    </row>
    <row r="21" spans="1:75" s="70" customFormat="1" ht="42" customHeight="1" x14ac:dyDescent="0.25">
      <c r="A21" s="325"/>
      <c r="B21" s="326"/>
      <c r="C21" s="327"/>
      <c r="D21" s="326"/>
      <c r="E21" s="334"/>
      <c r="F21" s="335"/>
      <c r="G21" s="2316"/>
      <c r="H21" s="2558"/>
      <c r="I21" s="2623"/>
      <c r="J21" s="2626"/>
      <c r="K21" s="2629"/>
      <c r="L21" s="2632"/>
      <c r="M21" s="2316"/>
      <c r="N21" s="2397"/>
      <c r="O21" s="2307"/>
      <c r="P21" s="2252"/>
      <c r="Q21" s="2294"/>
      <c r="R21" s="2397"/>
      <c r="S21" s="2609"/>
      <c r="T21" s="2612"/>
      <c r="U21" s="2615"/>
      <c r="V21" s="2615"/>
      <c r="W21" s="2615"/>
      <c r="X21" s="337">
        <v>305557602</v>
      </c>
      <c r="Y21" s="331">
        <v>305557602</v>
      </c>
      <c r="Z21" s="331">
        <v>0</v>
      </c>
      <c r="AA21" s="338" t="s">
        <v>332</v>
      </c>
      <c r="AB21" s="333">
        <v>20</v>
      </c>
      <c r="AC21" s="64" t="s">
        <v>318</v>
      </c>
      <c r="AD21" s="2606"/>
      <c r="AE21" s="2606"/>
      <c r="AF21" s="2606"/>
      <c r="AG21" s="2606"/>
      <c r="AH21" s="2606"/>
      <c r="AI21" s="2597"/>
      <c r="AJ21" s="2597"/>
      <c r="AK21" s="2597"/>
      <c r="AL21" s="2597"/>
      <c r="AM21" s="2597"/>
      <c r="AN21" s="2597"/>
      <c r="AO21" s="2597"/>
      <c r="AP21" s="2597"/>
      <c r="AQ21" s="2597"/>
      <c r="AR21" s="2597"/>
      <c r="AS21" s="2597"/>
      <c r="AT21" s="2597"/>
      <c r="AU21" s="2597"/>
      <c r="AV21" s="2597"/>
      <c r="AW21" s="2597"/>
      <c r="AX21" s="2597"/>
      <c r="AY21" s="2597"/>
      <c r="AZ21" s="2597"/>
      <c r="BA21" s="2597"/>
      <c r="BB21" s="2597"/>
      <c r="BC21" s="2597"/>
      <c r="BD21" s="2597"/>
      <c r="BE21" s="2597"/>
      <c r="BF21" s="2597"/>
      <c r="BG21" s="2597"/>
      <c r="BH21" s="2597"/>
      <c r="BI21" s="2597"/>
      <c r="BJ21" s="2597"/>
      <c r="BK21" s="2600"/>
      <c r="BL21" s="2600"/>
      <c r="BM21" s="2603"/>
      <c r="BN21" s="2597"/>
      <c r="BO21" s="2582"/>
      <c r="BP21" s="2585"/>
      <c r="BQ21" s="2588"/>
      <c r="BR21" s="2591"/>
      <c r="BS21" s="2588"/>
      <c r="BT21" s="2594"/>
      <c r="BU21" s="2563"/>
      <c r="BV21" s="69"/>
      <c r="BW21" s="69"/>
    </row>
    <row r="22" spans="1:75" s="70" customFormat="1" ht="45.75" customHeight="1" x14ac:dyDescent="0.25">
      <c r="A22" s="325"/>
      <c r="B22" s="326"/>
      <c r="C22" s="327"/>
      <c r="D22" s="326"/>
      <c r="E22" s="334"/>
      <c r="F22" s="335"/>
      <c r="G22" s="2316"/>
      <c r="H22" s="2558"/>
      <c r="I22" s="2623"/>
      <c r="J22" s="2626"/>
      <c r="K22" s="2629"/>
      <c r="L22" s="2632"/>
      <c r="M22" s="2316"/>
      <c r="N22" s="2397"/>
      <c r="O22" s="2307"/>
      <c r="P22" s="2252"/>
      <c r="Q22" s="2294"/>
      <c r="R22" s="2397"/>
      <c r="S22" s="2609"/>
      <c r="T22" s="2612"/>
      <c r="U22" s="2615"/>
      <c r="V22" s="2615"/>
      <c r="W22" s="2615"/>
      <c r="X22" s="337">
        <v>964442398</v>
      </c>
      <c r="Y22" s="331">
        <v>454000000</v>
      </c>
      <c r="Z22" s="331">
        <v>360025000</v>
      </c>
      <c r="AA22" s="338" t="s">
        <v>333</v>
      </c>
      <c r="AB22" s="333">
        <v>20</v>
      </c>
      <c r="AC22" s="64" t="s">
        <v>318</v>
      </c>
      <c r="AD22" s="2606"/>
      <c r="AE22" s="2606"/>
      <c r="AF22" s="2606"/>
      <c r="AG22" s="2606"/>
      <c r="AH22" s="2606"/>
      <c r="AI22" s="2597"/>
      <c r="AJ22" s="2597"/>
      <c r="AK22" s="2597"/>
      <c r="AL22" s="2597"/>
      <c r="AM22" s="2597"/>
      <c r="AN22" s="2597"/>
      <c r="AO22" s="2597"/>
      <c r="AP22" s="2597"/>
      <c r="AQ22" s="2597"/>
      <c r="AR22" s="2597"/>
      <c r="AS22" s="2597"/>
      <c r="AT22" s="2597"/>
      <c r="AU22" s="2597"/>
      <c r="AV22" s="2597"/>
      <c r="AW22" s="2597"/>
      <c r="AX22" s="2597"/>
      <c r="AY22" s="2597"/>
      <c r="AZ22" s="2597"/>
      <c r="BA22" s="2597"/>
      <c r="BB22" s="2597"/>
      <c r="BC22" s="2597"/>
      <c r="BD22" s="2597"/>
      <c r="BE22" s="2597"/>
      <c r="BF22" s="2597"/>
      <c r="BG22" s="2597"/>
      <c r="BH22" s="2597"/>
      <c r="BI22" s="2597"/>
      <c r="BJ22" s="2597"/>
      <c r="BK22" s="2600"/>
      <c r="BL22" s="2600"/>
      <c r="BM22" s="2603"/>
      <c r="BN22" s="2597"/>
      <c r="BO22" s="2582"/>
      <c r="BP22" s="2585"/>
      <c r="BQ22" s="2588"/>
      <c r="BR22" s="2591"/>
      <c r="BS22" s="2588"/>
      <c r="BT22" s="2594"/>
      <c r="BU22" s="2563"/>
      <c r="BV22" s="69"/>
      <c r="BW22" s="69"/>
    </row>
    <row r="23" spans="1:75" s="70" customFormat="1" ht="52.5" customHeight="1" x14ac:dyDescent="0.25">
      <c r="A23" s="325"/>
      <c r="B23" s="326"/>
      <c r="C23" s="327"/>
      <c r="D23" s="326"/>
      <c r="E23" s="334"/>
      <c r="F23" s="335"/>
      <c r="G23" s="2316"/>
      <c r="H23" s="2558"/>
      <c r="I23" s="2623"/>
      <c r="J23" s="2626"/>
      <c r="K23" s="2629"/>
      <c r="L23" s="2632"/>
      <c r="M23" s="2316"/>
      <c r="N23" s="2397"/>
      <c r="O23" s="2307"/>
      <c r="P23" s="2252"/>
      <c r="Q23" s="2294"/>
      <c r="R23" s="2397"/>
      <c r="S23" s="2609"/>
      <c r="T23" s="2612"/>
      <c r="U23" s="2615"/>
      <c r="V23" s="2615"/>
      <c r="W23" s="2615"/>
      <c r="X23" s="339">
        <v>412940187.83999997</v>
      </c>
      <c r="Y23" s="331">
        <v>162690000</v>
      </c>
      <c r="Z23" s="331">
        <v>73105000</v>
      </c>
      <c r="AA23" s="332" t="s">
        <v>334</v>
      </c>
      <c r="AB23" s="333">
        <v>56</v>
      </c>
      <c r="AC23" s="64" t="s">
        <v>325</v>
      </c>
      <c r="AD23" s="2606"/>
      <c r="AE23" s="2606"/>
      <c r="AF23" s="2606"/>
      <c r="AG23" s="2606"/>
      <c r="AH23" s="2606"/>
      <c r="AI23" s="2597"/>
      <c r="AJ23" s="2597"/>
      <c r="AK23" s="2597"/>
      <c r="AL23" s="2597"/>
      <c r="AM23" s="2597"/>
      <c r="AN23" s="2597"/>
      <c r="AO23" s="2597"/>
      <c r="AP23" s="2597"/>
      <c r="AQ23" s="2597"/>
      <c r="AR23" s="2597"/>
      <c r="AS23" s="2597"/>
      <c r="AT23" s="2597"/>
      <c r="AU23" s="2597"/>
      <c r="AV23" s="2597"/>
      <c r="AW23" s="2597"/>
      <c r="AX23" s="2597"/>
      <c r="AY23" s="2597"/>
      <c r="AZ23" s="2597"/>
      <c r="BA23" s="2597"/>
      <c r="BB23" s="2597"/>
      <c r="BC23" s="2597"/>
      <c r="BD23" s="2597"/>
      <c r="BE23" s="2597"/>
      <c r="BF23" s="2597"/>
      <c r="BG23" s="2597"/>
      <c r="BH23" s="2597"/>
      <c r="BI23" s="2597"/>
      <c r="BJ23" s="2597"/>
      <c r="BK23" s="2600"/>
      <c r="BL23" s="2600"/>
      <c r="BM23" s="2603"/>
      <c r="BN23" s="2597"/>
      <c r="BO23" s="2582"/>
      <c r="BP23" s="2585"/>
      <c r="BQ23" s="2588"/>
      <c r="BR23" s="2591"/>
      <c r="BS23" s="2588"/>
      <c r="BT23" s="2594"/>
      <c r="BU23" s="2563"/>
      <c r="BV23" s="69"/>
      <c r="BW23" s="69"/>
    </row>
    <row r="24" spans="1:75" s="70" customFormat="1" ht="63.75" customHeight="1" x14ac:dyDescent="0.25">
      <c r="A24" s="325"/>
      <c r="B24" s="326"/>
      <c r="C24" s="327"/>
      <c r="D24" s="326"/>
      <c r="E24" s="334"/>
      <c r="F24" s="335"/>
      <c r="G24" s="2316"/>
      <c r="H24" s="2558"/>
      <c r="I24" s="2623"/>
      <c r="J24" s="2626"/>
      <c r="K24" s="2629"/>
      <c r="L24" s="2632"/>
      <c r="M24" s="2316"/>
      <c r="N24" s="2397"/>
      <c r="O24" s="2307"/>
      <c r="P24" s="2252"/>
      <c r="Q24" s="2294"/>
      <c r="R24" s="2397"/>
      <c r="S24" s="2609"/>
      <c r="T24" s="2612"/>
      <c r="U24" s="2615"/>
      <c r="V24" s="2615"/>
      <c r="W24" s="2615"/>
      <c r="X24" s="339">
        <v>74789276</v>
      </c>
      <c r="Y24" s="340">
        <v>0</v>
      </c>
      <c r="Z24" s="340">
        <v>0</v>
      </c>
      <c r="AA24" s="341" t="s">
        <v>335</v>
      </c>
      <c r="AB24" s="342">
        <v>95</v>
      </c>
      <c r="AC24" s="64" t="s">
        <v>336</v>
      </c>
      <c r="AD24" s="2606"/>
      <c r="AE24" s="2606"/>
      <c r="AF24" s="2606"/>
      <c r="AG24" s="2606"/>
      <c r="AH24" s="2606"/>
      <c r="AI24" s="2597"/>
      <c r="AJ24" s="2597"/>
      <c r="AK24" s="2597"/>
      <c r="AL24" s="2597"/>
      <c r="AM24" s="2597"/>
      <c r="AN24" s="2597"/>
      <c r="AO24" s="2597"/>
      <c r="AP24" s="2597"/>
      <c r="AQ24" s="2597"/>
      <c r="AR24" s="2597"/>
      <c r="AS24" s="2597"/>
      <c r="AT24" s="2597"/>
      <c r="AU24" s="2597"/>
      <c r="AV24" s="2597"/>
      <c r="AW24" s="2597"/>
      <c r="AX24" s="2597"/>
      <c r="AY24" s="2597"/>
      <c r="AZ24" s="2597"/>
      <c r="BA24" s="2597"/>
      <c r="BB24" s="2597"/>
      <c r="BC24" s="2597"/>
      <c r="BD24" s="2597"/>
      <c r="BE24" s="2597"/>
      <c r="BF24" s="2597"/>
      <c r="BG24" s="2597"/>
      <c r="BH24" s="2597"/>
      <c r="BI24" s="2597"/>
      <c r="BJ24" s="2597"/>
      <c r="BK24" s="2600"/>
      <c r="BL24" s="2600"/>
      <c r="BM24" s="2603"/>
      <c r="BN24" s="2597"/>
      <c r="BO24" s="2582"/>
      <c r="BP24" s="2585"/>
      <c r="BQ24" s="2588"/>
      <c r="BR24" s="2591"/>
      <c r="BS24" s="2588"/>
      <c r="BT24" s="2594"/>
      <c r="BU24" s="2563"/>
      <c r="BV24" s="69"/>
      <c r="BW24" s="69"/>
    </row>
    <row r="25" spans="1:75" s="70" customFormat="1" ht="58.5" customHeight="1" x14ac:dyDescent="0.25">
      <c r="A25" s="325"/>
      <c r="B25" s="326"/>
      <c r="C25" s="327"/>
      <c r="D25" s="326"/>
      <c r="E25" s="334"/>
      <c r="F25" s="335"/>
      <c r="G25" s="2316"/>
      <c r="H25" s="2558"/>
      <c r="I25" s="2623"/>
      <c r="J25" s="2626"/>
      <c r="K25" s="2629"/>
      <c r="L25" s="2632"/>
      <c r="M25" s="2316"/>
      <c r="N25" s="2397"/>
      <c r="O25" s="2307"/>
      <c r="P25" s="2252"/>
      <c r="Q25" s="2294"/>
      <c r="R25" s="2397"/>
      <c r="S25" s="2609"/>
      <c r="T25" s="2612"/>
      <c r="U25" s="2615"/>
      <c r="V25" s="2615"/>
      <c r="W25" s="2615"/>
      <c r="X25" s="343">
        <v>500000000</v>
      </c>
      <c r="Y25" s="331">
        <v>500000000</v>
      </c>
      <c r="Z25" s="331">
        <v>0</v>
      </c>
      <c r="AA25" s="332" t="s">
        <v>337</v>
      </c>
      <c r="AB25" s="342">
        <v>88</v>
      </c>
      <c r="AC25" s="64" t="s">
        <v>338</v>
      </c>
      <c r="AD25" s="2606"/>
      <c r="AE25" s="2606"/>
      <c r="AF25" s="2606"/>
      <c r="AG25" s="2606"/>
      <c r="AH25" s="2606"/>
      <c r="AI25" s="2597"/>
      <c r="AJ25" s="2597"/>
      <c r="AK25" s="2597"/>
      <c r="AL25" s="2597"/>
      <c r="AM25" s="2597"/>
      <c r="AN25" s="2597"/>
      <c r="AO25" s="2597"/>
      <c r="AP25" s="2597"/>
      <c r="AQ25" s="2597"/>
      <c r="AR25" s="2597"/>
      <c r="AS25" s="2597"/>
      <c r="AT25" s="2597"/>
      <c r="AU25" s="2597"/>
      <c r="AV25" s="2597"/>
      <c r="AW25" s="2597"/>
      <c r="AX25" s="2597"/>
      <c r="AY25" s="2597"/>
      <c r="AZ25" s="2597"/>
      <c r="BA25" s="2597"/>
      <c r="BB25" s="2597"/>
      <c r="BC25" s="2597"/>
      <c r="BD25" s="2597"/>
      <c r="BE25" s="2597"/>
      <c r="BF25" s="2597"/>
      <c r="BG25" s="2597"/>
      <c r="BH25" s="2597"/>
      <c r="BI25" s="2597"/>
      <c r="BJ25" s="2597"/>
      <c r="BK25" s="2600"/>
      <c r="BL25" s="2600"/>
      <c r="BM25" s="2603"/>
      <c r="BN25" s="2597"/>
      <c r="BO25" s="2582"/>
      <c r="BP25" s="2585"/>
      <c r="BQ25" s="2588"/>
      <c r="BR25" s="2591"/>
      <c r="BS25" s="2588"/>
      <c r="BT25" s="2594"/>
      <c r="BU25" s="2563"/>
      <c r="BV25" s="69"/>
      <c r="BW25" s="69"/>
    </row>
    <row r="26" spans="1:75" s="70" customFormat="1" ht="57.75" customHeight="1" x14ac:dyDescent="0.25">
      <c r="A26" s="325"/>
      <c r="B26" s="326"/>
      <c r="C26" s="327"/>
      <c r="D26" s="326"/>
      <c r="E26" s="334"/>
      <c r="F26" s="335"/>
      <c r="G26" s="2316"/>
      <c r="H26" s="2558"/>
      <c r="I26" s="2623"/>
      <c r="J26" s="2626"/>
      <c r="K26" s="2629"/>
      <c r="L26" s="2632"/>
      <c r="M26" s="2316"/>
      <c r="N26" s="2397"/>
      <c r="O26" s="2307"/>
      <c r="P26" s="2252"/>
      <c r="Q26" s="2294"/>
      <c r="R26" s="2397"/>
      <c r="S26" s="2609"/>
      <c r="T26" s="2612"/>
      <c r="U26" s="2615"/>
      <c r="V26" s="2615"/>
      <c r="W26" s="2615"/>
      <c r="X26" s="343">
        <v>1416148</v>
      </c>
      <c r="Y26" s="331">
        <v>1416148</v>
      </c>
      <c r="Z26" s="331">
        <v>617567</v>
      </c>
      <c r="AA26" s="344" t="s">
        <v>339</v>
      </c>
      <c r="AB26" s="342">
        <v>88</v>
      </c>
      <c r="AC26" s="64" t="s">
        <v>338</v>
      </c>
      <c r="AD26" s="2606"/>
      <c r="AE26" s="2606"/>
      <c r="AF26" s="2606"/>
      <c r="AG26" s="2606"/>
      <c r="AH26" s="2606"/>
      <c r="AI26" s="2597"/>
      <c r="AJ26" s="2597"/>
      <c r="AK26" s="2597"/>
      <c r="AL26" s="2597"/>
      <c r="AM26" s="2597"/>
      <c r="AN26" s="2597"/>
      <c r="AO26" s="2597"/>
      <c r="AP26" s="2597"/>
      <c r="AQ26" s="2597"/>
      <c r="AR26" s="2597"/>
      <c r="AS26" s="2597"/>
      <c r="AT26" s="2597"/>
      <c r="AU26" s="2597"/>
      <c r="AV26" s="2597"/>
      <c r="AW26" s="2597"/>
      <c r="AX26" s="2597"/>
      <c r="AY26" s="2597"/>
      <c r="AZ26" s="2597"/>
      <c r="BA26" s="2597"/>
      <c r="BB26" s="2597"/>
      <c r="BC26" s="2597"/>
      <c r="BD26" s="2597"/>
      <c r="BE26" s="2597"/>
      <c r="BF26" s="2597"/>
      <c r="BG26" s="2597"/>
      <c r="BH26" s="2597"/>
      <c r="BI26" s="2597"/>
      <c r="BJ26" s="2597"/>
      <c r="BK26" s="2600"/>
      <c r="BL26" s="2600"/>
      <c r="BM26" s="2603"/>
      <c r="BN26" s="2597"/>
      <c r="BO26" s="2582"/>
      <c r="BP26" s="2585"/>
      <c r="BQ26" s="2588"/>
      <c r="BR26" s="2591"/>
      <c r="BS26" s="2588"/>
      <c r="BT26" s="2594"/>
      <c r="BU26" s="2563"/>
      <c r="BV26" s="69"/>
      <c r="BW26" s="69"/>
    </row>
    <row r="27" spans="1:75" s="70" customFormat="1" ht="48.75" customHeight="1" x14ac:dyDescent="0.25">
      <c r="A27" s="325"/>
      <c r="B27" s="326"/>
      <c r="C27" s="327"/>
      <c r="D27" s="326"/>
      <c r="E27" s="334"/>
      <c r="F27" s="335"/>
      <c r="G27" s="2316"/>
      <c r="H27" s="2558"/>
      <c r="I27" s="2623"/>
      <c r="J27" s="2626"/>
      <c r="K27" s="2629"/>
      <c r="L27" s="2632"/>
      <c r="M27" s="2316"/>
      <c r="N27" s="2397"/>
      <c r="O27" s="2307"/>
      <c r="P27" s="2252"/>
      <c r="Q27" s="2294"/>
      <c r="R27" s="2397"/>
      <c r="S27" s="2609"/>
      <c r="T27" s="2612"/>
      <c r="U27" s="2615"/>
      <c r="V27" s="2615"/>
      <c r="W27" s="2615"/>
      <c r="X27" s="345">
        <v>1979731</v>
      </c>
      <c r="Y27" s="331">
        <v>1979731</v>
      </c>
      <c r="Z27" s="331">
        <v>0</v>
      </c>
      <c r="AA27" s="332" t="s">
        <v>340</v>
      </c>
      <c r="AB27" s="333">
        <v>88</v>
      </c>
      <c r="AC27" s="64" t="s">
        <v>338</v>
      </c>
      <c r="AD27" s="2606"/>
      <c r="AE27" s="2606"/>
      <c r="AF27" s="2606"/>
      <c r="AG27" s="2606"/>
      <c r="AH27" s="2606"/>
      <c r="AI27" s="2597"/>
      <c r="AJ27" s="2597"/>
      <c r="AK27" s="2597"/>
      <c r="AL27" s="2597"/>
      <c r="AM27" s="2597"/>
      <c r="AN27" s="2597"/>
      <c r="AO27" s="2597"/>
      <c r="AP27" s="2597"/>
      <c r="AQ27" s="2597"/>
      <c r="AR27" s="2597"/>
      <c r="AS27" s="2597"/>
      <c r="AT27" s="2597"/>
      <c r="AU27" s="2597"/>
      <c r="AV27" s="2597"/>
      <c r="AW27" s="2597"/>
      <c r="AX27" s="2597"/>
      <c r="AY27" s="2597"/>
      <c r="AZ27" s="2597"/>
      <c r="BA27" s="2597"/>
      <c r="BB27" s="2597"/>
      <c r="BC27" s="2597"/>
      <c r="BD27" s="2597"/>
      <c r="BE27" s="2597"/>
      <c r="BF27" s="2597"/>
      <c r="BG27" s="2597"/>
      <c r="BH27" s="2597"/>
      <c r="BI27" s="2597"/>
      <c r="BJ27" s="2597"/>
      <c r="BK27" s="2600"/>
      <c r="BL27" s="2600"/>
      <c r="BM27" s="2603"/>
      <c r="BN27" s="2597"/>
      <c r="BO27" s="2582"/>
      <c r="BP27" s="2585"/>
      <c r="BQ27" s="2588"/>
      <c r="BR27" s="2591"/>
      <c r="BS27" s="2588"/>
      <c r="BT27" s="2594"/>
      <c r="BU27" s="2563"/>
      <c r="BV27" s="69"/>
      <c r="BW27" s="69"/>
    </row>
    <row r="28" spans="1:75" s="70" customFormat="1" ht="44.25" customHeight="1" x14ac:dyDescent="0.25">
      <c r="A28" s="325"/>
      <c r="B28" s="326"/>
      <c r="C28" s="327"/>
      <c r="D28" s="326"/>
      <c r="E28" s="334"/>
      <c r="F28" s="335"/>
      <c r="G28" s="2316"/>
      <c r="H28" s="2558"/>
      <c r="I28" s="2623"/>
      <c r="J28" s="2626"/>
      <c r="K28" s="2629"/>
      <c r="L28" s="2632"/>
      <c r="M28" s="2316"/>
      <c r="N28" s="2397"/>
      <c r="O28" s="2307"/>
      <c r="P28" s="2252"/>
      <c r="Q28" s="2294"/>
      <c r="R28" s="2397"/>
      <c r="S28" s="2609"/>
      <c r="T28" s="2612"/>
      <c r="U28" s="2615"/>
      <c r="V28" s="2615"/>
      <c r="W28" s="2615"/>
      <c r="X28" s="343">
        <v>5000000</v>
      </c>
      <c r="Y28" s="331">
        <v>2000000</v>
      </c>
      <c r="Z28" s="331">
        <v>200000</v>
      </c>
      <c r="AA28" s="332" t="s">
        <v>341</v>
      </c>
      <c r="AB28" s="333">
        <v>20</v>
      </c>
      <c r="AC28" s="64" t="s">
        <v>318</v>
      </c>
      <c r="AD28" s="2606"/>
      <c r="AE28" s="2606"/>
      <c r="AF28" s="2606"/>
      <c r="AG28" s="2606"/>
      <c r="AH28" s="2606"/>
      <c r="AI28" s="2597"/>
      <c r="AJ28" s="2597"/>
      <c r="AK28" s="2597"/>
      <c r="AL28" s="2597"/>
      <c r="AM28" s="2597"/>
      <c r="AN28" s="2597"/>
      <c r="AO28" s="2597"/>
      <c r="AP28" s="2597"/>
      <c r="AQ28" s="2597"/>
      <c r="AR28" s="2597"/>
      <c r="AS28" s="2597"/>
      <c r="AT28" s="2597"/>
      <c r="AU28" s="2597"/>
      <c r="AV28" s="2597"/>
      <c r="AW28" s="2597"/>
      <c r="AX28" s="2597"/>
      <c r="AY28" s="2597"/>
      <c r="AZ28" s="2597"/>
      <c r="BA28" s="2597"/>
      <c r="BB28" s="2597"/>
      <c r="BC28" s="2597"/>
      <c r="BD28" s="2597"/>
      <c r="BE28" s="2597"/>
      <c r="BF28" s="2597"/>
      <c r="BG28" s="2597"/>
      <c r="BH28" s="2597"/>
      <c r="BI28" s="2597"/>
      <c r="BJ28" s="2597"/>
      <c r="BK28" s="2600"/>
      <c r="BL28" s="2600"/>
      <c r="BM28" s="2603"/>
      <c r="BN28" s="2597"/>
      <c r="BO28" s="2582"/>
      <c r="BP28" s="2585"/>
      <c r="BQ28" s="2588"/>
      <c r="BR28" s="2591"/>
      <c r="BS28" s="2588"/>
      <c r="BT28" s="2594"/>
      <c r="BU28" s="2563"/>
      <c r="BV28" s="69"/>
      <c r="BW28" s="69"/>
    </row>
    <row r="29" spans="1:75" s="70" customFormat="1" ht="47.25" customHeight="1" x14ac:dyDescent="0.25">
      <c r="A29" s="325"/>
      <c r="B29" s="326"/>
      <c r="C29" s="327"/>
      <c r="D29" s="326"/>
      <c r="E29" s="334"/>
      <c r="F29" s="335"/>
      <c r="G29" s="2316"/>
      <c r="H29" s="2558"/>
      <c r="I29" s="2623"/>
      <c r="J29" s="2626"/>
      <c r="K29" s="2629"/>
      <c r="L29" s="2632"/>
      <c r="M29" s="2316"/>
      <c r="N29" s="2397"/>
      <c r="O29" s="2307"/>
      <c r="P29" s="2252"/>
      <c r="Q29" s="2294"/>
      <c r="R29" s="2397"/>
      <c r="S29" s="2609"/>
      <c r="T29" s="2612"/>
      <c r="U29" s="2615"/>
      <c r="V29" s="2615"/>
      <c r="W29" s="2615"/>
      <c r="X29" s="343">
        <v>6500000</v>
      </c>
      <c r="Y29" s="340">
        <v>0</v>
      </c>
      <c r="Z29" s="340">
        <v>0</v>
      </c>
      <c r="AA29" s="341" t="s">
        <v>342</v>
      </c>
      <c r="AB29" s="66">
        <v>56</v>
      </c>
      <c r="AC29" s="64" t="s">
        <v>325</v>
      </c>
      <c r="AD29" s="2606"/>
      <c r="AE29" s="2606"/>
      <c r="AF29" s="2606"/>
      <c r="AG29" s="2606"/>
      <c r="AH29" s="2606"/>
      <c r="AI29" s="2597"/>
      <c r="AJ29" s="2597"/>
      <c r="AK29" s="2597"/>
      <c r="AL29" s="2597"/>
      <c r="AM29" s="2597"/>
      <c r="AN29" s="2597"/>
      <c r="AO29" s="2597"/>
      <c r="AP29" s="2597"/>
      <c r="AQ29" s="2597"/>
      <c r="AR29" s="2597"/>
      <c r="AS29" s="2597"/>
      <c r="AT29" s="2597"/>
      <c r="AU29" s="2597"/>
      <c r="AV29" s="2597"/>
      <c r="AW29" s="2597"/>
      <c r="AX29" s="2597"/>
      <c r="AY29" s="2597"/>
      <c r="AZ29" s="2597"/>
      <c r="BA29" s="2597"/>
      <c r="BB29" s="2597"/>
      <c r="BC29" s="2597"/>
      <c r="BD29" s="2597"/>
      <c r="BE29" s="2597"/>
      <c r="BF29" s="2597"/>
      <c r="BG29" s="2597"/>
      <c r="BH29" s="2597"/>
      <c r="BI29" s="2597"/>
      <c r="BJ29" s="2597"/>
      <c r="BK29" s="2600"/>
      <c r="BL29" s="2600"/>
      <c r="BM29" s="2603"/>
      <c r="BN29" s="2597"/>
      <c r="BO29" s="2582"/>
      <c r="BP29" s="2585"/>
      <c r="BQ29" s="2588"/>
      <c r="BR29" s="2591"/>
      <c r="BS29" s="2588"/>
      <c r="BT29" s="2594"/>
      <c r="BU29" s="2563"/>
      <c r="BV29" s="69"/>
      <c r="BW29" s="69"/>
    </row>
    <row r="30" spans="1:75" s="70" customFormat="1" ht="50.25" customHeight="1" x14ac:dyDescent="0.25">
      <c r="A30" s="325"/>
      <c r="B30" s="326"/>
      <c r="C30" s="327"/>
      <c r="D30" s="326"/>
      <c r="E30" s="334"/>
      <c r="F30" s="335"/>
      <c r="G30" s="2316"/>
      <c r="H30" s="2558"/>
      <c r="I30" s="2623"/>
      <c r="J30" s="2626"/>
      <c r="K30" s="2629"/>
      <c r="L30" s="2632"/>
      <c r="M30" s="2316"/>
      <c r="N30" s="2397"/>
      <c r="O30" s="2307"/>
      <c r="P30" s="2252"/>
      <c r="Q30" s="2294"/>
      <c r="R30" s="2397"/>
      <c r="S30" s="2609"/>
      <c r="T30" s="2612"/>
      <c r="U30" s="2615"/>
      <c r="V30" s="2615"/>
      <c r="W30" s="2615"/>
      <c r="X30" s="343">
        <v>5000000</v>
      </c>
      <c r="Y30" s="340">
        <v>0</v>
      </c>
      <c r="Z30" s="340">
        <v>0</v>
      </c>
      <c r="AA30" s="341" t="s">
        <v>343</v>
      </c>
      <c r="AB30" s="66">
        <v>20</v>
      </c>
      <c r="AC30" s="64" t="s">
        <v>318</v>
      </c>
      <c r="AD30" s="2606"/>
      <c r="AE30" s="2606"/>
      <c r="AF30" s="2606"/>
      <c r="AG30" s="2606"/>
      <c r="AH30" s="2606"/>
      <c r="AI30" s="2597"/>
      <c r="AJ30" s="2597"/>
      <c r="AK30" s="2597"/>
      <c r="AL30" s="2597"/>
      <c r="AM30" s="2597"/>
      <c r="AN30" s="2597"/>
      <c r="AO30" s="2597"/>
      <c r="AP30" s="2597"/>
      <c r="AQ30" s="2597"/>
      <c r="AR30" s="2597"/>
      <c r="AS30" s="2597"/>
      <c r="AT30" s="2597"/>
      <c r="AU30" s="2597"/>
      <c r="AV30" s="2597"/>
      <c r="AW30" s="2597"/>
      <c r="AX30" s="2597"/>
      <c r="AY30" s="2597"/>
      <c r="AZ30" s="2597"/>
      <c r="BA30" s="2597"/>
      <c r="BB30" s="2597"/>
      <c r="BC30" s="2597"/>
      <c r="BD30" s="2597"/>
      <c r="BE30" s="2597"/>
      <c r="BF30" s="2597"/>
      <c r="BG30" s="2597"/>
      <c r="BH30" s="2597"/>
      <c r="BI30" s="2597"/>
      <c r="BJ30" s="2597"/>
      <c r="BK30" s="2600"/>
      <c r="BL30" s="2600"/>
      <c r="BM30" s="2603"/>
      <c r="BN30" s="2597"/>
      <c r="BO30" s="2582"/>
      <c r="BP30" s="2585"/>
      <c r="BQ30" s="2588"/>
      <c r="BR30" s="2591"/>
      <c r="BS30" s="2588"/>
      <c r="BT30" s="2594"/>
      <c r="BU30" s="2563"/>
      <c r="BV30" s="69"/>
      <c r="BW30" s="69"/>
    </row>
    <row r="31" spans="1:75" s="70" customFormat="1" ht="47.25" customHeight="1" x14ac:dyDescent="0.25">
      <c r="A31" s="325"/>
      <c r="B31" s="326"/>
      <c r="C31" s="327"/>
      <c r="D31" s="326"/>
      <c r="E31" s="334"/>
      <c r="F31" s="335"/>
      <c r="G31" s="2316"/>
      <c r="H31" s="2558"/>
      <c r="I31" s="2623"/>
      <c r="J31" s="2626"/>
      <c r="K31" s="2629"/>
      <c r="L31" s="2632"/>
      <c r="M31" s="2316"/>
      <c r="N31" s="2397"/>
      <c r="O31" s="2307"/>
      <c r="P31" s="2252"/>
      <c r="Q31" s="2294"/>
      <c r="R31" s="2397"/>
      <c r="S31" s="2609"/>
      <c r="T31" s="2612"/>
      <c r="U31" s="2615"/>
      <c r="V31" s="2615"/>
      <c r="W31" s="2615"/>
      <c r="X31" s="345">
        <v>0</v>
      </c>
      <c r="Y31" s="340">
        <v>0</v>
      </c>
      <c r="Z31" s="340">
        <v>0</v>
      </c>
      <c r="AA31" s="346" t="s">
        <v>344</v>
      </c>
      <c r="AB31" s="66">
        <v>56</v>
      </c>
      <c r="AC31" s="64" t="s">
        <v>325</v>
      </c>
      <c r="AD31" s="2606"/>
      <c r="AE31" s="2606"/>
      <c r="AF31" s="2606"/>
      <c r="AG31" s="2606"/>
      <c r="AH31" s="2606"/>
      <c r="AI31" s="2597"/>
      <c r="AJ31" s="2597"/>
      <c r="AK31" s="2597"/>
      <c r="AL31" s="2597"/>
      <c r="AM31" s="2597"/>
      <c r="AN31" s="2597"/>
      <c r="AO31" s="2597"/>
      <c r="AP31" s="2597"/>
      <c r="AQ31" s="2597"/>
      <c r="AR31" s="2597"/>
      <c r="AS31" s="2597"/>
      <c r="AT31" s="2597"/>
      <c r="AU31" s="2597"/>
      <c r="AV31" s="2597"/>
      <c r="AW31" s="2597"/>
      <c r="AX31" s="2597"/>
      <c r="AY31" s="2597"/>
      <c r="AZ31" s="2597"/>
      <c r="BA31" s="2597"/>
      <c r="BB31" s="2597"/>
      <c r="BC31" s="2597"/>
      <c r="BD31" s="2597"/>
      <c r="BE31" s="2597"/>
      <c r="BF31" s="2597"/>
      <c r="BG31" s="2597"/>
      <c r="BH31" s="2597"/>
      <c r="BI31" s="2597"/>
      <c r="BJ31" s="2597"/>
      <c r="BK31" s="2600"/>
      <c r="BL31" s="2600"/>
      <c r="BM31" s="2603"/>
      <c r="BN31" s="2597"/>
      <c r="BO31" s="2582"/>
      <c r="BP31" s="2585"/>
      <c r="BQ31" s="2588"/>
      <c r="BR31" s="2591"/>
      <c r="BS31" s="2588"/>
      <c r="BT31" s="2594"/>
      <c r="BU31" s="2563"/>
      <c r="BV31" s="69"/>
      <c r="BW31" s="69"/>
    </row>
    <row r="32" spans="1:75" s="70" customFormat="1" ht="36.75" customHeight="1" x14ac:dyDescent="0.25">
      <c r="A32" s="325"/>
      <c r="B32" s="326"/>
      <c r="C32" s="327"/>
      <c r="D32" s="326"/>
      <c r="E32" s="334"/>
      <c r="F32" s="335"/>
      <c r="G32" s="2316"/>
      <c r="H32" s="2558"/>
      <c r="I32" s="2624"/>
      <c r="J32" s="2627"/>
      <c r="K32" s="2630"/>
      <c r="L32" s="2576"/>
      <c r="M32" s="2316"/>
      <c r="N32" s="2397"/>
      <c r="O32" s="2307"/>
      <c r="P32" s="2252"/>
      <c r="Q32" s="2294"/>
      <c r="R32" s="2397"/>
      <c r="S32" s="2610"/>
      <c r="T32" s="2613"/>
      <c r="U32" s="2616"/>
      <c r="V32" s="2616"/>
      <c r="W32" s="2616"/>
      <c r="X32" s="337">
        <v>10000000</v>
      </c>
      <c r="Y32" s="340">
        <v>10000000</v>
      </c>
      <c r="Z32" s="340">
        <v>0</v>
      </c>
      <c r="AA32" s="347" t="s">
        <v>345</v>
      </c>
      <c r="AB32" s="66">
        <v>20</v>
      </c>
      <c r="AC32" s="64" t="s">
        <v>318</v>
      </c>
      <c r="AD32" s="2607"/>
      <c r="AE32" s="2607"/>
      <c r="AF32" s="2607"/>
      <c r="AG32" s="2607"/>
      <c r="AH32" s="2607"/>
      <c r="AI32" s="2598"/>
      <c r="AJ32" s="2598"/>
      <c r="AK32" s="2598"/>
      <c r="AL32" s="2598"/>
      <c r="AM32" s="2598"/>
      <c r="AN32" s="2598"/>
      <c r="AO32" s="2598"/>
      <c r="AP32" s="2598"/>
      <c r="AQ32" s="2598"/>
      <c r="AR32" s="2598"/>
      <c r="AS32" s="2598"/>
      <c r="AT32" s="2598"/>
      <c r="AU32" s="2598"/>
      <c r="AV32" s="2598"/>
      <c r="AW32" s="2598"/>
      <c r="AX32" s="2598"/>
      <c r="AY32" s="2598"/>
      <c r="AZ32" s="2598"/>
      <c r="BA32" s="2598"/>
      <c r="BB32" s="2598"/>
      <c r="BC32" s="2598"/>
      <c r="BD32" s="2598"/>
      <c r="BE32" s="2598"/>
      <c r="BF32" s="2598"/>
      <c r="BG32" s="2598"/>
      <c r="BH32" s="2598"/>
      <c r="BI32" s="2598"/>
      <c r="BJ32" s="2598"/>
      <c r="BK32" s="2601"/>
      <c r="BL32" s="2601"/>
      <c r="BM32" s="2604"/>
      <c r="BN32" s="2598"/>
      <c r="BO32" s="2583"/>
      <c r="BP32" s="2586"/>
      <c r="BQ32" s="2589"/>
      <c r="BR32" s="2592"/>
      <c r="BS32" s="2589"/>
      <c r="BT32" s="2595"/>
      <c r="BU32" s="2564"/>
      <c r="BV32" s="69"/>
      <c r="BW32" s="69"/>
    </row>
    <row r="33" spans="1:75" s="70" customFormat="1" ht="62.25" customHeight="1" x14ac:dyDescent="0.25">
      <c r="A33" s="325"/>
      <c r="B33" s="326"/>
      <c r="C33" s="327"/>
      <c r="D33" s="326"/>
      <c r="E33" s="334"/>
      <c r="F33" s="348"/>
      <c r="G33" s="2565">
        <v>4599002</v>
      </c>
      <c r="H33" s="2568" t="s">
        <v>346</v>
      </c>
      <c r="I33" s="2565">
        <v>4599002</v>
      </c>
      <c r="J33" s="2571" t="s">
        <v>347</v>
      </c>
      <c r="K33" s="2573" t="s">
        <v>74</v>
      </c>
      <c r="L33" s="2576" t="s">
        <v>348</v>
      </c>
      <c r="M33" s="2573">
        <v>459900200</v>
      </c>
      <c r="N33" s="2579" t="s">
        <v>95</v>
      </c>
      <c r="O33" s="2307">
        <v>1</v>
      </c>
      <c r="P33" s="2317">
        <v>0.5</v>
      </c>
      <c r="Q33" s="2316" t="s">
        <v>349</v>
      </c>
      <c r="R33" s="2558" t="s">
        <v>350</v>
      </c>
      <c r="S33" s="2559">
        <f>SUM(X33:X35)/T33</f>
        <v>1</v>
      </c>
      <c r="T33" s="2560">
        <f>SUM(X33:X35)</f>
        <v>278000000</v>
      </c>
      <c r="U33" s="2557" t="s">
        <v>351</v>
      </c>
      <c r="V33" s="2257" t="s">
        <v>352</v>
      </c>
      <c r="W33" s="2557" t="s">
        <v>353</v>
      </c>
      <c r="X33" s="337">
        <v>270000000</v>
      </c>
      <c r="Y33" s="331">
        <v>136905000</v>
      </c>
      <c r="Z33" s="331">
        <v>88010000</v>
      </c>
      <c r="AA33" s="349" t="s">
        <v>354</v>
      </c>
      <c r="AB33" s="333">
        <v>20</v>
      </c>
      <c r="AC33" s="64" t="s">
        <v>86</v>
      </c>
      <c r="AD33" s="2306">
        <v>295972</v>
      </c>
      <c r="AE33" s="2306">
        <v>295972</v>
      </c>
      <c r="AF33" s="2306">
        <v>285580</v>
      </c>
      <c r="AG33" s="2306">
        <v>285580</v>
      </c>
      <c r="AH33" s="2306">
        <v>135545</v>
      </c>
      <c r="AI33" s="2306">
        <v>135545</v>
      </c>
      <c r="AJ33" s="2306">
        <v>44254</v>
      </c>
      <c r="AK33" s="2306">
        <v>44254</v>
      </c>
      <c r="AL33" s="2309">
        <v>309146</v>
      </c>
      <c r="AM33" s="2306">
        <v>309146</v>
      </c>
      <c r="AN33" s="2306">
        <v>92607</v>
      </c>
      <c r="AO33" s="2306">
        <v>92607</v>
      </c>
      <c r="AP33" s="2306">
        <v>2145</v>
      </c>
      <c r="AQ33" s="2306">
        <v>2145</v>
      </c>
      <c r="AR33" s="2306">
        <v>12718</v>
      </c>
      <c r="AS33" s="2306">
        <v>12718</v>
      </c>
      <c r="AT33" s="2306">
        <v>26</v>
      </c>
      <c r="AU33" s="2306">
        <v>26</v>
      </c>
      <c r="AV33" s="2306">
        <v>37</v>
      </c>
      <c r="AW33" s="2306">
        <v>37</v>
      </c>
      <c r="AX33" s="2306" t="s">
        <v>319</v>
      </c>
      <c r="AY33" s="2306"/>
      <c r="AZ33" s="2306" t="s">
        <v>319</v>
      </c>
      <c r="BA33" s="2306"/>
      <c r="BB33" s="2306">
        <v>44350</v>
      </c>
      <c r="BC33" s="2306">
        <v>44350</v>
      </c>
      <c r="BD33" s="2306">
        <v>21944</v>
      </c>
      <c r="BE33" s="2306">
        <v>21944</v>
      </c>
      <c r="BF33" s="2306">
        <v>75687</v>
      </c>
      <c r="BG33" s="2306">
        <v>75687</v>
      </c>
      <c r="BH33" s="2306">
        <v>581552</v>
      </c>
      <c r="BI33" s="2306">
        <v>581552</v>
      </c>
      <c r="BJ33" s="2556">
        <v>14</v>
      </c>
      <c r="BK33" s="2551">
        <f>+Y33+Y34+Y35</f>
        <v>138905000</v>
      </c>
      <c r="BL33" s="2551">
        <f>+Z33+Z34+Z35</f>
        <v>88010000</v>
      </c>
      <c r="BM33" s="2552">
        <f>+BL33/BK33</f>
        <v>0.63359850257370143</v>
      </c>
      <c r="BN33" s="2306">
        <v>20</v>
      </c>
      <c r="BO33" s="2553" t="s">
        <v>86</v>
      </c>
      <c r="BP33" s="2554" t="s">
        <v>355</v>
      </c>
      <c r="BQ33" s="2547">
        <v>44201</v>
      </c>
      <c r="BR33" s="2544">
        <v>44215</v>
      </c>
      <c r="BS33" s="2547">
        <v>44560</v>
      </c>
      <c r="BT33" s="2548">
        <v>44478</v>
      </c>
      <c r="BU33" s="2307" t="s">
        <v>356</v>
      </c>
      <c r="BV33" s="69"/>
      <c r="BW33" s="69"/>
    </row>
    <row r="34" spans="1:75" s="70" customFormat="1" ht="49.5" customHeight="1" x14ac:dyDescent="0.25">
      <c r="A34" s="325"/>
      <c r="B34" s="326"/>
      <c r="C34" s="327"/>
      <c r="D34" s="326"/>
      <c r="E34" s="334"/>
      <c r="F34" s="348"/>
      <c r="G34" s="2566"/>
      <c r="H34" s="2569"/>
      <c r="I34" s="2566"/>
      <c r="J34" s="2571"/>
      <c r="K34" s="2574"/>
      <c r="L34" s="2577"/>
      <c r="M34" s="2574"/>
      <c r="N34" s="2580"/>
      <c r="O34" s="2307"/>
      <c r="P34" s="2318"/>
      <c r="Q34" s="2316"/>
      <c r="R34" s="2558"/>
      <c r="S34" s="2559"/>
      <c r="T34" s="2561"/>
      <c r="U34" s="2257"/>
      <c r="V34" s="2257"/>
      <c r="W34" s="2257"/>
      <c r="X34" s="337">
        <v>5000000</v>
      </c>
      <c r="Y34" s="331">
        <v>2000000</v>
      </c>
      <c r="Z34" s="331">
        <v>0</v>
      </c>
      <c r="AA34" s="349" t="s">
        <v>357</v>
      </c>
      <c r="AB34" s="333">
        <v>20</v>
      </c>
      <c r="AC34" s="64" t="s">
        <v>318</v>
      </c>
      <c r="AD34" s="2306"/>
      <c r="AE34" s="2306"/>
      <c r="AF34" s="2306"/>
      <c r="AG34" s="2306"/>
      <c r="AH34" s="2306"/>
      <c r="AI34" s="2306"/>
      <c r="AJ34" s="2306"/>
      <c r="AK34" s="2306"/>
      <c r="AL34" s="2310"/>
      <c r="AM34" s="2306"/>
      <c r="AN34" s="2306"/>
      <c r="AO34" s="2306"/>
      <c r="AP34" s="2306"/>
      <c r="AQ34" s="2306"/>
      <c r="AR34" s="2306"/>
      <c r="AS34" s="2306"/>
      <c r="AT34" s="2306"/>
      <c r="AU34" s="2306"/>
      <c r="AV34" s="2306"/>
      <c r="AW34" s="2306"/>
      <c r="AX34" s="2306"/>
      <c r="AY34" s="2306"/>
      <c r="AZ34" s="2306"/>
      <c r="BA34" s="2306"/>
      <c r="BB34" s="2306"/>
      <c r="BC34" s="2306"/>
      <c r="BD34" s="2306"/>
      <c r="BE34" s="2306"/>
      <c r="BF34" s="2306"/>
      <c r="BG34" s="2306"/>
      <c r="BH34" s="2306"/>
      <c r="BI34" s="2306"/>
      <c r="BJ34" s="2556"/>
      <c r="BK34" s="2551"/>
      <c r="BL34" s="2551"/>
      <c r="BM34" s="2552"/>
      <c r="BN34" s="2306"/>
      <c r="BO34" s="2553"/>
      <c r="BP34" s="2555"/>
      <c r="BQ34" s="2547"/>
      <c r="BR34" s="2545"/>
      <c r="BS34" s="2547"/>
      <c r="BT34" s="2549"/>
      <c r="BU34" s="2307"/>
      <c r="BV34" s="69"/>
      <c r="BW34" s="69"/>
    </row>
    <row r="35" spans="1:75" s="70" customFormat="1" ht="43.5" customHeight="1" x14ac:dyDescent="0.25">
      <c r="A35" s="325"/>
      <c r="B35" s="326"/>
      <c r="C35" s="327"/>
      <c r="D35" s="326"/>
      <c r="E35" s="334"/>
      <c r="F35" s="348"/>
      <c r="G35" s="2567"/>
      <c r="H35" s="2570"/>
      <c r="I35" s="2567"/>
      <c r="J35" s="2572"/>
      <c r="K35" s="2575"/>
      <c r="L35" s="2578"/>
      <c r="M35" s="2575"/>
      <c r="N35" s="2580"/>
      <c r="O35" s="2307"/>
      <c r="P35" s="2319"/>
      <c r="Q35" s="2316"/>
      <c r="R35" s="2558"/>
      <c r="S35" s="2559"/>
      <c r="T35" s="2561"/>
      <c r="U35" s="2257"/>
      <c r="V35" s="2257"/>
      <c r="W35" s="2257"/>
      <c r="X35" s="337">
        <v>3000000</v>
      </c>
      <c r="Y35" s="331">
        <v>0</v>
      </c>
      <c r="Z35" s="331">
        <v>0</v>
      </c>
      <c r="AA35" s="349" t="s">
        <v>358</v>
      </c>
      <c r="AB35" s="333">
        <v>20</v>
      </c>
      <c r="AC35" s="64" t="s">
        <v>318</v>
      </c>
      <c r="AD35" s="2306"/>
      <c r="AE35" s="2306"/>
      <c r="AF35" s="2306"/>
      <c r="AG35" s="2306"/>
      <c r="AH35" s="2306"/>
      <c r="AI35" s="2306"/>
      <c r="AJ35" s="2306"/>
      <c r="AK35" s="2306"/>
      <c r="AL35" s="2311"/>
      <c r="AM35" s="2306"/>
      <c r="AN35" s="2306"/>
      <c r="AO35" s="2306"/>
      <c r="AP35" s="2306"/>
      <c r="AQ35" s="2306"/>
      <c r="AR35" s="2306"/>
      <c r="AS35" s="2306"/>
      <c r="AT35" s="2306"/>
      <c r="AU35" s="2306"/>
      <c r="AV35" s="2306"/>
      <c r="AW35" s="2306"/>
      <c r="AX35" s="2306"/>
      <c r="AY35" s="2306"/>
      <c r="AZ35" s="2306"/>
      <c r="BA35" s="2306"/>
      <c r="BB35" s="2306"/>
      <c r="BC35" s="2306"/>
      <c r="BD35" s="2306"/>
      <c r="BE35" s="2306"/>
      <c r="BF35" s="2306"/>
      <c r="BG35" s="2306"/>
      <c r="BH35" s="2306"/>
      <c r="BI35" s="2306"/>
      <c r="BJ35" s="2556"/>
      <c r="BK35" s="2551"/>
      <c r="BL35" s="2551"/>
      <c r="BM35" s="2552"/>
      <c r="BN35" s="2306"/>
      <c r="BO35" s="2553"/>
      <c r="BP35" s="2555"/>
      <c r="BQ35" s="2547"/>
      <c r="BR35" s="2546"/>
      <c r="BS35" s="2547"/>
      <c r="BT35" s="2550"/>
      <c r="BU35" s="2307"/>
      <c r="BV35" s="69"/>
      <c r="BW35" s="69"/>
    </row>
    <row r="36" spans="1:75" s="70" customFormat="1" ht="15.75" x14ac:dyDescent="0.25">
      <c r="A36" s="350"/>
      <c r="B36" s="351"/>
      <c r="C36" s="351"/>
      <c r="D36" s="351"/>
      <c r="E36" s="352"/>
      <c r="F36" s="353"/>
      <c r="G36" s="354"/>
      <c r="H36" s="355"/>
      <c r="I36" s="354"/>
      <c r="J36" s="355"/>
      <c r="K36" s="354"/>
      <c r="L36" s="355"/>
      <c r="M36" s="354"/>
      <c r="N36" s="355"/>
      <c r="O36" s="108"/>
      <c r="P36" s="108"/>
      <c r="Q36" s="108"/>
      <c r="R36" s="356"/>
      <c r="S36" s="110"/>
      <c r="T36" s="357">
        <f>SUM(T13:T35)</f>
        <v>2847625342.8400002</v>
      </c>
      <c r="U36" s="112"/>
      <c r="V36" s="112"/>
      <c r="W36" s="107" t="s">
        <v>127</v>
      </c>
      <c r="X36" s="358">
        <f>SUM(X13:X35)</f>
        <v>2847625342.8400002</v>
      </c>
      <c r="Y36" s="358">
        <f t="shared" ref="Y36:Z36" si="0">SUM(Y13:Y35)</f>
        <v>1587298481</v>
      </c>
      <c r="Z36" s="358">
        <f t="shared" si="0"/>
        <v>521957567</v>
      </c>
      <c r="AA36" s="359"/>
      <c r="AB36" s="114"/>
      <c r="AC36" s="112"/>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358">
        <f>SUM(BK13:BK35)</f>
        <v>1587298481</v>
      </c>
      <c r="BL36" s="358">
        <f>SUM(BL13:BL35)</f>
        <v>521957567</v>
      </c>
      <c r="BM36" s="108"/>
      <c r="BN36" s="108"/>
      <c r="BO36" s="108"/>
      <c r="BP36" s="108"/>
      <c r="BQ36" s="116"/>
      <c r="BR36" s="116"/>
      <c r="BS36" s="116"/>
      <c r="BT36" s="108"/>
      <c r="BU36" s="108"/>
      <c r="BV36" s="69"/>
      <c r="BW36" s="69"/>
    </row>
    <row r="37" spans="1:75" ht="15" x14ac:dyDescent="0.25">
      <c r="X37" s="3"/>
      <c r="Y37" s="3"/>
      <c r="Z37" s="3"/>
      <c r="AA37" s="118"/>
      <c r="AB37" s="3"/>
    </row>
    <row r="38" spans="1:75" ht="15.75" x14ac:dyDescent="0.25">
      <c r="T38" s="361">
        <v>2847625342.8400002</v>
      </c>
      <c r="X38" s="361">
        <v>2847625342.8400002</v>
      </c>
      <c r="Y38" s="361">
        <v>1587298481</v>
      </c>
      <c r="Z38" s="361">
        <v>521957567</v>
      </c>
      <c r="AA38" s="118"/>
      <c r="AB38" s="3"/>
      <c r="BK38" s="361">
        <v>1587298481</v>
      </c>
      <c r="BL38" s="361">
        <v>521957567</v>
      </c>
    </row>
    <row r="39" spans="1:75" ht="15" x14ac:dyDescent="0.25">
      <c r="X39" s="129"/>
    </row>
    <row r="40" spans="1:75" ht="15.75" x14ac:dyDescent="0.25">
      <c r="E40" s="362"/>
      <c r="F40" s="362"/>
      <c r="G40" s="362"/>
      <c r="H40" s="363"/>
      <c r="I40" s="362"/>
      <c r="J40" s="363"/>
      <c r="K40" s="362"/>
      <c r="Q40" s="2245"/>
      <c r="R40" s="2245"/>
      <c r="S40" s="2245"/>
      <c r="T40" s="2245"/>
      <c r="U40" s="2245"/>
    </row>
    <row r="41" spans="1:75" ht="15.75" x14ac:dyDescent="0.25">
      <c r="E41" s="2245" t="s">
        <v>359</v>
      </c>
      <c r="F41" s="2245"/>
      <c r="G41" s="2245"/>
      <c r="H41" s="2245"/>
      <c r="I41" s="2245"/>
      <c r="J41" s="2245"/>
      <c r="K41" s="2245"/>
      <c r="Q41" s="2245"/>
      <c r="R41" s="2245"/>
      <c r="S41" s="2245"/>
      <c r="T41" s="2245"/>
      <c r="U41" s="2245"/>
    </row>
    <row r="42" spans="1:75" ht="15.75" x14ac:dyDescent="0.25">
      <c r="E42" s="2245" t="s">
        <v>360</v>
      </c>
      <c r="F42" s="2245"/>
      <c r="G42" s="2245"/>
      <c r="H42" s="2245"/>
      <c r="I42" s="2245"/>
      <c r="J42" s="2245"/>
      <c r="K42" s="2245"/>
    </row>
    <row r="43" spans="1:75" ht="15" x14ac:dyDescent="0.25">
      <c r="E43" s="2"/>
      <c r="F43" s="2"/>
      <c r="G43" s="2"/>
      <c r="H43" s="364"/>
      <c r="I43" s="121"/>
      <c r="J43" s="364"/>
      <c r="K43" s="130"/>
    </row>
  </sheetData>
  <sheetProtection algorithmName="SHA-512" hashValue="WCBW+OpxG1ByeGQzOL2wT8FF9EhcfrZlDvCtlB5kFey1DWNdOvIGKFvdpHvvJhFsOta5WxT1MfbmiZNu+WwOuw==" saltValue="9UM7J7wpuSvXVVwMNwoILQ==" spinCount="100000" sheet="1" objects="1" scenarios="1"/>
  <mergeCells count="196">
    <mergeCell ref="A1:BS4"/>
    <mergeCell ref="A5:O6"/>
    <mergeCell ref="Q5:BU5"/>
    <mergeCell ref="AD6:BF6"/>
    <mergeCell ref="A7:B7"/>
    <mergeCell ref="C7:D7"/>
    <mergeCell ref="E7:F7"/>
    <mergeCell ref="G7:J7"/>
    <mergeCell ref="K7:N7"/>
    <mergeCell ref="BU7:BU9"/>
    <mergeCell ref="A8:A9"/>
    <mergeCell ref="B8:B9"/>
    <mergeCell ref="C8:C9"/>
    <mergeCell ref="D8:D9"/>
    <mergeCell ref="E8:E9"/>
    <mergeCell ref="F8:F9"/>
    <mergeCell ref="AA7:AC7"/>
    <mergeCell ref="AD7:AG7"/>
    <mergeCell ref="AH7:AO7"/>
    <mergeCell ref="AP7:BA7"/>
    <mergeCell ref="BB7:BG7"/>
    <mergeCell ref="BH7:BI8"/>
    <mergeCell ref="AB8:AB9"/>
    <mergeCell ref="AC8:AC9"/>
    <mergeCell ref="AD8:AE8"/>
    <mergeCell ref="AF8:AG8"/>
    <mergeCell ref="G8:G9"/>
    <mergeCell ref="H8:H9"/>
    <mergeCell ref="I8:I9"/>
    <mergeCell ref="J8:J9"/>
    <mergeCell ref="K8:K9"/>
    <mergeCell ref="L8:L9"/>
    <mergeCell ref="BJ7:BP7"/>
    <mergeCell ref="BQ7:BR8"/>
    <mergeCell ref="BS7:BT8"/>
    <mergeCell ref="T8:T9"/>
    <mergeCell ref="U8:U9"/>
    <mergeCell ref="V8:V9"/>
    <mergeCell ref="W8:W9"/>
    <mergeCell ref="X8:Z8"/>
    <mergeCell ref="AA8:AA9"/>
    <mergeCell ref="M8:M9"/>
    <mergeCell ref="N8:N9"/>
    <mergeCell ref="O8:P8"/>
    <mergeCell ref="Q8:Q9"/>
    <mergeCell ref="R8:R9"/>
    <mergeCell ref="S8:S9"/>
    <mergeCell ref="AX8:AY8"/>
    <mergeCell ref="AZ8:BA8"/>
    <mergeCell ref="BB8:BC8"/>
    <mergeCell ref="BD8:BE8"/>
    <mergeCell ref="AH8:AI8"/>
    <mergeCell ref="AJ8:AK8"/>
    <mergeCell ref="AL8:AM8"/>
    <mergeCell ref="AN8:AO8"/>
    <mergeCell ref="AP8:AQ8"/>
    <mergeCell ref="AR8:AS8"/>
    <mergeCell ref="M13:M32"/>
    <mergeCell ref="N13:N32"/>
    <mergeCell ref="O13:O32"/>
    <mergeCell ref="P13:P32"/>
    <mergeCell ref="Q13:Q32"/>
    <mergeCell ref="R13:R32"/>
    <mergeCell ref="BP8:BP9"/>
    <mergeCell ref="B10:I10"/>
    <mergeCell ref="D11:J11"/>
    <mergeCell ref="F12:N12"/>
    <mergeCell ref="G13:G32"/>
    <mergeCell ref="H13:H32"/>
    <mergeCell ref="I13:I32"/>
    <mergeCell ref="J13:J32"/>
    <mergeCell ref="K13:K32"/>
    <mergeCell ref="L13:L32"/>
    <mergeCell ref="BF8:BG8"/>
    <mergeCell ref="BJ8:BJ9"/>
    <mergeCell ref="BK8:BK9"/>
    <mergeCell ref="BL8:BL9"/>
    <mergeCell ref="BM8:BM9"/>
    <mergeCell ref="BN8:BO8"/>
    <mergeCell ref="AT8:AU8"/>
    <mergeCell ref="AV8:AW8"/>
    <mergeCell ref="AE13:AE32"/>
    <mergeCell ref="AF13:AF32"/>
    <mergeCell ref="AG13:AG32"/>
    <mergeCell ref="AH13:AH32"/>
    <mergeCell ref="AI13:AI32"/>
    <mergeCell ref="AJ13:AJ32"/>
    <mergeCell ref="S13:S32"/>
    <mergeCell ref="T13:T32"/>
    <mergeCell ref="U13:U32"/>
    <mergeCell ref="V13:V32"/>
    <mergeCell ref="W13:W32"/>
    <mergeCell ref="AD13:AD32"/>
    <mergeCell ref="AQ13:AQ32"/>
    <mergeCell ref="AR13:AR32"/>
    <mergeCell ref="AS13:AS32"/>
    <mergeCell ref="AT13:AT32"/>
    <mergeCell ref="AU13:AU32"/>
    <mergeCell ref="AV13:AV32"/>
    <mergeCell ref="AK13:AK32"/>
    <mergeCell ref="AL13:AL32"/>
    <mergeCell ref="AM13:AM32"/>
    <mergeCell ref="AN13:AN32"/>
    <mergeCell ref="AO13:AO32"/>
    <mergeCell ref="AP13:AP32"/>
    <mergeCell ref="BE13:BE32"/>
    <mergeCell ref="BF13:BF32"/>
    <mergeCell ref="BG13:BG32"/>
    <mergeCell ref="BH13:BH32"/>
    <mergeCell ref="AW13:AW32"/>
    <mergeCell ref="AX13:AX32"/>
    <mergeCell ref="AY13:AY32"/>
    <mergeCell ref="AZ13:AZ32"/>
    <mergeCell ref="BA13:BA32"/>
    <mergeCell ref="BB13:BB32"/>
    <mergeCell ref="BU13:BU32"/>
    <mergeCell ref="G33:G35"/>
    <mergeCell ref="H33:H35"/>
    <mergeCell ref="I33:I35"/>
    <mergeCell ref="J33:J35"/>
    <mergeCell ref="K33:K35"/>
    <mergeCell ref="L33:L35"/>
    <mergeCell ref="M33:M35"/>
    <mergeCell ref="N33:N35"/>
    <mergeCell ref="O33:O35"/>
    <mergeCell ref="BO13:BO32"/>
    <mergeCell ref="BP13:BP32"/>
    <mergeCell ref="BQ13:BQ32"/>
    <mergeCell ref="BR13:BR32"/>
    <mergeCell ref="BS13:BS32"/>
    <mergeCell ref="BT13:BT32"/>
    <mergeCell ref="BI13:BI32"/>
    <mergeCell ref="BJ13:BJ32"/>
    <mergeCell ref="BK13:BK32"/>
    <mergeCell ref="BL13:BL32"/>
    <mergeCell ref="BM13:BM32"/>
    <mergeCell ref="BN13:BN32"/>
    <mergeCell ref="BC13:BC32"/>
    <mergeCell ref="BD13:BD32"/>
    <mergeCell ref="V33:V35"/>
    <mergeCell ref="W33:W35"/>
    <mergeCell ref="AD33:AD35"/>
    <mergeCell ref="AE33:AE35"/>
    <mergeCell ref="AF33:AF35"/>
    <mergeCell ref="AG33:AG35"/>
    <mergeCell ref="P33:P35"/>
    <mergeCell ref="Q33:Q35"/>
    <mergeCell ref="R33:R35"/>
    <mergeCell ref="S33:S35"/>
    <mergeCell ref="T33:T35"/>
    <mergeCell ref="U33:U35"/>
    <mergeCell ref="AN33:AN35"/>
    <mergeCell ref="AO33:AO35"/>
    <mergeCell ref="AP33:AP35"/>
    <mergeCell ref="AQ33:AQ35"/>
    <mergeCell ref="AR33:AR35"/>
    <mergeCell ref="AS33:AS35"/>
    <mergeCell ref="AH33:AH35"/>
    <mergeCell ref="AI33:AI35"/>
    <mergeCell ref="AJ33:AJ35"/>
    <mergeCell ref="AK33:AK35"/>
    <mergeCell ref="AL33:AL35"/>
    <mergeCell ref="AM33:AM35"/>
    <mergeCell ref="BC33:BC35"/>
    <mergeCell ref="BD33:BD35"/>
    <mergeCell ref="BE33:BE35"/>
    <mergeCell ref="AT33:AT35"/>
    <mergeCell ref="AU33:AU35"/>
    <mergeCell ref="AV33:AV35"/>
    <mergeCell ref="AW33:AW35"/>
    <mergeCell ref="AX33:AX35"/>
    <mergeCell ref="AY33:AY35"/>
    <mergeCell ref="E42:K42"/>
    <mergeCell ref="O7:Z7"/>
    <mergeCell ref="BR33:BR35"/>
    <mergeCell ref="BS33:BS35"/>
    <mergeCell ref="BT33:BT35"/>
    <mergeCell ref="BU33:BU35"/>
    <mergeCell ref="Q40:U40"/>
    <mergeCell ref="E41:K41"/>
    <mergeCell ref="Q41:U41"/>
    <mergeCell ref="BL33:BL35"/>
    <mergeCell ref="BM33:BM35"/>
    <mergeCell ref="BN33:BN35"/>
    <mergeCell ref="BO33:BO35"/>
    <mergeCell ref="BP33:BP35"/>
    <mergeCell ref="BQ33:BQ35"/>
    <mergeCell ref="BF33:BF35"/>
    <mergeCell ref="BG33:BG35"/>
    <mergeCell ref="BH33:BH35"/>
    <mergeCell ref="BI33:BI35"/>
    <mergeCell ref="BJ33:BJ35"/>
    <mergeCell ref="BK33:BK35"/>
    <mergeCell ref="AZ33:AZ35"/>
    <mergeCell ref="BA33:BA35"/>
    <mergeCell ref="BB33:BB35"/>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178"/>
  <sheetViews>
    <sheetView showGridLines="0" zoomScale="70" zoomScaleNormal="70" workbookViewId="0">
      <selection sqref="A1:BQ4"/>
    </sheetView>
  </sheetViews>
  <sheetFormatPr baseColWidth="10" defaultColWidth="9.140625" defaultRowHeight="27" customHeight="1" x14ac:dyDescent="0.25"/>
  <cols>
    <col min="1" max="1" width="15.7109375" style="117" customWidth="1"/>
    <col min="2" max="2" width="14.7109375" style="3" customWidth="1"/>
    <col min="3" max="3" width="12.140625" style="3" customWidth="1"/>
    <col min="4" max="4" width="14.5703125" style="3" customWidth="1"/>
    <col min="5" max="5" width="11.85546875" style="3" customWidth="1"/>
    <col min="6" max="6" width="13.28515625" style="3" customWidth="1"/>
    <col min="7" max="7" width="20.85546875" style="3" customWidth="1"/>
    <col min="8" max="8" width="22" style="119" customWidth="1"/>
    <col min="9" max="9" width="25.85546875" style="2" customWidth="1"/>
    <col min="10" max="10" width="22" style="119" customWidth="1"/>
    <col min="11" max="11" width="14.28515625" style="2" customWidth="1"/>
    <col min="12" max="12" width="21.42578125" style="119" customWidth="1"/>
    <col min="13" max="13" width="18.85546875" style="2" customWidth="1"/>
    <col min="14" max="14" width="17" style="119" customWidth="1"/>
    <col min="15" max="16" width="9.42578125" style="2" customWidth="1"/>
    <col min="17" max="17" width="19.28515625" style="2" customWidth="1"/>
    <col min="18" max="18" width="18.85546875" style="119" customWidth="1"/>
    <col min="19" max="19" width="9.7109375" style="121" customWidth="1"/>
    <col min="20" max="20" width="31.28515625" style="130" customWidth="1"/>
    <col min="21" max="21" width="23.140625" style="119" customWidth="1"/>
    <col min="22" max="22" width="22.85546875" style="119" customWidth="1"/>
    <col min="23" max="23" width="32.42578125" style="119" customWidth="1"/>
    <col min="24" max="24" width="35.42578125" style="130" customWidth="1"/>
    <col min="25" max="25" width="28.5703125" style="130" customWidth="1"/>
    <col min="26" max="26" width="30.5703125" style="130" customWidth="1"/>
    <col min="27" max="27" width="54.7109375" style="130" bestFit="1" customWidth="1"/>
    <col min="28" max="28" width="13.28515625" style="124" bestFit="1" customWidth="1"/>
    <col min="29" max="29" width="29" style="119" bestFit="1" customWidth="1"/>
    <col min="30" max="30" width="10.42578125" style="3" hidden="1" customWidth="1"/>
    <col min="31" max="31" width="7.85546875" style="3" hidden="1" customWidth="1"/>
    <col min="32" max="32" width="10.42578125" style="3" hidden="1" customWidth="1"/>
    <col min="33" max="33" width="4.140625" style="3" hidden="1" customWidth="1"/>
    <col min="34" max="34" width="10.42578125" style="3" hidden="1" customWidth="1"/>
    <col min="35" max="35" width="4.140625" style="3" hidden="1" customWidth="1"/>
    <col min="36" max="36" width="9.5703125" style="3" hidden="1" customWidth="1"/>
    <col min="37" max="37" width="4.140625" style="3" hidden="1" customWidth="1"/>
    <col min="38" max="38" width="10.42578125" style="3" hidden="1" customWidth="1"/>
    <col min="39" max="39" width="4.140625" style="3" hidden="1" customWidth="1"/>
    <col min="40" max="40" width="10.140625" style="3" hidden="1" customWidth="1"/>
    <col min="41" max="41" width="4.140625" style="3" hidden="1" customWidth="1"/>
    <col min="42" max="42" width="7.28515625" style="3" hidden="1" customWidth="1"/>
    <col min="43" max="43" width="4.140625" style="3" hidden="1" customWidth="1"/>
    <col min="44" max="44" width="8.28515625" style="3" hidden="1" customWidth="1"/>
    <col min="45" max="45" width="4.140625" style="3" hidden="1" customWidth="1"/>
    <col min="46" max="46" width="4.7109375" style="3" hidden="1" customWidth="1"/>
    <col min="47" max="47" width="4.140625" style="3" hidden="1" customWidth="1"/>
    <col min="48" max="48" width="4.42578125" style="3" hidden="1" customWidth="1"/>
    <col min="49" max="53" width="4.140625" style="3" hidden="1" customWidth="1"/>
    <col min="54" max="54" width="9.28515625" style="3" hidden="1" customWidth="1"/>
    <col min="55" max="55" width="4.140625" style="3" hidden="1" customWidth="1"/>
    <col min="56" max="56" width="9" style="3" hidden="1" customWidth="1"/>
    <col min="57" max="57" width="4.140625" style="3" hidden="1" customWidth="1"/>
    <col min="58" max="58" width="8.7109375" style="3" hidden="1" customWidth="1"/>
    <col min="59" max="59" width="4.140625" style="3" hidden="1" customWidth="1"/>
    <col min="60" max="60" width="13.28515625" style="3" hidden="1" customWidth="1"/>
    <col min="61" max="61" width="7.28515625" style="3" hidden="1" customWidth="1"/>
    <col min="62" max="62" width="17.28515625" style="2" customWidth="1"/>
    <col min="63" max="63" width="32.28515625" style="3" customWidth="1"/>
    <col min="64" max="64" width="35.85546875" style="3" customWidth="1"/>
    <col min="65" max="65" width="14.42578125" style="590" customWidth="1"/>
    <col min="66" max="66" width="19.5703125" style="3" customWidth="1"/>
    <col min="67" max="67" width="19.5703125" style="118" customWidth="1"/>
    <col min="68" max="68" width="31.5703125" style="118" customWidth="1"/>
    <col min="69" max="69" width="17.42578125" style="125" customWidth="1"/>
    <col min="70" max="70" width="15.5703125" style="591" customWidth="1"/>
    <col min="71" max="71" width="13.7109375" style="126" customWidth="1"/>
    <col min="72" max="72" width="13.7109375" style="591" customWidth="1"/>
    <col min="73" max="73" width="25.85546875" style="118" customWidth="1"/>
    <col min="74" max="16384" width="9.140625" style="3"/>
  </cols>
  <sheetData>
    <row r="1" spans="1:93" ht="19.5" customHeight="1" x14ac:dyDescent="0.25">
      <c r="A1" s="2367" t="s">
        <v>406</v>
      </c>
      <c r="B1" s="2367"/>
      <c r="C1" s="2367"/>
      <c r="D1" s="2367"/>
      <c r="E1" s="2367"/>
      <c r="F1" s="2367"/>
      <c r="G1" s="2367"/>
      <c r="H1" s="2367"/>
      <c r="I1" s="2367"/>
      <c r="J1" s="2367"/>
      <c r="K1" s="2367"/>
      <c r="L1" s="2367"/>
      <c r="M1" s="2367"/>
      <c r="N1" s="2367"/>
      <c r="O1" s="2367"/>
      <c r="P1" s="2367"/>
      <c r="Q1" s="2367"/>
      <c r="R1" s="2367"/>
      <c r="S1" s="2367"/>
      <c r="T1" s="2367"/>
      <c r="U1" s="2367"/>
      <c r="V1" s="2367"/>
      <c r="W1" s="2367"/>
      <c r="X1" s="2367"/>
      <c r="Y1" s="2367"/>
      <c r="Z1" s="2367"/>
      <c r="AA1" s="2367"/>
      <c r="AB1" s="2367"/>
      <c r="AC1" s="2367"/>
      <c r="AD1" s="2367"/>
      <c r="AE1" s="2367"/>
      <c r="AF1" s="2367"/>
      <c r="AG1" s="2367"/>
      <c r="AH1" s="2367"/>
      <c r="AI1" s="2367"/>
      <c r="AJ1" s="2367"/>
      <c r="AK1" s="2367"/>
      <c r="AL1" s="2367"/>
      <c r="AM1" s="2367"/>
      <c r="AN1" s="2367"/>
      <c r="AO1" s="2367"/>
      <c r="AP1" s="2367"/>
      <c r="AQ1" s="2367"/>
      <c r="AR1" s="2367"/>
      <c r="AS1" s="2367"/>
      <c r="AT1" s="2367"/>
      <c r="AU1" s="2367"/>
      <c r="AV1" s="2367"/>
      <c r="AW1" s="2367"/>
      <c r="AX1" s="2367"/>
      <c r="AY1" s="2367"/>
      <c r="AZ1" s="2367"/>
      <c r="BA1" s="2367"/>
      <c r="BB1" s="2367"/>
      <c r="BC1" s="2367"/>
      <c r="BD1" s="2367"/>
      <c r="BE1" s="2367"/>
      <c r="BF1" s="2367"/>
      <c r="BG1" s="2367"/>
      <c r="BH1" s="2367"/>
      <c r="BI1" s="2367"/>
      <c r="BJ1" s="2367"/>
      <c r="BK1" s="2367"/>
      <c r="BL1" s="2367"/>
      <c r="BM1" s="2367"/>
      <c r="BN1" s="2367"/>
      <c r="BO1" s="2367"/>
      <c r="BP1" s="2367"/>
      <c r="BQ1" s="2367"/>
      <c r="BR1" s="292"/>
      <c r="BT1" s="442" t="s">
        <v>0</v>
      </c>
      <c r="BU1" s="443" t="s">
        <v>1</v>
      </c>
      <c r="BV1" s="2"/>
      <c r="BW1" s="2"/>
      <c r="BX1" s="2"/>
      <c r="BY1" s="2"/>
      <c r="BZ1" s="2"/>
      <c r="CA1" s="2"/>
      <c r="CB1" s="2"/>
      <c r="CC1" s="2"/>
      <c r="CD1" s="2"/>
      <c r="CE1" s="2"/>
      <c r="CF1" s="2"/>
      <c r="CG1" s="2"/>
      <c r="CH1" s="2"/>
      <c r="CI1" s="2"/>
      <c r="CJ1" s="2"/>
      <c r="CK1" s="2"/>
      <c r="CL1" s="2"/>
      <c r="CM1" s="2"/>
      <c r="CN1" s="2"/>
      <c r="CO1" s="2"/>
    </row>
    <row r="2" spans="1:93" ht="19.5" customHeight="1" x14ac:dyDescent="0.25">
      <c r="A2" s="2367"/>
      <c r="B2" s="2367"/>
      <c r="C2" s="2367"/>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c r="AE2" s="2367"/>
      <c r="AF2" s="2367"/>
      <c r="AG2" s="2367"/>
      <c r="AH2" s="2367"/>
      <c r="AI2" s="2367"/>
      <c r="AJ2" s="2367"/>
      <c r="AK2" s="2367"/>
      <c r="AL2" s="2367"/>
      <c r="AM2" s="2367"/>
      <c r="AN2" s="2367"/>
      <c r="AO2" s="2367"/>
      <c r="AP2" s="2367"/>
      <c r="AQ2" s="2367"/>
      <c r="AR2" s="2367"/>
      <c r="AS2" s="2367"/>
      <c r="AT2" s="2367"/>
      <c r="AU2" s="2367"/>
      <c r="AV2" s="2367"/>
      <c r="AW2" s="2367"/>
      <c r="AX2" s="2367"/>
      <c r="AY2" s="2367"/>
      <c r="AZ2" s="2367"/>
      <c r="BA2" s="2367"/>
      <c r="BB2" s="2367"/>
      <c r="BC2" s="2367"/>
      <c r="BD2" s="2367"/>
      <c r="BE2" s="2367"/>
      <c r="BF2" s="2367"/>
      <c r="BG2" s="2367"/>
      <c r="BH2" s="2367"/>
      <c r="BI2" s="2367"/>
      <c r="BJ2" s="2367"/>
      <c r="BK2" s="2367"/>
      <c r="BL2" s="2367"/>
      <c r="BM2" s="2367"/>
      <c r="BN2" s="2367"/>
      <c r="BO2" s="2367"/>
      <c r="BP2" s="2367"/>
      <c r="BQ2" s="2367"/>
      <c r="BR2" s="292"/>
      <c r="BT2" s="442" t="s">
        <v>2</v>
      </c>
      <c r="BU2" s="2235" t="s">
        <v>3</v>
      </c>
      <c r="BV2" s="2"/>
      <c r="BW2" s="2"/>
      <c r="BX2" s="2"/>
      <c r="BY2" s="2"/>
      <c r="BZ2" s="2"/>
      <c r="CA2" s="2"/>
      <c r="CB2" s="2"/>
      <c r="CC2" s="2"/>
      <c r="CD2" s="2"/>
      <c r="CE2" s="2"/>
      <c r="CF2" s="2"/>
      <c r="CG2" s="2"/>
      <c r="CH2" s="2"/>
      <c r="CI2" s="2"/>
      <c r="CJ2" s="2"/>
      <c r="CK2" s="2"/>
      <c r="CL2" s="2"/>
      <c r="CM2" s="2"/>
      <c r="CN2" s="2"/>
      <c r="CO2" s="2"/>
    </row>
    <row r="3" spans="1:93" ht="19.5" customHeight="1" x14ac:dyDescent="0.25">
      <c r="A3" s="2367"/>
      <c r="B3" s="2367"/>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7"/>
      <c r="AH3" s="2367"/>
      <c r="AI3" s="2367"/>
      <c r="AJ3" s="2367"/>
      <c r="AK3" s="2367"/>
      <c r="AL3" s="2367"/>
      <c r="AM3" s="2367"/>
      <c r="AN3" s="2367"/>
      <c r="AO3" s="2367"/>
      <c r="AP3" s="2367"/>
      <c r="AQ3" s="2367"/>
      <c r="AR3" s="2367"/>
      <c r="AS3" s="2367"/>
      <c r="AT3" s="2367"/>
      <c r="AU3" s="2367"/>
      <c r="AV3" s="2367"/>
      <c r="AW3" s="2367"/>
      <c r="AX3" s="2367"/>
      <c r="AY3" s="2367"/>
      <c r="AZ3" s="2367"/>
      <c r="BA3" s="2367"/>
      <c r="BB3" s="2367"/>
      <c r="BC3" s="2367"/>
      <c r="BD3" s="2367"/>
      <c r="BE3" s="2367"/>
      <c r="BF3" s="2367"/>
      <c r="BG3" s="2367"/>
      <c r="BH3" s="2367"/>
      <c r="BI3" s="2367"/>
      <c r="BJ3" s="2367"/>
      <c r="BK3" s="2367"/>
      <c r="BL3" s="2367"/>
      <c r="BM3" s="2367"/>
      <c r="BN3" s="2367"/>
      <c r="BO3" s="2367"/>
      <c r="BP3" s="2367"/>
      <c r="BQ3" s="2367"/>
      <c r="BR3" s="292"/>
      <c r="BT3" s="442" t="s">
        <v>4</v>
      </c>
      <c r="BU3" s="2236">
        <v>44266</v>
      </c>
      <c r="BV3" s="2"/>
      <c r="BW3" s="2"/>
      <c r="BX3" s="2"/>
      <c r="BY3" s="2"/>
      <c r="BZ3" s="2"/>
      <c r="CA3" s="2"/>
      <c r="CB3" s="2"/>
      <c r="CC3" s="2"/>
      <c r="CD3" s="2"/>
      <c r="CE3" s="2"/>
      <c r="CF3" s="2"/>
      <c r="CG3" s="2"/>
      <c r="CH3" s="2"/>
      <c r="CI3" s="2"/>
      <c r="CJ3" s="2"/>
      <c r="CK3" s="2"/>
      <c r="CL3" s="2"/>
      <c r="CM3" s="2"/>
      <c r="CN3" s="2"/>
      <c r="CO3" s="2"/>
    </row>
    <row r="4" spans="1:93" ht="19.5" customHeight="1" x14ac:dyDescent="0.25">
      <c r="A4" s="2367"/>
      <c r="B4" s="2367"/>
      <c r="C4" s="2367"/>
      <c r="D4" s="2367"/>
      <c r="E4" s="2367"/>
      <c r="F4" s="2367"/>
      <c r="G4" s="2367"/>
      <c r="H4" s="2367"/>
      <c r="I4" s="2367"/>
      <c r="J4" s="2367"/>
      <c r="K4" s="2367"/>
      <c r="L4" s="2367"/>
      <c r="M4" s="2367"/>
      <c r="N4" s="2367"/>
      <c r="O4" s="2367"/>
      <c r="P4" s="2367"/>
      <c r="Q4" s="2367"/>
      <c r="R4" s="2367"/>
      <c r="S4" s="2367"/>
      <c r="T4" s="2367"/>
      <c r="U4" s="2367"/>
      <c r="V4" s="2367"/>
      <c r="W4" s="2367"/>
      <c r="X4" s="2367"/>
      <c r="Y4" s="2367"/>
      <c r="Z4" s="2367"/>
      <c r="AA4" s="2367"/>
      <c r="AB4" s="2367"/>
      <c r="AC4" s="2367"/>
      <c r="AD4" s="2367"/>
      <c r="AE4" s="2367"/>
      <c r="AF4" s="2367"/>
      <c r="AG4" s="2367"/>
      <c r="AH4" s="2367"/>
      <c r="AI4" s="2367"/>
      <c r="AJ4" s="2367"/>
      <c r="AK4" s="2367"/>
      <c r="AL4" s="2367"/>
      <c r="AM4" s="2367"/>
      <c r="AN4" s="2367"/>
      <c r="AO4" s="2367"/>
      <c r="AP4" s="2367"/>
      <c r="AQ4" s="2367"/>
      <c r="AR4" s="2367"/>
      <c r="AS4" s="2367"/>
      <c r="AT4" s="2367"/>
      <c r="AU4" s="2367"/>
      <c r="AV4" s="2367"/>
      <c r="AW4" s="2367"/>
      <c r="AX4" s="2367"/>
      <c r="AY4" s="2367"/>
      <c r="AZ4" s="2367"/>
      <c r="BA4" s="2367"/>
      <c r="BB4" s="2367"/>
      <c r="BC4" s="2367"/>
      <c r="BD4" s="2367"/>
      <c r="BE4" s="2367"/>
      <c r="BF4" s="2367"/>
      <c r="BG4" s="2367"/>
      <c r="BH4" s="2367"/>
      <c r="BI4" s="2367"/>
      <c r="BJ4" s="2367"/>
      <c r="BK4" s="2367"/>
      <c r="BL4" s="2367"/>
      <c r="BM4" s="2367"/>
      <c r="BN4" s="2367"/>
      <c r="BO4" s="2367"/>
      <c r="BP4" s="2367"/>
      <c r="BQ4" s="2367"/>
      <c r="BR4" s="292"/>
      <c r="BT4" s="442" t="s">
        <v>5</v>
      </c>
      <c r="BU4" s="444" t="s">
        <v>6</v>
      </c>
      <c r="BV4" s="2"/>
      <c r="BW4" s="2"/>
      <c r="BX4" s="2"/>
      <c r="BY4" s="2"/>
      <c r="BZ4" s="2"/>
      <c r="CA4" s="2"/>
      <c r="CB4" s="2"/>
      <c r="CC4" s="2"/>
      <c r="CD4" s="2"/>
      <c r="CE4" s="2"/>
      <c r="CF4" s="2"/>
      <c r="CG4" s="2"/>
      <c r="CH4" s="2"/>
      <c r="CI4" s="2"/>
      <c r="CJ4" s="2"/>
      <c r="CK4" s="2"/>
      <c r="CL4" s="2"/>
      <c r="CM4" s="2"/>
      <c r="CN4" s="2"/>
      <c r="CO4" s="2"/>
    </row>
    <row r="5" spans="1:93" ht="18.75" customHeight="1" x14ac:dyDescent="0.25">
      <c r="A5" s="2363" t="s">
        <v>407</v>
      </c>
      <c r="B5" s="2363"/>
      <c r="C5" s="2363"/>
      <c r="D5" s="2363"/>
      <c r="E5" s="2363"/>
      <c r="F5" s="2363"/>
      <c r="G5" s="2363"/>
      <c r="H5" s="2363"/>
      <c r="I5" s="2363"/>
      <c r="J5" s="2363"/>
      <c r="K5" s="2363"/>
      <c r="L5" s="2363"/>
      <c r="M5" s="2363"/>
      <c r="N5" s="2363"/>
      <c r="O5" s="2363"/>
      <c r="P5" s="445"/>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c r="CO5" s="2"/>
    </row>
    <row r="6" spans="1:93" ht="18.75" customHeight="1" thickBot="1" x14ac:dyDescent="0.3">
      <c r="A6" s="2363"/>
      <c r="B6" s="2363"/>
      <c r="C6" s="2363"/>
      <c r="D6" s="2363"/>
      <c r="E6" s="2363"/>
      <c r="F6" s="2363"/>
      <c r="G6" s="2363"/>
      <c r="H6" s="2363"/>
      <c r="I6" s="2363"/>
      <c r="J6" s="2363"/>
      <c r="K6" s="2363"/>
      <c r="L6" s="2363"/>
      <c r="M6" s="2363"/>
      <c r="N6" s="2363"/>
      <c r="O6" s="2363"/>
      <c r="P6" s="292"/>
      <c r="Q6" s="7"/>
      <c r="R6" s="8"/>
      <c r="S6" s="7"/>
      <c r="T6" s="7"/>
      <c r="U6" s="8"/>
      <c r="V6" s="8"/>
      <c r="W6" s="8"/>
      <c r="X6" s="7"/>
      <c r="Y6" s="7"/>
      <c r="Z6" s="7"/>
      <c r="AA6" s="7"/>
      <c r="AB6" s="7"/>
      <c r="AC6" s="8"/>
      <c r="AD6" s="2364" t="s">
        <v>8</v>
      </c>
      <c r="AE6" s="2364"/>
      <c r="AF6" s="2364"/>
      <c r="AG6" s="2364"/>
      <c r="AH6" s="2364"/>
      <c r="AI6" s="2364"/>
      <c r="AJ6" s="2364"/>
      <c r="AK6" s="2364"/>
      <c r="AL6" s="2364"/>
      <c r="AM6" s="2364"/>
      <c r="AN6" s="2364"/>
      <c r="AO6" s="2364"/>
      <c r="AP6" s="2364"/>
      <c r="AQ6" s="2364"/>
      <c r="AR6" s="2364"/>
      <c r="AS6" s="2364"/>
      <c r="AT6" s="2364"/>
      <c r="AU6" s="2364"/>
      <c r="AV6" s="2364"/>
      <c r="AW6" s="2364"/>
      <c r="AX6" s="2364"/>
      <c r="AY6" s="2364"/>
      <c r="AZ6" s="2364"/>
      <c r="BA6" s="2364"/>
      <c r="BB6" s="2364"/>
      <c r="BC6" s="2364"/>
      <c r="BD6" s="2364"/>
      <c r="BE6" s="2364"/>
      <c r="BF6" s="2364"/>
      <c r="BG6" s="144"/>
      <c r="BH6" s="144"/>
      <c r="BI6" s="144"/>
      <c r="BJ6" s="446"/>
      <c r="BK6" s="144"/>
      <c r="BL6" s="144"/>
      <c r="BM6" s="447"/>
      <c r="BN6" s="144"/>
      <c r="BO6" s="448"/>
      <c r="BP6" s="448"/>
      <c r="BQ6" s="144"/>
      <c r="BR6" s="446"/>
      <c r="BS6" s="144"/>
      <c r="BT6" s="446"/>
      <c r="BU6" s="449"/>
      <c r="BV6" s="2"/>
      <c r="BW6" s="2"/>
      <c r="BX6" s="2"/>
      <c r="BY6" s="2"/>
      <c r="BZ6" s="2"/>
      <c r="CA6" s="2"/>
      <c r="CB6" s="2"/>
      <c r="CC6" s="2"/>
      <c r="CD6" s="2"/>
      <c r="CE6" s="2"/>
      <c r="CF6" s="2"/>
      <c r="CG6" s="2"/>
      <c r="CH6" s="2"/>
      <c r="CI6" s="2"/>
      <c r="CJ6" s="2"/>
      <c r="CK6" s="2"/>
      <c r="CL6" s="2"/>
      <c r="CM6" s="2"/>
      <c r="CN6" s="2"/>
      <c r="CO6" s="2"/>
    </row>
    <row r="7" spans="1:93" ht="36.75" customHeight="1" x14ac:dyDescent="0.25">
      <c r="A7" s="2372" t="s">
        <v>9</v>
      </c>
      <c r="B7" s="2372"/>
      <c r="C7" s="2372" t="s">
        <v>10</v>
      </c>
      <c r="D7" s="2372"/>
      <c r="E7" s="2372" t="s">
        <v>11</v>
      </c>
      <c r="F7" s="2372"/>
      <c r="G7" s="2372" t="s">
        <v>12</v>
      </c>
      <c r="H7" s="2372"/>
      <c r="I7" s="2372"/>
      <c r="J7" s="2372"/>
      <c r="K7" s="2372" t="s">
        <v>13</v>
      </c>
      <c r="L7" s="2372"/>
      <c r="M7" s="2372"/>
      <c r="N7" s="2372"/>
      <c r="O7" s="2854" t="s">
        <v>14</v>
      </c>
      <c r="P7" s="2854"/>
      <c r="Q7" s="2854"/>
      <c r="R7" s="2854"/>
      <c r="S7" s="2854"/>
      <c r="T7" s="2854"/>
      <c r="U7" s="2854"/>
      <c r="V7" s="2854"/>
      <c r="W7" s="2854"/>
      <c r="X7" s="2854"/>
      <c r="Y7" s="294"/>
      <c r="Z7" s="294"/>
      <c r="AA7" s="2372" t="s">
        <v>15</v>
      </c>
      <c r="AB7" s="2372"/>
      <c r="AC7" s="2372"/>
      <c r="AD7" s="2349" t="s">
        <v>16</v>
      </c>
      <c r="AE7" s="2350"/>
      <c r="AF7" s="2350"/>
      <c r="AG7" s="2351"/>
      <c r="AH7" s="2352" t="s">
        <v>17</v>
      </c>
      <c r="AI7" s="2353"/>
      <c r="AJ7" s="2353"/>
      <c r="AK7" s="2353"/>
      <c r="AL7" s="2353"/>
      <c r="AM7" s="2353"/>
      <c r="AN7" s="2353"/>
      <c r="AO7" s="2354"/>
      <c r="AP7" s="2360" t="s">
        <v>18</v>
      </c>
      <c r="AQ7" s="2507"/>
      <c r="AR7" s="2507"/>
      <c r="AS7" s="2507"/>
      <c r="AT7" s="2507"/>
      <c r="AU7" s="2507"/>
      <c r="AV7" s="2507"/>
      <c r="AW7" s="2507"/>
      <c r="AX7" s="2507"/>
      <c r="AY7" s="2507"/>
      <c r="AZ7" s="2507"/>
      <c r="BA7" s="2361"/>
      <c r="BB7" s="2352" t="s">
        <v>19</v>
      </c>
      <c r="BC7" s="2353"/>
      <c r="BD7" s="2353"/>
      <c r="BE7" s="2353"/>
      <c r="BF7" s="2353"/>
      <c r="BG7" s="2354"/>
      <c r="BH7" s="2852" t="s">
        <v>20</v>
      </c>
      <c r="BI7" s="2536"/>
      <c r="BJ7" s="2373" t="s">
        <v>21</v>
      </c>
      <c r="BK7" s="2374"/>
      <c r="BL7" s="2374"/>
      <c r="BM7" s="2374"/>
      <c r="BN7" s="2374"/>
      <c r="BO7" s="2374"/>
      <c r="BP7" s="2375"/>
      <c r="BQ7" s="2852" t="s">
        <v>22</v>
      </c>
      <c r="BR7" s="2536"/>
      <c r="BS7" s="2852" t="s">
        <v>23</v>
      </c>
      <c r="BT7" s="2536"/>
      <c r="BU7" s="2855" t="s">
        <v>24</v>
      </c>
      <c r="BV7" s="2"/>
      <c r="BW7" s="2"/>
      <c r="BX7" s="2"/>
      <c r="BY7" s="2"/>
      <c r="BZ7" s="2"/>
      <c r="CA7" s="2"/>
      <c r="CB7" s="2"/>
      <c r="CC7" s="2"/>
      <c r="CD7" s="2"/>
      <c r="CE7" s="2"/>
      <c r="CF7" s="2"/>
      <c r="CG7" s="2"/>
      <c r="CH7" s="2"/>
      <c r="CI7" s="2"/>
      <c r="CJ7" s="2"/>
      <c r="CK7" s="2"/>
      <c r="CL7" s="2"/>
      <c r="CM7" s="2"/>
      <c r="CN7" s="2"/>
      <c r="CO7" s="2"/>
    </row>
    <row r="8" spans="1:93" ht="60.75" customHeight="1" x14ac:dyDescent="0.25">
      <c r="A8" s="2343" t="s">
        <v>25</v>
      </c>
      <c r="B8" s="2343" t="s">
        <v>26</v>
      </c>
      <c r="C8" s="2343" t="s">
        <v>25</v>
      </c>
      <c r="D8" s="2343" t="s">
        <v>26</v>
      </c>
      <c r="E8" s="2343" t="s">
        <v>25</v>
      </c>
      <c r="F8" s="2343" t="s">
        <v>26</v>
      </c>
      <c r="G8" s="2343" t="s">
        <v>27</v>
      </c>
      <c r="H8" s="2343" t="s">
        <v>28</v>
      </c>
      <c r="I8" s="2343" t="s">
        <v>29</v>
      </c>
      <c r="J8" s="2343" t="s">
        <v>131</v>
      </c>
      <c r="K8" s="2343" t="s">
        <v>27</v>
      </c>
      <c r="L8" s="2343" t="s">
        <v>31</v>
      </c>
      <c r="M8" s="2343" t="s">
        <v>32</v>
      </c>
      <c r="N8" s="2343" t="s">
        <v>33</v>
      </c>
      <c r="O8" s="2347" t="s">
        <v>34</v>
      </c>
      <c r="P8" s="2348"/>
      <c r="Q8" s="2343" t="s">
        <v>35</v>
      </c>
      <c r="R8" s="2634" t="s">
        <v>36</v>
      </c>
      <c r="S8" s="2343" t="s">
        <v>37</v>
      </c>
      <c r="T8" s="2343" t="s">
        <v>38</v>
      </c>
      <c r="U8" s="2634" t="s">
        <v>39</v>
      </c>
      <c r="V8" s="2634" t="s">
        <v>40</v>
      </c>
      <c r="W8" s="2634" t="s">
        <v>41</v>
      </c>
      <c r="X8" s="2344" t="s">
        <v>42</v>
      </c>
      <c r="Y8" s="2344"/>
      <c r="Z8" s="2344"/>
      <c r="AA8" s="2343" t="s">
        <v>43</v>
      </c>
      <c r="AB8" s="2343" t="s">
        <v>44</v>
      </c>
      <c r="AC8" s="2634" t="s">
        <v>26</v>
      </c>
      <c r="AD8" s="2358" t="s">
        <v>45</v>
      </c>
      <c r="AE8" s="2359"/>
      <c r="AF8" s="2341" t="s">
        <v>46</v>
      </c>
      <c r="AG8" s="2342"/>
      <c r="AH8" s="2341" t="s">
        <v>47</v>
      </c>
      <c r="AI8" s="2342"/>
      <c r="AJ8" s="2341" t="s">
        <v>48</v>
      </c>
      <c r="AK8" s="2342"/>
      <c r="AL8" s="2341" t="s">
        <v>134</v>
      </c>
      <c r="AM8" s="2342"/>
      <c r="AN8" s="2341" t="s">
        <v>50</v>
      </c>
      <c r="AO8" s="2342"/>
      <c r="AP8" s="2340" t="s">
        <v>51</v>
      </c>
      <c r="AQ8" s="2340"/>
      <c r="AR8" s="2340" t="s">
        <v>52</v>
      </c>
      <c r="AS8" s="2340"/>
      <c r="AT8" s="2340" t="s">
        <v>53</v>
      </c>
      <c r="AU8" s="2340"/>
      <c r="AV8" s="2340" t="s">
        <v>54</v>
      </c>
      <c r="AW8" s="2340"/>
      <c r="AX8" s="2340" t="s">
        <v>55</v>
      </c>
      <c r="AY8" s="2340"/>
      <c r="AZ8" s="2340" t="s">
        <v>56</v>
      </c>
      <c r="BA8" s="2340"/>
      <c r="BB8" s="2340" t="s">
        <v>57</v>
      </c>
      <c r="BC8" s="2340"/>
      <c r="BD8" s="2340" t="s">
        <v>58</v>
      </c>
      <c r="BE8" s="2340"/>
      <c r="BF8" s="2340" t="s">
        <v>59</v>
      </c>
      <c r="BG8" s="2340"/>
      <c r="BH8" s="2853"/>
      <c r="BI8" s="2537"/>
      <c r="BJ8" s="2827" t="s">
        <v>60</v>
      </c>
      <c r="BK8" s="2331" t="s">
        <v>61</v>
      </c>
      <c r="BL8" s="2332" t="s">
        <v>62</v>
      </c>
      <c r="BM8" s="2849" t="s">
        <v>63</v>
      </c>
      <c r="BN8" s="450" t="s">
        <v>64</v>
      </c>
      <c r="BO8" s="451"/>
      <c r="BP8" s="2850" t="s">
        <v>65</v>
      </c>
      <c r="BQ8" s="2853"/>
      <c r="BR8" s="2537"/>
      <c r="BS8" s="2853"/>
      <c r="BT8" s="2537"/>
      <c r="BU8" s="2856"/>
      <c r="BV8" s="2"/>
      <c r="BW8" s="2"/>
      <c r="BX8" s="2"/>
      <c r="BY8" s="2"/>
      <c r="BZ8" s="2"/>
      <c r="CA8" s="2"/>
      <c r="CB8" s="2"/>
      <c r="CC8" s="2"/>
      <c r="CD8" s="2"/>
      <c r="CE8" s="2"/>
      <c r="CF8" s="2"/>
      <c r="CG8" s="2"/>
      <c r="CH8" s="2"/>
      <c r="CI8" s="2"/>
      <c r="CJ8" s="2"/>
      <c r="CK8" s="2"/>
      <c r="CL8" s="2"/>
      <c r="CM8" s="2"/>
      <c r="CN8" s="2"/>
      <c r="CO8" s="2"/>
    </row>
    <row r="9" spans="1:93" ht="35.25" customHeight="1" x14ac:dyDescent="0.25">
      <c r="A9" s="2343"/>
      <c r="B9" s="2343"/>
      <c r="C9" s="2343"/>
      <c r="D9" s="2343"/>
      <c r="E9" s="2343"/>
      <c r="F9" s="2343"/>
      <c r="G9" s="2343"/>
      <c r="H9" s="2343"/>
      <c r="I9" s="2343"/>
      <c r="J9" s="2343"/>
      <c r="K9" s="2343"/>
      <c r="L9" s="2343"/>
      <c r="M9" s="2343"/>
      <c r="N9" s="2343"/>
      <c r="O9" s="13" t="s">
        <v>66</v>
      </c>
      <c r="P9" s="13" t="s">
        <v>67</v>
      </c>
      <c r="Q9" s="2343"/>
      <c r="R9" s="2634"/>
      <c r="S9" s="2343"/>
      <c r="T9" s="2343"/>
      <c r="U9" s="2634"/>
      <c r="V9" s="2634"/>
      <c r="W9" s="2634"/>
      <c r="X9" s="296" t="s">
        <v>68</v>
      </c>
      <c r="Y9" s="296" t="s">
        <v>69</v>
      </c>
      <c r="Z9" s="296" t="s">
        <v>70</v>
      </c>
      <c r="AA9" s="2343"/>
      <c r="AB9" s="2343"/>
      <c r="AC9" s="2634"/>
      <c r="AD9" s="13" t="s">
        <v>66</v>
      </c>
      <c r="AE9" s="13" t="s">
        <v>67</v>
      </c>
      <c r="AF9" s="13" t="s">
        <v>66</v>
      </c>
      <c r="AG9" s="13" t="s">
        <v>67</v>
      </c>
      <c r="AH9" s="13" t="s">
        <v>66</v>
      </c>
      <c r="AI9" s="13" t="s">
        <v>67</v>
      </c>
      <c r="AJ9" s="13" t="s">
        <v>66</v>
      </c>
      <c r="AK9" s="13" t="s">
        <v>67</v>
      </c>
      <c r="AL9" s="13" t="s">
        <v>66</v>
      </c>
      <c r="AM9" s="13" t="s">
        <v>67</v>
      </c>
      <c r="AN9" s="13" t="s">
        <v>66</v>
      </c>
      <c r="AO9" s="13" t="s">
        <v>67</v>
      </c>
      <c r="AP9" s="13" t="s">
        <v>66</v>
      </c>
      <c r="AQ9" s="13" t="s">
        <v>67</v>
      </c>
      <c r="AR9" s="13" t="s">
        <v>66</v>
      </c>
      <c r="AS9" s="13" t="s">
        <v>67</v>
      </c>
      <c r="AT9" s="13" t="s">
        <v>66</v>
      </c>
      <c r="AU9" s="13" t="s">
        <v>67</v>
      </c>
      <c r="AV9" s="13" t="s">
        <v>66</v>
      </c>
      <c r="AW9" s="13" t="s">
        <v>67</v>
      </c>
      <c r="AX9" s="13" t="s">
        <v>66</v>
      </c>
      <c r="AY9" s="13" t="s">
        <v>67</v>
      </c>
      <c r="AZ9" s="13" t="s">
        <v>66</v>
      </c>
      <c r="BA9" s="13" t="s">
        <v>67</v>
      </c>
      <c r="BB9" s="13" t="s">
        <v>66</v>
      </c>
      <c r="BC9" s="13" t="s">
        <v>67</v>
      </c>
      <c r="BD9" s="13" t="s">
        <v>66</v>
      </c>
      <c r="BE9" s="13" t="s">
        <v>67</v>
      </c>
      <c r="BF9" s="13" t="s">
        <v>66</v>
      </c>
      <c r="BG9" s="13" t="s">
        <v>67</v>
      </c>
      <c r="BH9" s="13" t="s">
        <v>66</v>
      </c>
      <c r="BI9" s="13" t="s">
        <v>67</v>
      </c>
      <c r="BJ9" s="2827"/>
      <c r="BK9" s="2331"/>
      <c r="BL9" s="2332"/>
      <c r="BM9" s="2849"/>
      <c r="BN9" s="450" t="s">
        <v>25</v>
      </c>
      <c r="BO9" s="452" t="s">
        <v>26</v>
      </c>
      <c r="BP9" s="2851"/>
      <c r="BQ9" s="17" t="s">
        <v>66</v>
      </c>
      <c r="BR9" s="17" t="s">
        <v>67</v>
      </c>
      <c r="BS9" s="17" t="s">
        <v>66</v>
      </c>
      <c r="BT9" s="17" t="s">
        <v>67</v>
      </c>
      <c r="BU9" s="2857"/>
      <c r="BV9" s="2"/>
      <c r="BW9" s="2"/>
      <c r="BX9" s="2"/>
      <c r="BY9" s="2"/>
      <c r="BZ9" s="2"/>
      <c r="CA9" s="2"/>
      <c r="CB9" s="2"/>
      <c r="CC9" s="2"/>
      <c r="CD9" s="2"/>
      <c r="CE9" s="2"/>
      <c r="CF9" s="2"/>
      <c r="CG9" s="2"/>
      <c r="CH9" s="2"/>
      <c r="CI9" s="2"/>
      <c r="CJ9" s="2"/>
      <c r="CK9" s="2"/>
      <c r="CL9" s="2"/>
      <c r="CM9" s="2"/>
      <c r="CN9" s="2"/>
      <c r="CO9" s="2"/>
    </row>
    <row r="10" spans="1:93" s="28" customFormat="1" ht="27" customHeight="1" x14ac:dyDescent="0.25">
      <c r="A10" s="453">
        <v>1</v>
      </c>
      <c r="B10" s="2675" t="s">
        <v>408</v>
      </c>
      <c r="C10" s="2675"/>
      <c r="D10" s="2675"/>
      <c r="E10" s="2675"/>
      <c r="F10" s="2675"/>
      <c r="G10" s="2675"/>
      <c r="H10" s="2675"/>
      <c r="I10" s="2675"/>
      <c r="J10" s="298"/>
      <c r="K10" s="299"/>
      <c r="L10" s="298"/>
      <c r="M10" s="299"/>
      <c r="N10" s="298"/>
      <c r="O10" s="299"/>
      <c r="P10" s="299"/>
      <c r="Q10" s="299"/>
      <c r="R10" s="298"/>
      <c r="S10" s="302"/>
      <c r="T10" s="304"/>
      <c r="U10" s="298"/>
      <c r="V10" s="298"/>
      <c r="W10" s="298"/>
      <c r="X10" s="304"/>
      <c r="Y10" s="304"/>
      <c r="Z10" s="304"/>
      <c r="AA10" s="299"/>
      <c r="AB10" s="454"/>
      <c r="AC10" s="298"/>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455"/>
      <c r="BN10" s="299"/>
      <c r="BO10" s="298"/>
      <c r="BP10" s="298"/>
      <c r="BQ10" s="306"/>
      <c r="BR10" s="306"/>
      <c r="BS10" s="306"/>
      <c r="BT10" s="306"/>
      <c r="BU10" s="298"/>
      <c r="BV10" s="2"/>
      <c r="BW10" s="2"/>
      <c r="BX10" s="2"/>
      <c r="BY10" s="2"/>
      <c r="BZ10" s="2"/>
      <c r="CA10" s="2"/>
      <c r="CB10" s="2"/>
      <c r="CC10" s="2"/>
      <c r="CD10" s="2"/>
      <c r="CE10" s="2"/>
      <c r="CF10" s="2"/>
      <c r="CG10" s="2"/>
      <c r="CH10" s="2"/>
      <c r="CI10" s="2"/>
      <c r="CJ10" s="2"/>
      <c r="CK10" s="2"/>
      <c r="CL10" s="2"/>
      <c r="CM10" s="2"/>
      <c r="CN10" s="2"/>
      <c r="CO10" s="2"/>
    </row>
    <row r="11" spans="1:93" s="69" customFormat="1" ht="27" customHeight="1" x14ac:dyDescent="0.25">
      <c r="A11" s="2832"/>
      <c r="B11" s="2756"/>
      <c r="C11" s="309">
        <v>12</v>
      </c>
      <c r="D11" s="2828" t="s">
        <v>409</v>
      </c>
      <c r="E11" s="2829"/>
      <c r="F11" s="2829"/>
      <c r="G11" s="2829"/>
      <c r="H11" s="2829"/>
      <c r="I11" s="2829"/>
      <c r="J11" s="2829"/>
      <c r="K11" s="2829"/>
      <c r="L11" s="2829"/>
      <c r="M11" s="310"/>
      <c r="N11" s="311"/>
      <c r="O11" s="310"/>
      <c r="P11" s="310"/>
      <c r="Q11" s="310"/>
      <c r="R11" s="311"/>
      <c r="S11" s="456"/>
      <c r="T11" s="457"/>
      <c r="U11" s="311"/>
      <c r="V11" s="311"/>
      <c r="W11" s="311"/>
      <c r="X11" s="457"/>
      <c r="Y11" s="457"/>
      <c r="Z11" s="457"/>
      <c r="AA11" s="310"/>
      <c r="AB11" s="458"/>
      <c r="AC11" s="311"/>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459"/>
      <c r="BN11" s="310"/>
      <c r="BO11" s="311"/>
      <c r="BP11" s="311"/>
      <c r="BQ11" s="460"/>
      <c r="BR11" s="460"/>
      <c r="BS11" s="460"/>
      <c r="BT11" s="460"/>
      <c r="BU11" s="461"/>
      <c r="BV11" s="70"/>
      <c r="BW11" s="70"/>
      <c r="BX11" s="70"/>
      <c r="BY11" s="70"/>
      <c r="BZ11" s="70"/>
      <c r="CA11" s="70"/>
      <c r="CB11" s="70"/>
      <c r="CC11" s="70"/>
      <c r="CD11" s="70"/>
      <c r="CE11" s="70"/>
      <c r="CF11" s="70"/>
      <c r="CG11" s="70"/>
      <c r="CH11" s="70"/>
      <c r="CI11" s="70"/>
      <c r="CJ11" s="70"/>
      <c r="CK11" s="70"/>
      <c r="CL11" s="70"/>
      <c r="CM11" s="70"/>
      <c r="CN11" s="70"/>
      <c r="CO11" s="70"/>
    </row>
    <row r="12" spans="1:93" s="2" customFormat="1" ht="27" customHeight="1" x14ac:dyDescent="0.25">
      <c r="A12" s="2833"/>
      <c r="B12" s="2758"/>
      <c r="C12" s="2834"/>
      <c r="D12" s="2835"/>
      <c r="E12" s="60">
        <v>1202</v>
      </c>
      <c r="F12" s="2830" t="s">
        <v>410</v>
      </c>
      <c r="G12" s="2831"/>
      <c r="H12" s="2831"/>
      <c r="I12" s="2831"/>
      <c r="J12" s="2831"/>
      <c r="K12" s="2831"/>
      <c r="L12" s="2831"/>
      <c r="M12" s="2831"/>
      <c r="N12" s="52"/>
      <c r="O12" s="57"/>
      <c r="P12" s="57"/>
      <c r="Q12" s="57"/>
      <c r="R12" s="52"/>
      <c r="S12" s="55"/>
      <c r="T12" s="56"/>
      <c r="U12" s="52"/>
      <c r="V12" s="52"/>
      <c r="W12" s="52"/>
      <c r="X12" s="56"/>
      <c r="Y12" s="56"/>
      <c r="Z12" s="56"/>
      <c r="AA12" s="57"/>
      <c r="AB12" s="58"/>
      <c r="AC12" s="52"/>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462"/>
      <c r="BN12" s="57"/>
      <c r="BO12" s="52"/>
      <c r="BP12" s="52"/>
      <c r="BQ12" s="59"/>
      <c r="BR12" s="59"/>
      <c r="BS12" s="59"/>
      <c r="BT12" s="59"/>
      <c r="BU12" s="463"/>
    </row>
    <row r="13" spans="1:93" s="2" customFormat="1" ht="100.5" customHeight="1" x14ac:dyDescent="0.25">
      <c r="A13" s="2833"/>
      <c r="B13" s="2758"/>
      <c r="C13" s="2836"/>
      <c r="D13" s="2837"/>
      <c r="E13" s="2840"/>
      <c r="F13" s="2841"/>
      <c r="G13" s="2798" t="s">
        <v>74</v>
      </c>
      <c r="H13" s="2681" t="s">
        <v>411</v>
      </c>
      <c r="I13" s="2798">
        <v>1202019</v>
      </c>
      <c r="J13" s="2681" t="s">
        <v>412</v>
      </c>
      <c r="K13" s="2682" t="s">
        <v>74</v>
      </c>
      <c r="L13" s="2681" t="s">
        <v>413</v>
      </c>
      <c r="M13" s="2682">
        <v>120201900</v>
      </c>
      <c r="N13" s="2681" t="s">
        <v>414</v>
      </c>
      <c r="O13" s="2254">
        <v>3</v>
      </c>
      <c r="P13" s="2392">
        <v>0</v>
      </c>
      <c r="Q13" s="2254" t="s">
        <v>415</v>
      </c>
      <c r="R13" s="2679" t="s">
        <v>416</v>
      </c>
      <c r="S13" s="2255">
        <f>SUM(X13:X15)/T13</f>
        <v>1</v>
      </c>
      <c r="T13" s="2811">
        <f>SUM(X13:X15)</f>
        <v>24750000</v>
      </c>
      <c r="U13" s="2679" t="s">
        <v>417</v>
      </c>
      <c r="V13" s="2795" t="s">
        <v>418</v>
      </c>
      <c r="W13" s="208" t="s">
        <v>419</v>
      </c>
      <c r="X13" s="467">
        <v>20750000</v>
      </c>
      <c r="Y13" s="467">
        <v>0</v>
      </c>
      <c r="Z13" s="467">
        <v>0</v>
      </c>
      <c r="AA13" s="468" t="s">
        <v>420</v>
      </c>
      <c r="AB13" s="2728">
        <v>20</v>
      </c>
      <c r="AC13" s="2701" t="s">
        <v>187</v>
      </c>
      <c r="AD13" s="2810">
        <f>'[1]formato población'!C9</f>
        <v>295972</v>
      </c>
      <c r="AE13" s="2800"/>
      <c r="AF13" s="2800">
        <f>'[1]formato población'!D9</f>
        <v>285580</v>
      </c>
      <c r="AG13" s="2800"/>
      <c r="AH13" s="2800">
        <f>'[1]formato población'!E9</f>
        <v>135545</v>
      </c>
      <c r="AI13" s="2800"/>
      <c r="AJ13" s="2800">
        <f>'[1]formato población'!F9</f>
        <v>44254</v>
      </c>
      <c r="AK13" s="2800"/>
      <c r="AL13" s="2800">
        <f>'[1]formato población'!G9</f>
        <v>309146</v>
      </c>
      <c r="AM13" s="2800"/>
      <c r="AN13" s="2800">
        <f>'[1]formato población'!H9</f>
        <v>92607</v>
      </c>
      <c r="AO13" s="2800"/>
      <c r="AP13" s="2800">
        <f>'[1]formato población'!I9</f>
        <v>2145</v>
      </c>
      <c r="AQ13" s="2800"/>
      <c r="AR13" s="2800">
        <f>'[1]formato población'!J9</f>
        <v>12718</v>
      </c>
      <c r="AS13" s="2800"/>
      <c r="AT13" s="2800">
        <f>'[1]formato población'!K9</f>
        <v>26</v>
      </c>
      <c r="AU13" s="2800"/>
      <c r="AV13" s="2800">
        <f>'[1]formato población'!L9</f>
        <v>37</v>
      </c>
      <c r="AW13" s="2800"/>
      <c r="AX13" s="2800">
        <f>'[1]formato población'!M9</f>
        <v>0</v>
      </c>
      <c r="AY13" s="2800"/>
      <c r="AZ13" s="2800">
        <f>'[1]formato población'!N9</f>
        <v>0</v>
      </c>
      <c r="BA13" s="2800"/>
      <c r="BB13" s="2800">
        <f>'[1]formato población'!O9</f>
        <v>44350</v>
      </c>
      <c r="BC13" s="2800"/>
      <c r="BD13" s="2800">
        <f>'[1]formato población'!P9</f>
        <v>21944</v>
      </c>
      <c r="BE13" s="2800"/>
      <c r="BF13" s="2800">
        <f>'[1]formato población'!Q9</f>
        <v>75687</v>
      </c>
      <c r="BG13" s="2800"/>
      <c r="BH13" s="2800">
        <f>'[1]formato población'!R9</f>
        <v>581552</v>
      </c>
      <c r="BI13" s="2800"/>
      <c r="BJ13" s="2803">
        <v>4</v>
      </c>
      <c r="BK13" s="2806">
        <f>SUM(Y13:Y15)</f>
        <v>3932000</v>
      </c>
      <c r="BL13" s="2806">
        <f>SUM(Z13:Z15)</f>
        <v>2632000</v>
      </c>
      <c r="BM13" s="2453">
        <f>+BL13/BK13</f>
        <v>0.66937945066124105</v>
      </c>
      <c r="BN13" s="2417">
        <v>20</v>
      </c>
      <c r="BO13" s="2799" t="s">
        <v>421</v>
      </c>
      <c r="BP13" s="2718" t="s">
        <v>422</v>
      </c>
      <c r="BQ13" s="2641">
        <v>44197</v>
      </c>
      <c r="BR13" s="2642">
        <v>44235</v>
      </c>
      <c r="BS13" s="2641">
        <v>44561</v>
      </c>
      <c r="BT13" s="2642">
        <v>44461</v>
      </c>
      <c r="BU13" s="2795" t="s">
        <v>423</v>
      </c>
    </row>
    <row r="14" spans="1:93" s="2" customFormat="1" ht="95.25" customHeight="1" x14ac:dyDescent="0.25">
      <c r="A14" s="2833"/>
      <c r="B14" s="2758"/>
      <c r="C14" s="2836"/>
      <c r="D14" s="2837"/>
      <c r="E14" s="2842"/>
      <c r="F14" s="2843"/>
      <c r="G14" s="2798"/>
      <c r="H14" s="2681"/>
      <c r="I14" s="2798"/>
      <c r="J14" s="2681"/>
      <c r="K14" s="2682"/>
      <c r="L14" s="2681"/>
      <c r="M14" s="2682"/>
      <c r="N14" s="2681"/>
      <c r="O14" s="2254"/>
      <c r="P14" s="2387"/>
      <c r="Q14" s="2254"/>
      <c r="R14" s="2679"/>
      <c r="S14" s="2255"/>
      <c r="T14" s="2811"/>
      <c r="U14" s="2679"/>
      <c r="V14" s="2795"/>
      <c r="W14" s="469" t="s">
        <v>424</v>
      </c>
      <c r="X14" s="470">
        <v>3000000</v>
      </c>
      <c r="Y14" s="470">
        <v>2932000</v>
      </c>
      <c r="Z14" s="470">
        <v>2632000</v>
      </c>
      <c r="AA14" s="468" t="s">
        <v>420</v>
      </c>
      <c r="AB14" s="2728"/>
      <c r="AC14" s="2703"/>
      <c r="AD14" s="2810"/>
      <c r="AE14" s="2801"/>
      <c r="AF14" s="2801"/>
      <c r="AG14" s="2801"/>
      <c r="AH14" s="2801"/>
      <c r="AI14" s="2801"/>
      <c r="AJ14" s="2801"/>
      <c r="AK14" s="2801"/>
      <c r="AL14" s="2801"/>
      <c r="AM14" s="2801"/>
      <c r="AN14" s="2801"/>
      <c r="AO14" s="2801"/>
      <c r="AP14" s="2801"/>
      <c r="AQ14" s="2801"/>
      <c r="AR14" s="2801"/>
      <c r="AS14" s="2801"/>
      <c r="AT14" s="2801"/>
      <c r="AU14" s="2801"/>
      <c r="AV14" s="2801"/>
      <c r="AW14" s="2801"/>
      <c r="AX14" s="2801"/>
      <c r="AY14" s="2801"/>
      <c r="AZ14" s="2801"/>
      <c r="BA14" s="2801"/>
      <c r="BB14" s="2801"/>
      <c r="BC14" s="2801"/>
      <c r="BD14" s="2801"/>
      <c r="BE14" s="2801"/>
      <c r="BF14" s="2801"/>
      <c r="BG14" s="2801"/>
      <c r="BH14" s="2801"/>
      <c r="BI14" s="2801"/>
      <c r="BJ14" s="2804"/>
      <c r="BK14" s="2807"/>
      <c r="BL14" s="2807"/>
      <c r="BM14" s="2454"/>
      <c r="BN14" s="2417"/>
      <c r="BO14" s="2799"/>
      <c r="BP14" s="2783"/>
      <c r="BQ14" s="2641"/>
      <c r="BR14" s="2642"/>
      <c r="BS14" s="2641"/>
      <c r="BT14" s="2642"/>
      <c r="BU14" s="2795"/>
    </row>
    <row r="15" spans="1:93" s="2" customFormat="1" ht="59.25" customHeight="1" x14ac:dyDescent="0.25">
      <c r="A15" s="2833"/>
      <c r="B15" s="2758"/>
      <c r="C15" s="2838"/>
      <c r="D15" s="2839"/>
      <c r="E15" s="2844"/>
      <c r="F15" s="2845"/>
      <c r="G15" s="2798"/>
      <c r="H15" s="2681"/>
      <c r="I15" s="2798"/>
      <c r="J15" s="2681"/>
      <c r="K15" s="2682"/>
      <c r="L15" s="2681"/>
      <c r="M15" s="2682"/>
      <c r="N15" s="2681"/>
      <c r="O15" s="2254"/>
      <c r="P15" s="2388"/>
      <c r="Q15" s="2254"/>
      <c r="R15" s="2679"/>
      <c r="S15" s="2255"/>
      <c r="T15" s="2811"/>
      <c r="U15" s="2679"/>
      <c r="V15" s="2795"/>
      <c r="W15" s="469" t="s">
        <v>425</v>
      </c>
      <c r="X15" s="470">
        <v>1000000</v>
      </c>
      <c r="Y15" s="470">
        <v>1000000</v>
      </c>
      <c r="Z15" s="470">
        <v>0</v>
      </c>
      <c r="AA15" s="468" t="s">
        <v>426</v>
      </c>
      <c r="AB15" s="471">
        <v>88</v>
      </c>
      <c r="AC15" s="208" t="s">
        <v>177</v>
      </c>
      <c r="AD15" s="2810"/>
      <c r="AE15" s="2802"/>
      <c r="AF15" s="2802"/>
      <c r="AG15" s="2802"/>
      <c r="AH15" s="2802"/>
      <c r="AI15" s="2802"/>
      <c r="AJ15" s="2802"/>
      <c r="AK15" s="2802"/>
      <c r="AL15" s="2802"/>
      <c r="AM15" s="2802"/>
      <c r="AN15" s="2802"/>
      <c r="AO15" s="2802"/>
      <c r="AP15" s="2802"/>
      <c r="AQ15" s="2802"/>
      <c r="AR15" s="2802"/>
      <c r="AS15" s="2802"/>
      <c r="AT15" s="2802"/>
      <c r="AU15" s="2802"/>
      <c r="AV15" s="2802"/>
      <c r="AW15" s="2802"/>
      <c r="AX15" s="2802"/>
      <c r="AY15" s="2802"/>
      <c r="AZ15" s="2802"/>
      <c r="BA15" s="2802"/>
      <c r="BB15" s="2802"/>
      <c r="BC15" s="2802"/>
      <c r="BD15" s="2802"/>
      <c r="BE15" s="2802"/>
      <c r="BF15" s="2802"/>
      <c r="BG15" s="2802"/>
      <c r="BH15" s="2802"/>
      <c r="BI15" s="2802"/>
      <c r="BJ15" s="2805"/>
      <c r="BK15" s="2808"/>
      <c r="BL15" s="2808"/>
      <c r="BM15" s="2455"/>
      <c r="BN15" s="472">
        <v>88</v>
      </c>
      <c r="BO15" s="473" t="str">
        <f>AC15</f>
        <v>Superavit Recurso Ordinario</v>
      </c>
      <c r="BP15" s="2719"/>
      <c r="BQ15" s="2641"/>
      <c r="BR15" s="2642"/>
      <c r="BS15" s="2641"/>
      <c r="BT15" s="2642"/>
      <c r="BU15" s="2795"/>
    </row>
    <row r="16" spans="1:93" s="2" customFormat="1" ht="27.75" customHeight="1" x14ac:dyDescent="0.25">
      <c r="A16" s="2833"/>
      <c r="B16" s="2758"/>
      <c r="C16" s="474">
        <v>19</v>
      </c>
      <c r="D16" s="2656" t="s">
        <v>427</v>
      </c>
      <c r="E16" s="2656"/>
      <c r="F16" s="2656"/>
      <c r="G16" s="2656"/>
      <c r="H16" s="2656"/>
      <c r="I16" s="2656"/>
      <c r="J16" s="2656"/>
      <c r="K16" s="2656"/>
      <c r="L16" s="2656"/>
      <c r="M16" s="475"/>
      <c r="N16" s="476"/>
      <c r="O16" s="477"/>
      <c r="P16" s="477"/>
      <c r="Q16" s="477"/>
      <c r="R16" s="478"/>
      <c r="S16" s="479"/>
      <c r="T16" s="480"/>
      <c r="U16" s="478"/>
      <c r="V16" s="481"/>
      <c r="W16" s="482"/>
      <c r="X16" s="483"/>
      <c r="Y16" s="483"/>
      <c r="Z16" s="483"/>
      <c r="AA16" s="484"/>
      <c r="AB16" s="485"/>
      <c r="AC16" s="478"/>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3"/>
      <c r="BL16" s="483"/>
      <c r="BM16" s="487"/>
      <c r="BN16" s="486"/>
      <c r="BO16" s="488"/>
      <c r="BP16" s="488"/>
      <c r="BQ16" s="489"/>
      <c r="BR16" s="489"/>
      <c r="BS16" s="489"/>
      <c r="BT16" s="489"/>
      <c r="BU16" s="481"/>
    </row>
    <row r="17" spans="1:73" s="2" customFormat="1" ht="15.75" x14ac:dyDescent="0.25">
      <c r="A17" s="2833"/>
      <c r="B17" s="2758"/>
      <c r="C17" s="2834"/>
      <c r="D17" s="2835"/>
      <c r="E17" s="188">
        <v>1906</v>
      </c>
      <c r="F17" s="2657" t="s">
        <v>428</v>
      </c>
      <c r="G17" s="2657"/>
      <c r="H17" s="2657"/>
      <c r="I17" s="2657"/>
      <c r="J17" s="2657"/>
      <c r="K17" s="2657"/>
      <c r="L17" s="2657"/>
      <c r="M17" s="2657"/>
      <c r="N17" s="323"/>
      <c r="O17" s="188"/>
      <c r="P17" s="188"/>
      <c r="Q17" s="188"/>
      <c r="R17" s="323"/>
      <c r="S17" s="186"/>
      <c r="T17" s="322"/>
      <c r="U17" s="323"/>
      <c r="V17" s="323"/>
      <c r="W17" s="323"/>
      <c r="X17" s="490"/>
      <c r="Y17" s="490"/>
      <c r="Z17" s="490"/>
      <c r="AA17" s="57"/>
      <c r="AB17" s="192"/>
      <c r="AC17" s="323"/>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491"/>
      <c r="BL17" s="491"/>
      <c r="BM17" s="492"/>
      <c r="BN17" s="188"/>
      <c r="BO17" s="323"/>
      <c r="BP17" s="323"/>
      <c r="BQ17" s="188"/>
      <c r="BR17" s="188"/>
      <c r="BS17" s="188"/>
      <c r="BT17" s="188"/>
      <c r="BU17" s="323"/>
    </row>
    <row r="18" spans="1:73" ht="120" x14ac:dyDescent="0.25">
      <c r="A18" s="2833"/>
      <c r="B18" s="2758"/>
      <c r="C18" s="2836"/>
      <c r="D18" s="2837"/>
      <c r="E18" s="2846"/>
      <c r="F18" s="2691"/>
      <c r="G18" s="2798" t="s">
        <v>74</v>
      </c>
      <c r="H18" s="2681" t="s">
        <v>429</v>
      </c>
      <c r="I18" s="2798">
        <v>1906015</v>
      </c>
      <c r="J18" s="2809" t="s">
        <v>430</v>
      </c>
      <c r="K18" s="2798" t="s">
        <v>74</v>
      </c>
      <c r="L18" s="2794" t="s">
        <v>431</v>
      </c>
      <c r="M18" s="2812">
        <v>190601500</v>
      </c>
      <c r="N18" s="2794" t="s">
        <v>430</v>
      </c>
      <c r="O18" s="2254">
        <v>1</v>
      </c>
      <c r="P18" s="2392">
        <v>0</v>
      </c>
      <c r="Q18" s="2254" t="s">
        <v>432</v>
      </c>
      <c r="R18" s="2679" t="s">
        <v>433</v>
      </c>
      <c r="S18" s="2419">
        <f>SUM(X18:X21)/T18</f>
        <v>1</v>
      </c>
      <c r="T18" s="2722">
        <f>SUM(X18:X21)</f>
        <v>96746979</v>
      </c>
      <c r="U18" s="2679" t="s">
        <v>434</v>
      </c>
      <c r="V18" s="2679" t="s">
        <v>435</v>
      </c>
      <c r="W18" s="469" t="s">
        <v>436</v>
      </c>
      <c r="X18" s="82">
        <v>2000000</v>
      </c>
      <c r="Y18" s="82">
        <v>400000</v>
      </c>
      <c r="Z18" s="82">
        <v>400000</v>
      </c>
      <c r="AA18" s="468" t="s">
        <v>437</v>
      </c>
      <c r="AB18" s="2258" t="s">
        <v>438</v>
      </c>
      <c r="AC18" s="2679" t="s">
        <v>439</v>
      </c>
      <c r="AD18" s="2296">
        <v>295972</v>
      </c>
      <c r="AE18" s="2296"/>
      <c r="AF18" s="2296">
        <v>285580</v>
      </c>
      <c r="AG18" s="2296"/>
      <c r="AH18" s="2296">
        <v>135545</v>
      </c>
      <c r="AI18" s="2296"/>
      <c r="AJ18" s="2296">
        <v>44254</v>
      </c>
      <c r="AK18" s="2296"/>
      <c r="AL18" s="2296">
        <v>309146</v>
      </c>
      <c r="AM18" s="2296"/>
      <c r="AN18" s="2296">
        <v>92607</v>
      </c>
      <c r="AO18" s="2296"/>
      <c r="AP18" s="2296">
        <v>2145</v>
      </c>
      <c r="AQ18" s="2296"/>
      <c r="AR18" s="2296">
        <v>12718</v>
      </c>
      <c r="AS18" s="2296"/>
      <c r="AT18" s="2296">
        <v>26</v>
      </c>
      <c r="AU18" s="2296"/>
      <c r="AV18" s="2296">
        <v>37</v>
      </c>
      <c r="AW18" s="2296"/>
      <c r="AX18" s="2296">
        <v>0</v>
      </c>
      <c r="AY18" s="2296"/>
      <c r="AZ18" s="2296">
        <v>0</v>
      </c>
      <c r="BA18" s="2296"/>
      <c r="BB18" s="2296">
        <v>44350</v>
      </c>
      <c r="BC18" s="2296"/>
      <c r="BD18" s="2296">
        <v>21944</v>
      </c>
      <c r="BE18" s="2296"/>
      <c r="BF18" s="2296">
        <v>75687</v>
      </c>
      <c r="BG18" s="2296"/>
      <c r="BH18" s="2296">
        <v>581552</v>
      </c>
      <c r="BI18" s="2296"/>
      <c r="BJ18" s="2254">
        <v>5</v>
      </c>
      <c r="BK18" s="2676">
        <f>SUM(Y18:Y21)</f>
        <v>2100000</v>
      </c>
      <c r="BL18" s="2676">
        <f>SUM(Z18:Z21)</f>
        <v>1600000</v>
      </c>
      <c r="BM18" s="2678">
        <f>+BL18/BK18</f>
        <v>0.76190476190476186</v>
      </c>
      <c r="BN18" s="2296" t="s">
        <v>438</v>
      </c>
      <c r="BO18" s="2285" t="s">
        <v>439</v>
      </c>
      <c r="BP18" s="2718" t="s">
        <v>422</v>
      </c>
      <c r="BQ18" s="2641">
        <v>44197</v>
      </c>
      <c r="BR18" s="2642">
        <v>44235</v>
      </c>
      <c r="BS18" s="2641">
        <v>44561</v>
      </c>
      <c r="BT18" s="2642">
        <v>44467</v>
      </c>
      <c r="BU18" s="2795" t="s">
        <v>423</v>
      </c>
    </row>
    <row r="19" spans="1:73" ht="27" customHeight="1" x14ac:dyDescent="0.25">
      <c r="A19" s="2833"/>
      <c r="B19" s="2758"/>
      <c r="C19" s="2836"/>
      <c r="D19" s="2837"/>
      <c r="E19" s="2847"/>
      <c r="F19" s="2716"/>
      <c r="G19" s="2798"/>
      <c r="H19" s="2681"/>
      <c r="I19" s="2798"/>
      <c r="J19" s="2809"/>
      <c r="K19" s="2798"/>
      <c r="L19" s="2794"/>
      <c r="M19" s="2812"/>
      <c r="N19" s="2794"/>
      <c r="O19" s="2254"/>
      <c r="P19" s="2387"/>
      <c r="Q19" s="2254"/>
      <c r="R19" s="2679"/>
      <c r="S19" s="2419"/>
      <c r="T19" s="2722"/>
      <c r="U19" s="2679"/>
      <c r="V19" s="2679"/>
      <c r="W19" s="2796" t="s">
        <v>440</v>
      </c>
      <c r="X19" s="82">
        <v>29000000</v>
      </c>
      <c r="Y19" s="82">
        <v>0</v>
      </c>
      <c r="Z19" s="82">
        <v>0</v>
      </c>
      <c r="AA19" s="468" t="s">
        <v>437</v>
      </c>
      <c r="AB19" s="2258"/>
      <c r="AC19" s="2679"/>
      <c r="AD19" s="2296"/>
      <c r="AE19" s="2296"/>
      <c r="AF19" s="2296"/>
      <c r="AG19" s="2296"/>
      <c r="AH19" s="2296"/>
      <c r="AI19" s="2296"/>
      <c r="AJ19" s="2296"/>
      <c r="AK19" s="2296"/>
      <c r="AL19" s="2296"/>
      <c r="AM19" s="2296"/>
      <c r="AN19" s="2296"/>
      <c r="AO19" s="2296"/>
      <c r="AP19" s="2296"/>
      <c r="AQ19" s="2296"/>
      <c r="AR19" s="2296"/>
      <c r="AS19" s="2296"/>
      <c r="AT19" s="2296"/>
      <c r="AU19" s="2296"/>
      <c r="AV19" s="2296"/>
      <c r="AW19" s="2296"/>
      <c r="AX19" s="2296"/>
      <c r="AY19" s="2296"/>
      <c r="AZ19" s="2296"/>
      <c r="BA19" s="2296"/>
      <c r="BB19" s="2296"/>
      <c r="BC19" s="2296"/>
      <c r="BD19" s="2296"/>
      <c r="BE19" s="2296"/>
      <c r="BF19" s="2296"/>
      <c r="BG19" s="2296"/>
      <c r="BH19" s="2296"/>
      <c r="BI19" s="2296"/>
      <c r="BJ19" s="2254"/>
      <c r="BK19" s="2676"/>
      <c r="BL19" s="2676"/>
      <c r="BM19" s="2678"/>
      <c r="BN19" s="2296"/>
      <c r="BO19" s="2285"/>
      <c r="BP19" s="2783"/>
      <c r="BQ19" s="2641"/>
      <c r="BR19" s="2642"/>
      <c r="BS19" s="2641"/>
      <c r="BT19" s="2642"/>
      <c r="BU19" s="2795"/>
    </row>
    <row r="20" spans="1:73" ht="39.75" customHeight="1" x14ac:dyDescent="0.25">
      <c r="A20" s="2833"/>
      <c r="B20" s="2758"/>
      <c r="C20" s="2836"/>
      <c r="D20" s="2837"/>
      <c r="E20" s="2847"/>
      <c r="F20" s="2716"/>
      <c r="G20" s="2798"/>
      <c r="H20" s="2681"/>
      <c r="I20" s="2798"/>
      <c r="J20" s="2809"/>
      <c r="K20" s="2798"/>
      <c r="L20" s="2794"/>
      <c r="M20" s="2812"/>
      <c r="N20" s="2794"/>
      <c r="O20" s="2254"/>
      <c r="P20" s="2387"/>
      <c r="Q20" s="2254"/>
      <c r="R20" s="2679"/>
      <c r="S20" s="2419"/>
      <c r="T20" s="2722"/>
      <c r="U20" s="2679"/>
      <c r="V20" s="2679"/>
      <c r="W20" s="2797"/>
      <c r="X20" s="82">
        <v>58746979</v>
      </c>
      <c r="Y20" s="82">
        <v>0</v>
      </c>
      <c r="Z20" s="82">
        <v>0</v>
      </c>
      <c r="AA20" s="468" t="s">
        <v>441</v>
      </c>
      <c r="AB20" s="2258"/>
      <c r="AC20" s="2679"/>
      <c r="AD20" s="2296"/>
      <c r="AE20" s="2296"/>
      <c r="AF20" s="2296"/>
      <c r="AG20" s="2296"/>
      <c r="AH20" s="2296"/>
      <c r="AI20" s="2296"/>
      <c r="AJ20" s="2296"/>
      <c r="AK20" s="2296"/>
      <c r="AL20" s="2296"/>
      <c r="AM20" s="2296"/>
      <c r="AN20" s="2296"/>
      <c r="AO20" s="2296"/>
      <c r="AP20" s="2296"/>
      <c r="AQ20" s="2296"/>
      <c r="AR20" s="2296"/>
      <c r="AS20" s="2296"/>
      <c r="AT20" s="2296"/>
      <c r="AU20" s="2296"/>
      <c r="AV20" s="2296"/>
      <c r="AW20" s="2296"/>
      <c r="AX20" s="2296"/>
      <c r="AY20" s="2296"/>
      <c r="AZ20" s="2296"/>
      <c r="BA20" s="2296"/>
      <c r="BB20" s="2296"/>
      <c r="BC20" s="2296"/>
      <c r="BD20" s="2296"/>
      <c r="BE20" s="2296"/>
      <c r="BF20" s="2296"/>
      <c r="BG20" s="2296"/>
      <c r="BH20" s="2296"/>
      <c r="BI20" s="2296"/>
      <c r="BJ20" s="2254"/>
      <c r="BK20" s="2676"/>
      <c r="BL20" s="2676"/>
      <c r="BM20" s="2678"/>
      <c r="BN20" s="2296"/>
      <c r="BO20" s="2285"/>
      <c r="BP20" s="2783"/>
      <c r="BQ20" s="2641"/>
      <c r="BR20" s="2642"/>
      <c r="BS20" s="2641"/>
      <c r="BT20" s="2642"/>
      <c r="BU20" s="2795"/>
    </row>
    <row r="21" spans="1:73" ht="75" x14ac:dyDescent="0.25">
      <c r="A21" s="2833"/>
      <c r="B21" s="2758"/>
      <c r="C21" s="2838"/>
      <c r="D21" s="2839"/>
      <c r="E21" s="2848"/>
      <c r="F21" s="2692"/>
      <c r="G21" s="2798"/>
      <c r="H21" s="2681"/>
      <c r="I21" s="2798"/>
      <c r="J21" s="2809"/>
      <c r="K21" s="2798"/>
      <c r="L21" s="2794"/>
      <c r="M21" s="2812"/>
      <c r="N21" s="2794"/>
      <c r="O21" s="2254"/>
      <c r="P21" s="2388"/>
      <c r="Q21" s="2254"/>
      <c r="R21" s="2679"/>
      <c r="S21" s="2419"/>
      <c r="T21" s="2722"/>
      <c r="U21" s="2679"/>
      <c r="V21" s="2679"/>
      <c r="W21" s="496" t="s">
        <v>424</v>
      </c>
      <c r="X21" s="82">
        <v>7000000</v>
      </c>
      <c r="Y21" s="82">
        <v>1700000</v>
      </c>
      <c r="Z21" s="82">
        <v>1200000</v>
      </c>
      <c r="AA21" s="468" t="s">
        <v>437</v>
      </c>
      <c r="AB21" s="2258"/>
      <c r="AC21" s="2679"/>
      <c r="AD21" s="2296"/>
      <c r="AE21" s="2296"/>
      <c r="AF21" s="2296"/>
      <c r="AG21" s="2296"/>
      <c r="AH21" s="2296"/>
      <c r="AI21" s="2296"/>
      <c r="AJ21" s="2296"/>
      <c r="AK21" s="2296"/>
      <c r="AL21" s="2296"/>
      <c r="AM21" s="2296"/>
      <c r="AN21" s="2296"/>
      <c r="AO21" s="2296"/>
      <c r="AP21" s="2296"/>
      <c r="AQ21" s="2296"/>
      <c r="AR21" s="2296"/>
      <c r="AS21" s="2296"/>
      <c r="AT21" s="2296"/>
      <c r="AU21" s="2296"/>
      <c r="AV21" s="2296"/>
      <c r="AW21" s="2296"/>
      <c r="AX21" s="2296"/>
      <c r="AY21" s="2296"/>
      <c r="AZ21" s="2296"/>
      <c r="BA21" s="2296"/>
      <c r="BB21" s="2296"/>
      <c r="BC21" s="2296"/>
      <c r="BD21" s="2296"/>
      <c r="BE21" s="2296"/>
      <c r="BF21" s="2296"/>
      <c r="BG21" s="2296"/>
      <c r="BH21" s="2296"/>
      <c r="BI21" s="2296"/>
      <c r="BJ21" s="2254"/>
      <c r="BK21" s="2676"/>
      <c r="BL21" s="2676"/>
      <c r="BM21" s="2678"/>
      <c r="BN21" s="2296"/>
      <c r="BO21" s="2285"/>
      <c r="BP21" s="2719"/>
      <c r="BQ21" s="2641"/>
      <c r="BR21" s="2642"/>
      <c r="BS21" s="2641"/>
      <c r="BT21" s="2642"/>
      <c r="BU21" s="2795"/>
    </row>
    <row r="22" spans="1:73" ht="15.75" x14ac:dyDescent="0.25">
      <c r="A22" s="2833"/>
      <c r="B22" s="2758"/>
      <c r="C22" s="474">
        <v>22</v>
      </c>
      <c r="D22" s="2656" t="s">
        <v>442</v>
      </c>
      <c r="E22" s="2656"/>
      <c r="F22" s="2656"/>
      <c r="G22" s="2656"/>
      <c r="H22" s="2656"/>
      <c r="I22" s="2656"/>
      <c r="J22" s="2656"/>
      <c r="K22" s="497"/>
      <c r="L22" s="498"/>
      <c r="M22" s="499"/>
      <c r="N22" s="498"/>
      <c r="O22" s="477"/>
      <c r="P22" s="477"/>
      <c r="Q22" s="477"/>
      <c r="R22" s="478"/>
      <c r="S22" s="487"/>
      <c r="T22" s="500"/>
      <c r="U22" s="478"/>
      <c r="V22" s="478"/>
      <c r="W22" s="482"/>
      <c r="X22" s="483"/>
      <c r="Y22" s="483"/>
      <c r="Z22" s="483"/>
      <c r="AA22" s="484"/>
      <c r="AB22" s="485"/>
      <c r="AC22" s="478"/>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501"/>
      <c r="BL22" s="501"/>
      <c r="BM22" s="479"/>
      <c r="BN22" s="477"/>
      <c r="BO22" s="478"/>
      <c r="BP22" s="478"/>
      <c r="BQ22" s="489"/>
      <c r="BR22" s="489"/>
      <c r="BS22" s="489"/>
      <c r="BT22" s="489"/>
      <c r="BU22" s="502"/>
    </row>
    <row r="23" spans="1:73" s="2" customFormat="1" ht="15.75" x14ac:dyDescent="0.25">
      <c r="A23" s="2833"/>
      <c r="B23" s="2758"/>
      <c r="C23" s="2813"/>
      <c r="D23" s="2814"/>
      <c r="E23" s="188">
        <v>2201</v>
      </c>
      <c r="F23" s="503" t="s">
        <v>443</v>
      </c>
      <c r="G23" s="503"/>
      <c r="H23" s="323"/>
      <c r="I23" s="503"/>
      <c r="J23" s="323"/>
      <c r="K23" s="503"/>
      <c r="L23" s="323"/>
      <c r="M23" s="503"/>
      <c r="N23" s="323"/>
      <c r="O23" s="503"/>
      <c r="P23" s="503"/>
      <c r="Q23" s="188"/>
      <c r="R23" s="323"/>
      <c r="S23" s="186"/>
      <c r="T23" s="322"/>
      <c r="U23" s="323"/>
      <c r="V23" s="323"/>
      <c r="W23" s="323"/>
      <c r="X23" s="490"/>
      <c r="Y23" s="490"/>
      <c r="Z23" s="490"/>
      <c r="AA23" s="57"/>
      <c r="AB23" s="192"/>
      <c r="AC23" s="323"/>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491"/>
      <c r="BL23" s="491"/>
      <c r="BM23" s="492"/>
      <c r="BN23" s="188"/>
      <c r="BO23" s="323"/>
      <c r="BP23" s="323"/>
      <c r="BQ23" s="188"/>
      <c r="BR23" s="188"/>
      <c r="BS23" s="188"/>
      <c r="BT23" s="188"/>
      <c r="BU23" s="323"/>
    </row>
    <row r="24" spans="1:73" ht="49.5" customHeight="1" x14ac:dyDescent="0.25">
      <c r="A24" s="2833"/>
      <c r="B24" s="2758"/>
      <c r="C24" s="2405"/>
      <c r="D24" s="2263"/>
      <c r="E24" s="2813"/>
      <c r="F24" s="2814"/>
      <c r="G24" s="2792" t="s">
        <v>74</v>
      </c>
      <c r="H24" s="2793" t="s">
        <v>444</v>
      </c>
      <c r="I24" s="2792">
        <v>2201062</v>
      </c>
      <c r="J24" s="2793" t="s">
        <v>445</v>
      </c>
      <c r="K24" s="2792" t="s">
        <v>74</v>
      </c>
      <c r="L24" s="2397" t="s">
        <v>446</v>
      </c>
      <c r="M24" s="2792">
        <v>220106200</v>
      </c>
      <c r="N24" s="2397" t="s">
        <v>447</v>
      </c>
      <c r="O24" s="2254">
        <v>15</v>
      </c>
      <c r="P24" s="2392">
        <v>0</v>
      </c>
      <c r="Q24" s="2254" t="s">
        <v>448</v>
      </c>
      <c r="R24" s="2679" t="s">
        <v>449</v>
      </c>
      <c r="S24" s="2419">
        <f>SUM(X24:X40)/T24</f>
        <v>1</v>
      </c>
      <c r="T24" s="2722">
        <f>SUM(X24:X40)</f>
        <v>2083257220</v>
      </c>
      <c r="U24" s="2679" t="s">
        <v>450</v>
      </c>
      <c r="V24" s="2679" t="s">
        <v>451</v>
      </c>
      <c r="W24" s="2789" t="s">
        <v>452</v>
      </c>
      <c r="X24" s="82">
        <v>23532000</v>
      </c>
      <c r="Y24" s="82">
        <v>23532000</v>
      </c>
      <c r="Z24" s="82">
        <v>23532000</v>
      </c>
      <c r="AA24" s="468" t="s">
        <v>453</v>
      </c>
      <c r="AB24" s="2791" t="s">
        <v>454</v>
      </c>
      <c r="AC24" s="2285" t="s">
        <v>455</v>
      </c>
      <c r="AD24" s="2296">
        <v>295972</v>
      </c>
      <c r="AE24" s="2296"/>
      <c r="AF24" s="2296">
        <v>285580</v>
      </c>
      <c r="AG24" s="2296"/>
      <c r="AH24" s="2296">
        <v>135545</v>
      </c>
      <c r="AI24" s="2296"/>
      <c r="AJ24" s="2296">
        <v>44254</v>
      </c>
      <c r="AK24" s="2296"/>
      <c r="AL24" s="2296">
        <v>309146</v>
      </c>
      <c r="AM24" s="2296"/>
      <c r="AN24" s="2296">
        <v>92607</v>
      </c>
      <c r="AO24" s="2296"/>
      <c r="AP24" s="2296">
        <v>2145</v>
      </c>
      <c r="AQ24" s="2296"/>
      <c r="AR24" s="2296">
        <v>12718</v>
      </c>
      <c r="AS24" s="2296"/>
      <c r="AT24" s="2296">
        <v>26</v>
      </c>
      <c r="AU24" s="2296"/>
      <c r="AV24" s="2296">
        <v>37</v>
      </c>
      <c r="AW24" s="2296"/>
      <c r="AX24" s="2296">
        <v>0</v>
      </c>
      <c r="AY24" s="2296"/>
      <c r="AZ24" s="2296">
        <v>0</v>
      </c>
      <c r="BA24" s="2296"/>
      <c r="BB24" s="2296">
        <v>44350</v>
      </c>
      <c r="BC24" s="2296"/>
      <c r="BD24" s="2296">
        <v>21944</v>
      </c>
      <c r="BE24" s="2296"/>
      <c r="BF24" s="2296">
        <v>75687</v>
      </c>
      <c r="BG24" s="2296"/>
      <c r="BH24" s="2296">
        <v>581552</v>
      </c>
      <c r="BI24" s="2296"/>
      <c r="BJ24" s="2254">
        <v>42</v>
      </c>
      <c r="BK24" s="2676">
        <f>SUM(Y24:Y40)</f>
        <v>234701500</v>
      </c>
      <c r="BL24" s="2676">
        <f>SUM(Z24:Z40)</f>
        <v>180164000</v>
      </c>
      <c r="BM24" s="2678">
        <f>+BL24/BK24</f>
        <v>0.76763037304831883</v>
      </c>
      <c r="BN24" s="2788" t="s">
        <v>454</v>
      </c>
      <c r="BO24" s="2285" t="s">
        <v>456</v>
      </c>
      <c r="BP24" s="2285" t="s">
        <v>422</v>
      </c>
      <c r="BQ24" s="2641">
        <v>44197</v>
      </c>
      <c r="BR24" s="2642">
        <v>44228</v>
      </c>
      <c r="BS24" s="2641">
        <v>44561</v>
      </c>
      <c r="BT24" s="2642">
        <v>44483</v>
      </c>
      <c r="BU24" s="2784" t="s">
        <v>423</v>
      </c>
    </row>
    <row r="25" spans="1:73" ht="74.25" customHeight="1" x14ac:dyDescent="0.25">
      <c r="A25" s="2833"/>
      <c r="B25" s="2758"/>
      <c r="C25" s="2405"/>
      <c r="D25" s="2263"/>
      <c r="E25" s="2405"/>
      <c r="F25" s="2263"/>
      <c r="G25" s="2792"/>
      <c r="H25" s="2793"/>
      <c r="I25" s="2792"/>
      <c r="J25" s="2793"/>
      <c r="K25" s="2792"/>
      <c r="L25" s="2397"/>
      <c r="M25" s="2792"/>
      <c r="N25" s="2397"/>
      <c r="O25" s="2254"/>
      <c r="P25" s="2387"/>
      <c r="Q25" s="2254"/>
      <c r="R25" s="2679"/>
      <c r="S25" s="2419"/>
      <c r="T25" s="2722"/>
      <c r="U25" s="2679"/>
      <c r="V25" s="2679"/>
      <c r="W25" s="2790"/>
      <c r="X25" s="82">
        <v>36468000</v>
      </c>
      <c r="Y25" s="82">
        <v>5400000</v>
      </c>
      <c r="Z25" s="82">
        <v>0</v>
      </c>
      <c r="AA25" s="468" t="s">
        <v>457</v>
      </c>
      <c r="AB25" s="2791"/>
      <c r="AC25" s="2285"/>
      <c r="AD25" s="2296"/>
      <c r="AE25" s="2296"/>
      <c r="AF25" s="2296"/>
      <c r="AG25" s="2296"/>
      <c r="AH25" s="2296"/>
      <c r="AI25" s="2296"/>
      <c r="AJ25" s="2296"/>
      <c r="AK25" s="2296"/>
      <c r="AL25" s="2296"/>
      <c r="AM25" s="2296"/>
      <c r="AN25" s="2296"/>
      <c r="AO25" s="2296"/>
      <c r="AP25" s="2296"/>
      <c r="AQ25" s="2296"/>
      <c r="AR25" s="2296"/>
      <c r="AS25" s="2296"/>
      <c r="AT25" s="2296"/>
      <c r="AU25" s="2296"/>
      <c r="AV25" s="2296"/>
      <c r="AW25" s="2296"/>
      <c r="AX25" s="2296"/>
      <c r="AY25" s="2296"/>
      <c r="AZ25" s="2296"/>
      <c r="BA25" s="2296"/>
      <c r="BB25" s="2296"/>
      <c r="BC25" s="2296"/>
      <c r="BD25" s="2296"/>
      <c r="BE25" s="2296"/>
      <c r="BF25" s="2296"/>
      <c r="BG25" s="2296"/>
      <c r="BH25" s="2296"/>
      <c r="BI25" s="2296"/>
      <c r="BJ25" s="2254"/>
      <c r="BK25" s="2676"/>
      <c r="BL25" s="2676"/>
      <c r="BM25" s="2678"/>
      <c r="BN25" s="2788"/>
      <c r="BO25" s="2285"/>
      <c r="BP25" s="2285"/>
      <c r="BQ25" s="2641"/>
      <c r="BR25" s="2642"/>
      <c r="BS25" s="2641"/>
      <c r="BT25" s="2642"/>
      <c r="BU25" s="2785"/>
    </row>
    <row r="26" spans="1:73" ht="42.75" customHeight="1" x14ac:dyDescent="0.25">
      <c r="A26" s="2833"/>
      <c r="B26" s="2758"/>
      <c r="C26" s="2405"/>
      <c r="D26" s="2263"/>
      <c r="E26" s="2405"/>
      <c r="F26" s="2263"/>
      <c r="G26" s="2792"/>
      <c r="H26" s="2793"/>
      <c r="I26" s="2792"/>
      <c r="J26" s="2793"/>
      <c r="K26" s="2792"/>
      <c r="L26" s="2397"/>
      <c r="M26" s="2792"/>
      <c r="N26" s="2397"/>
      <c r="O26" s="2254"/>
      <c r="P26" s="2387"/>
      <c r="Q26" s="2254"/>
      <c r="R26" s="2679"/>
      <c r="S26" s="2419"/>
      <c r="T26" s="2722"/>
      <c r="U26" s="2679"/>
      <c r="V26" s="2679"/>
      <c r="W26" s="2299" t="s">
        <v>458</v>
      </c>
      <c r="X26" s="82">
        <v>11600000</v>
      </c>
      <c r="Y26" s="82">
        <v>11600000</v>
      </c>
      <c r="Z26" s="82">
        <v>11600000</v>
      </c>
      <c r="AA26" s="468" t="s">
        <v>453</v>
      </c>
      <c r="AB26" s="2791"/>
      <c r="AC26" s="2285"/>
      <c r="AD26" s="2296"/>
      <c r="AE26" s="2296"/>
      <c r="AF26" s="2296"/>
      <c r="AG26" s="2296"/>
      <c r="AH26" s="2296"/>
      <c r="AI26" s="2296"/>
      <c r="AJ26" s="2296"/>
      <c r="AK26" s="2296"/>
      <c r="AL26" s="2296"/>
      <c r="AM26" s="2296"/>
      <c r="AN26" s="2296"/>
      <c r="AO26" s="2296"/>
      <c r="AP26" s="2296"/>
      <c r="AQ26" s="2296"/>
      <c r="AR26" s="2296"/>
      <c r="AS26" s="2296"/>
      <c r="AT26" s="2296"/>
      <c r="AU26" s="2296"/>
      <c r="AV26" s="2296"/>
      <c r="AW26" s="2296"/>
      <c r="AX26" s="2296"/>
      <c r="AY26" s="2296"/>
      <c r="AZ26" s="2296"/>
      <c r="BA26" s="2296"/>
      <c r="BB26" s="2296"/>
      <c r="BC26" s="2296"/>
      <c r="BD26" s="2296"/>
      <c r="BE26" s="2296"/>
      <c r="BF26" s="2296"/>
      <c r="BG26" s="2296"/>
      <c r="BH26" s="2296"/>
      <c r="BI26" s="2296"/>
      <c r="BJ26" s="2254"/>
      <c r="BK26" s="2676"/>
      <c r="BL26" s="2676"/>
      <c r="BM26" s="2678"/>
      <c r="BN26" s="2788"/>
      <c r="BO26" s="2285"/>
      <c r="BP26" s="2285"/>
      <c r="BQ26" s="2641"/>
      <c r="BR26" s="2642"/>
      <c r="BS26" s="2641"/>
      <c r="BT26" s="2642"/>
      <c r="BU26" s="2785"/>
    </row>
    <row r="27" spans="1:73" ht="60" customHeight="1" x14ac:dyDescent="0.25">
      <c r="A27" s="2833"/>
      <c r="B27" s="2758"/>
      <c r="C27" s="2405"/>
      <c r="D27" s="2263"/>
      <c r="E27" s="2405"/>
      <c r="F27" s="2263"/>
      <c r="G27" s="2792"/>
      <c r="H27" s="2793"/>
      <c r="I27" s="2792"/>
      <c r="J27" s="2793"/>
      <c r="K27" s="2792"/>
      <c r="L27" s="2397"/>
      <c r="M27" s="2792"/>
      <c r="N27" s="2397"/>
      <c r="O27" s="2254"/>
      <c r="P27" s="2387"/>
      <c r="Q27" s="2254"/>
      <c r="R27" s="2679"/>
      <c r="S27" s="2419"/>
      <c r="T27" s="2722"/>
      <c r="U27" s="2679"/>
      <c r="V27" s="2679"/>
      <c r="W27" s="2504"/>
      <c r="X27" s="82">
        <v>48400000</v>
      </c>
      <c r="Y27" s="82">
        <v>8800000</v>
      </c>
      <c r="Z27" s="82"/>
      <c r="AA27" s="468" t="s">
        <v>457</v>
      </c>
      <c r="AB27" s="2791"/>
      <c r="AC27" s="2285"/>
      <c r="AD27" s="2296"/>
      <c r="AE27" s="2296"/>
      <c r="AF27" s="2296"/>
      <c r="AG27" s="2296"/>
      <c r="AH27" s="2296"/>
      <c r="AI27" s="2296"/>
      <c r="AJ27" s="2296"/>
      <c r="AK27" s="2296"/>
      <c r="AL27" s="2296"/>
      <c r="AM27" s="2296"/>
      <c r="AN27" s="2296"/>
      <c r="AO27" s="2296"/>
      <c r="AP27" s="2296"/>
      <c r="AQ27" s="2296"/>
      <c r="AR27" s="2296"/>
      <c r="AS27" s="2296"/>
      <c r="AT27" s="2296"/>
      <c r="AU27" s="2296"/>
      <c r="AV27" s="2296"/>
      <c r="AW27" s="2296"/>
      <c r="AX27" s="2296"/>
      <c r="AY27" s="2296"/>
      <c r="AZ27" s="2296"/>
      <c r="BA27" s="2296"/>
      <c r="BB27" s="2296"/>
      <c r="BC27" s="2296"/>
      <c r="BD27" s="2296"/>
      <c r="BE27" s="2296"/>
      <c r="BF27" s="2296"/>
      <c r="BG27" s="2296"/>
      <c r="BH27" s="2296"/>
      <c r="BI27" s="2296"/>
      <c r="BJ27" s="2254"/>
      <c r="BK27" s="2676"/>
      <c r="BL27" s="2676"/>
      <c r="BM27" s="2678"/>
      <c r="BN27" s="2788"/>
      <c r="BO27" s="2285"/>
      <c r="BP27" s="2285"/>
      <c r="BQ27" s="2641"/>
      <c r="BR27" s="2642"/>
      <c r="BS27" s="2641"/>
      <c r="BT27" s="2642"/>
      <c r="BU27" s="2785"/>
    </row>
    <row r="28" spans="1:73" ht="120" customHeight="1" x14ac:dyDescent="0.25">
      <c r="A28" s="2833"/>
      <c r="B28" s="2758"/>
      <c r="C28" s="2405"/>
      <c r="D28" s="2263"/>
      <c r="E28" s="2405"/>
      <c r="F28" s="2263"/>
      <c r="G28" s="2792"/>
      <c r="H28" s="2793"/>
      <c r="I28" s="2792"/>
      <c r="J28" s="2793"/>
      <c r="K28" s="2792"/>
      <c r="L28" s="2397"/>
      <c r="M28" s="2792"/>
      <c r="N28" s="2397"/>
      <c r="O28" s="2254"/>
      <c r="P28" s="2387"/>
      <c r="Q28" s="2254"/>
      <c r="R28" s="2679"/>
      <c r="S28" s="2419"/>
      <c r="T28" s="2722"/>
      <c r="U28" s="2679"/>
      <c r="V28" s="2679"/>
      <c r="W28" s="2299" t="s">
        <v>459</v>
      </c>
      <c r="X28" s="82">
        <v>26350000</v>
      </c>
      <c r="Y28" s="82">
        <v>26350000</v>
      </c>
      <c r="Z28" s="82">
        <v>24050000</v>
      </c>
      <c r="AA28" s="468" t="s">
        <v>453</v>
      </c>
      <c r="AB28" s="2791"/>
      <c r="AC28" s="2285"/>
      <c r="AD28" s="2296"/>
      <c r="AE28" s="2296"/>
      <c r="AF28" s="2296"/>
      <c r="AG28" s="2296"/>
      <c r="AH28" s="2296"/>
      <c r="AI28" s="2296"/>
      <c r="AJ28" s="2296"/>
      <c r="AK28" s="2296"/>
      <c r="AL28" s="2296"/>
      <c r="AM28" s="2296"/>
      <c r="AN28" s="2296"/>
      <c r="AO28" s="2296"/>
      <c r="AP28" s="2296"/>
      <c r="AQ28" s="2296"/>
      <c r="AR28" s="2296"/>
      <c r="AS28" s="2296"/>
      <c r="AT28" s="2296"/>
      <c r="AU28" s="2296"/>
      <c r="AV28" s="2296"/>
      <c r="AW28" s="2296"/>
      <c r="AX28" s="2296"/>
      <c r="AY28" s="2296"/>
      <c r="AZ28" s="2296"/>
      <c r="BA28" s="2296"/>
      <c r="BB28" s="2296"/>
      <c r="BC28" s="2296"/>
      <c r="BD28" s="2296"/>
      <c r="BE28" s="2296"/>
      <c r="BF28" s="2296"/>
      <c r="BG28" s="2296"/>
      <c r="BH28" s="2296"/>
      <c r="BI28" s="2296"/>
      <c r="BJ28" s="2254"/>
      <c r="BK28" s="2676"/>
      <c r="BL28" s="2676"/>
      <c r="BM28" s="2678"/>
      <c r="BN28" s="2788"/>
      <c r="BO28" s="2285"/>
      <c r="BP28" s="2285"/>
      <c r="BQ28" s="2641"/>
      <c r="BR28" s="2642"/>
      <c r="BS28" s="2641"/>
      <c r="BT28" s="2642"/>
      <c r="BU28" s="2785"/>
    </row>
    <row r="29" spans="1:73" ht="62.25" customHeight="1" x14ac:dyDescent="0.25">
      <c r="A29" s="2833"/>
      <c r="B29" s="2758"/>
      <c r="C29" s="2405"/>
      <c r="D29" s="2263"/>
      <c r="E29" s="2405"/>
      <c r="F29" s="2263"/>
      <c r="G29" s="2792"/>
      <c r="H29" s="2793"/>
      <c r="I29" s="2792"/>
      <c r="J29" s="2793"/>
      <c r="K29" s="2792"/>
      <c r="L29" s="2397"/>
      <c r="M29" s="2792"/>
      <c r="N29" s="2397"/>
      <c r="O29" s="2254"/>
      <c r="P29" s="2387"/>
      <c r="Q29" s="2254"/>
      <c r="R29" s="2679"/>
      <c r="S29" s="2419"/>
      <c r="T29" s="2722"/>
      <c r="U29" s="2679"/>
      <c r="V29" s="2679"/>
      <c r="W29" s="2504"/>
      <c r="X29" s="82">
        <v>33650000</v>
      </c>
      <c r="Y29" s="82">
        <v>14550000</v>
      </c>
      <c r="Z29" s="82"/>
      <c r="AA29" s="468" t="s">
        <v>457</v>
      </c>
      <c r="AB29" s="2791"/>
      <c r="AC29" s="2285"/>
      <c r="AD29" s="2296"/>
      <c r="AE29" s="2296"/>
      <c r="AF29" s="2296"/>
      <c r="AG29" s="2296"/>
      <c r="AH29" s="2296"/>
      <c r="AI29" s="2296"/>
      <c r="AJ29" s="2296"/>
      <c r="AK29" s="2296"/>
      <c r="AL29" s="2296"/>
      <c r="AM29" s="2296"/>
      <c r="AN29" s="2296"/>
      <c r="AO29" s="2296"/>
      <c r="AP29" s="2296"/>
      <c r="AQ29" s="2296"/>
      <c r="AR29" s="2296"/>
      <c r="AS29" s="2296"/>
      <c r="AT29" s="2296"/>
      <c r="AU29" s="2296"/>
      <c r="AV29" s="2296"/>
      <c r="AW29" s="2296"/>
      <c r="AX29" s="2296"/>
      <c r="AY29" s="2296"/>
      <c r="AZ29" s="2296"/>
      <c r="BA29" s="2296"/>
      <c r="BB29" s="2296"/>
      <c r="BC29" s="2296"/>
      <c r="BD29" s="2296"/>
      <c r="BE29" s="2296"/>
      <c r="BF29" s="2296"/>
      <c r="BG29" s="2296"/>
      <c r="BH29" s="2296"/>
      <c r="BI29" s="2296"/>
      <c r="BJ29" s="2254"/>
      <c r="BK29" s="2676"/>
      <c r="BL29" s="2676"/>
      <c r="BM29" s="2678"/>
      <c r="BN29" s="2788"/>
      <c r="BO29" s="2285"/>
      <c r="BP29" s="2285"/>
      <c r="BQ29" s="2641"/>
      <c r="BR29" s="2642"/>
      <c r="BS29" s="2641"/>
      <c r="BT29" s="2642"/>
      <c r="BU29" s="2785"/>
    </row>
    <row r="30" spans="1:73" ht="75" x14ac:dyDescent="0.25">
      <c r="A30" s="2833"/>
      <c r="B30" s="2758"/>
      <c r="C30" s="2405"/>
      <c r="D30" s="2263"/>
      <c r="E30" s="2405"/>
      <c r="F30" s="2263"/>
      <c r="G30" s="2792"/>
      <c r="H30" s="2793"/>
      <c r="I30" s="2792"/>
      <c r="J30" s="2793"/>
      <c r="K30" s="2792"/>
      <c r="L30" s="2397"/>
      <c r="M30" s="2792"/>
      <c r="N30" s="2397"/>
      <c r="O30" s="2254"/>
      <c r="P30" s="2387"/>
      <c r="Q30" s="2254"/>
      <c r="R30" s="2679"/>
      <c r="S30" s="2419"/>
      <c r="T30" s="2722"/>
      <c r="U30" s="2679"/>
      <c r="V30" s="2679"/>
      <c r="W30" s="504" t="s">
        <v>460</v>
      </c>
      <c r="X30" s="82">
        <v>150000000</v>
      </c>
      <c r="Y30" s="82">
        <v>83982000</v>
      </c>
      <c r="Z30" s="82">
        <v>69582000</v>
      </c>
      <c r="AA30" s="468" t="s">
        <v>453</v>
      </c>
      <c r="AB30" s="2791"/>
      <c r="AC30" s="2285"/>
      <c r="AD30" s="2296"/>
      <c r="AE30" s="2296"/>
      <c r="AF30" s="2296"/>
      <c r="AG30" s="2296"/>
      <c r="AH30" s="2296"/>
      <c r="AI30" s="2296"/>
      <c r="AJ30" s="2296"/>
      <c r="AK30" s="2296"/>
      <c r="AL30" s="2296"/>
      <c r="AM30" s="2296"/>
      <c r="AN30" s="2296"/>
      <c r="AO30" s="2296"/>
      <c r="AP30" s="2296"/>
      <c r="AQ30" s="2296"/>
      <c r="AR30" s="2296"/>
      <c r="AS30" s="2296"/>
      <c r="AT30" s="2296"/>
      <c r="AU30" s="2296"/>
      <c r="AV30" s="2296"/>
      <c r="AW30" s="2296"/>
      <c r="AX30" s="2296"/>
      <c r="AY30" s="2296"/>
      <c r="AZ30" s="2296"/>
      <c r="BA30" s="2296"/>
      <c r="BB30" s="2296"/>
      <c r="BC30" s="2296"/>
      <c r="BD30" s="2296"/>
      <c r="BE30" s="2296"/>
      <c r="BF30" s="2296"/>
      <c r="BG30" s="2296"/>
      <c r="BH30" s="2296"/>
      <c r="BI30" s="2296"/>
      <c r="BJ30" s="2254"/>
      <c r="BK30" s="2676"/>
      <c r="BL30" s="2676"/>
      <c r="BM30" s="2678"/>
      <c r="BN30" s="2788"/>
      <c r="BO30" s="2285"/>
      <c r="BP30" s="2285"/>
      <c r="BQ30" s="2641"/>
      <c r="BR30" s="2642"/>
      <c r="BS30" s="2641"/>
      <c r="BT30" s="2642"/>
      <c r="BU30" s="2785"/>
    </row>
    <row r="31" spans="1:73" ht="75" x14ac:dyDescent="0.25">
      <c r="A31" s="2833"/>
      <c r="B31" s="2758"/>
      <c r="C31" s="2405"/>
      <c r="D31" s="2263"/>
      <c r="E31" s="2405"/>
      <c r="F31" s="2263"/>
      <c r="G31" s="2792"/>
      <c r="H31" s="2793"/>
      <c r="I31" s="2792"/>
      <c r="J31" s="2793"/>
      <c r="K31" s="2792"/>
      <c r="L31" s="2397"/>
      <c r="M31" s="2792"/>
      <c r="N31" s="2397"/>
      <c r="O31" s="2254"/>
      <c r="P31" s="2387"/>
      <c r="Q31" s="2254"/>
      <c r="R31" s="2679"/>
      <c r="S31" s="2419"/>
      <c r="T31" s="2722"/>
      <c r="U31" s="2679"/>
      <c r="V31" s="2679"/>
      <c r="W31" s="504" t="s">
        <v>461</v>
      </c>
      <c r="X31" s="82">
        <v>95800000</v>
      </c>
      <c r="Y31" s="82">
        <v>36787500</v>
      </c>
      <c r="Z31" s="82">
        <v>29700000</v>
      </c>
      <c r="AA31" s="468" t="s">
        <v>453</v>
      </c>
      <c r="AB31" s="2791"/>
      <c r="AC31" s="2285"/>
      <c r="AD31" s="2296"/>
      <c r="AE31" s="2296"/>
      <c r="AF31" s="2296"/>
      <c r="AG31" s="2296"/>
      <c r="AH31" s="2296"/>
      <c r="AI31" s="2296"/>
      <c r="AJ31" s="2296"/>
      <c r="AK31" s="2296"/>
      <c r="AL31" s="2296"/>
      <c r="AM31" s="2296"/>
      <c r="AN31" s="2296"/>
      <c r="AO31" s="2296"/>
      <c r="AP31" s="2296"/>
      <c r="AQ31" s="2296"/>
      <c r="AR31" s="2296"/>
      <c r="AS31" s="2296"/>
      <c r="AT31" s="2296"/>
      <c r="AU31" s="2296"/>
      <c r="AV31" s="2296"/>
      <c r="AW31" s="2296"/>
      <c r="AX31" s="2296"/>
      <c r="AY31" s="2296"/>
      <c r="AZ31" s="2296"/>
      <c r="BA31" s="2296"/>
      <c r="BB31" s="2296"/>
      <c r="BC31" s="2296"/>
      <c r="BD31" s="2296"/>
      <c r="BE31" s="2296"/>
      <c r="BF31" s="2296"/>
      <c r="BG31" s="2296"/>
      <c r="BH31" s="2296"/>
      <c r="BI31" s="2296"/>
      <c r="BJ31" s="2254"/>
      <c r="BK31" s="2676"/>
      <c r="BL31" s="2676"/>
      <c r="BM31" s="2678"/>
      <c r="BN31" s="2788"/>
      <c r="BO31" s="2285"/>
      <c r="BP31" s="2285"/>
      <c r="BQ31" s="2641"/>
      <c r="BR31" s="2642"/>
      <c r="BS31" s="2641"/>
      <c r="BT31" s="2642"/>
      <c r="BU31" s="2785"/>
    </row>
    <row r="32" spans="1:73" ht="105" x14ac:dyDescent="0.25">
      <c r="A32" s="2833"/>
      <c r="B32" s="2758"/>
      <c r="C32" s="2405"/>
      <c r="D32" s="2263"/>
      <c r="E32" s="2405"/>
      <c r="F32" s="2263"/>
      <c r="G32" s="2792"/>
      <c r="H32" s="2793"/>
      <c r="I32" s="2792"/>
      <c r="J32" s="2793"/>
      <c r="K32" s="2792"/>
      <c r="L32" s="2397"/>
      <c r="M32" s="2792"/>
      <c r="N32" s="2397"/>
      <c r="O32" s="2254"/>
      <c r="P32" s="2387"/>
      <c r="Q32" s="2254"/>
      <c r="R32" s="2679"/>
      <c r="S32" s="2419"/>
      <c r="T32" s="2722"/>
      <c r="U32" s="2679"/>
      <c r="V32" s="2679"/>
      <c r="W32" s="504" t="s">
        <v>462</v>
      </c>
      <c r="X32" s="82">
        <v>4200000</v>
      </c>
      <c r="Y32" s="82">
        <v>4200000</v>
      </c>
      <c r="Z32" s="82">
        <v>4200000</v>
      </c>
      <c r="AA32" s="468" t="s">
        <v>453</v>
      </c>
      <c r="AB32" s="2791"/>
      <c r="AC32" s="2285"/>
      <c r="AD32" s="2296"/>
      <c r="AE32" s="2296"/>
      <c r="AF32" s="2296"/>
      <c r="AG32" s="2296"/>
      <c r="AH32" s="2296"/>
      <c r="AI32" s="2296"/>
      <c r="AJ32" s="2296"/>
      <c r="AK32" s="2296"/>
      <c r="AL32" s="2296"/>
      <c r="AM32" s="2296"/>
      <c r="AN32" s="2296"/>
      <c r="AO32" s="2296"/>
      <c r="AP32" s="2296"/>
      <c r="AQ32" s="2296"/>
      <c r="AR32" s="2296"/>
      <c r="AS32" s="2296"/>
      <c r="AT32" s="2296"/>
      <c r="AU32" s="2296"/>
      <c r="AV32" s="2296"/>
      <c r="AW32" s="2296"/>
      <c r="AX32" s="2296"/>
      <c r="AY32" s="2296"/>
      <c r="AZ32" s="2296"/>
      <c r="BA32" s="2296"/>
      <c r="BB32" s="2296"/>
      <c r="BC32" s="2296"/>
      <c r="BD32" s="2296"/>
      <c r="BE32" s="2296"/>
      <c r="BF32" s="2296"/>
      <c r="BG32" s="2296"/>
      <c r="BH32" s="2296"/>
      <c r="BI32" s="2296"/>
      <c r="BJ32" s="2254"/>
      <c r="BK32" s="2676"/>
      <c r="BL32" s="2676"/>
      <c r="BM32" s="2678"/>
      <c r="BN32" s="2788"/>
      <c r="BO32" s="2285"/>
      <c r="BP32" s="2285"/>
      <c r="BQ32" s="2641"/>
      <c r="BR32" s="2642"/>
      <c r="BS32" s="2641"/>
      <c r="BT32" s="2642"/>
      <c r="BU32" s="2785"/>
    </row>
    <row r="33" spans="1:73" ht="75" customHeight="1" x14ac:dyDescent="0.25">
      <c r="A33" s="2833"/>
      <c r="B33" s="2758"/>
      <c r="C33" s="2405"/>
      <c r="D33" s="2263"/>
      <c r="E33" s="2405"/>
      <c r="F33" s="2263"/>
      <c r="G33" s="2792"/>
      <c r="H33" s="2793"/>
      <c r="I33" s="2792"/>
      <c r="J33" s="2793"/>
      <c r="K33" s="2792"/>
      <c r="L33" s="2397"/>
      <c r="M33" s="2792"/>
      <c r="N33" s="2397"/>
      <c r="O33" s="2254"/>
      <c r="P33" s="2387"/>
      <c r="Q33" s="2254"/>
      <c r="R33" s="2679"/>
      <c r="S33" s="2419"/>
      <c r="T33" s="2722"/>
      <c r="U33" s="2679"/>
      <c r="V33" s="2679"/>
      <c r="W33" s="2299" t="s">
        <v>463</v>
      </c>
      <c r="X33" s="82">
        <v>10000000</v>
      </c>
      <c r="Y33" s="82">
        <v>0</v>
      </c>
      <c r="Z33" s="82">
        <v>0</v>
      </c>
      <c r="AA33" s="468" t="s">
        <v>464</v>
      </c>
      <c r="AB33" s="2791"/>
      <c r="AC33" s="2285"/>
      <c r="AD33" s="2296"/>
      <c r="AE33" s="2296"/>
      <c r="AF33" s="2296"/>
      <c r="AG33" s="2296"/>
      <c r="AH33" s="2296"/>
      <c r="AI33" s="2296"/>
      <c r="AJ33" s="2296"/>
      <c r="AK33" s="2296"/>
      <c r="AL33" s="2296"/>
      <c r="AM33" s="2296"/>
      <c r="AN33" s="2296"/>
      <c r="AO33" s="2296"/>
      <c r="AP33" s="2296"/>
      <c r="AQ33" s="2296"/>
      <c r="AR33" s="2296"/>
      <c r="AS33" s="2296"/>
      <c r="AT33" s="2296"/>
      <c r="AU33" s="2296"/>
      <c r="AV33" s="2296"/>
      <c r="AW33" s="2296"/>
      <c r="AX33" s="2296"/>
      <c r="AY33" s="2296"/>
      <c r="AZ33" s="2296"/>
      <c r="BA33" s="2296"/>
      <c r="BB33" s="2296"/>
      <c r="BC33" s="2296"/>
      <c r="BD33" s="2296"/>
      <c r="BE33" s="2296"/>
      <c r="BF33" s="2296"/>
      <c r="BG33" s="2296"/>
      <c r="BH33" s="2296"/>
      <c r="BI33" s="2296"/>
      <c r="BJ33" s="2254"/>
      <c r="BK33" s="2676"/>
      <c r="BL33" s="2676"/>
      <c r="BM33" s="2678"/>
      <c r="BN33" s="2788"/>
      <c r="BO33" s="2285"/>
      <c r="BP33" s="2285"/>
      <c r="BQ33" s="2641"/>
      <c r="BR33" s="2642"/>
      <c r="BS33" s="2641"/>
      <c r="BT33" s="2642"/>
      <c r="BU33" s="2785"/>
    </row>
    <row r="34" spans="1:73" ht="45.75" customHeight="1" x14ac:dyDescent="0.25">
      <c r="A34" s="2833"/>
      <c r="B34" s="2758"/>
      <c r="C34" s="2405"/>
      <c r="D34" s="2263"/>
      <c r="E34" s="2405"/>
      <c r="F34" s="2263"/>
      <c r="G34" s="2792"/>
      <c r="H34" s="2793"/>
      <c r="I34" s="2792"/>
      <c r="J34" s="2793"/>
      <c r="K34" s="2792"/>
      <c r="L34" s="2397"/>
      <c r="M34" s="2792"/>
      <c r="N34" s="2397"/>
      <c r="O34" s="2254"/>
      <c r="P34" s="2387"/>
      <c r="Q34" s="2254"/>
      <c r="R34" s="2679"/>
      <c r="S34" s="2419"/>
      <c r="T34" s="2722"/>
      <c r="U34" s="2679"/>
      <c r="V34" s="2679"/>
      <c r="W34" s="2787"/>
      <c r="X34" s="82">
        <v>50000000</v>
      </c>
      <c r="Y34" s="82"/>
      <c r="Z34" s="82"/>
      <c r="AA34" s="468" t="s">
        <v>465</v>
      </c>
      <c r="AB34" s="2791"/>
      <c r="AC34" s="2285"/>
      <c r="AD34" s="2296"/>
      <c r="AE34" s="2296"/>
      <c r="AF34" s="2296"/>
      <c r="AG34" s="2296"/>
      <c r="AH34" s="2296"/>
      <c r="AI34" s="2296"/>
      <c r="AJ34" s="2296"/>
      <c r="AK34" s="2296"/>
      <c r="AL34" s="2296"/>
      <c r="AM34" s="2296"/>
      <c r="AN34" s="2296"/>
      <c r="AO34" s="2296"/>
      <c r="AP34" s="2296"/>
      <c r="AQ34" s="2296"/>
      <c r="AR34" s="2296"/>
      <c r="AS34" s="2296"/>
      <c r="AT34" s="2296"/>
      <c r="AU34" s="2296"/>
      <c r="AV34" s="2296"/>
      <c r="AW34" s="2296"/>
      <c r="AX34" s="2296"/>
      <c r="AY34" s="2296"/>
      <c r="AZ34" s="2296"/>
      <c r="BA34" s="2296"/>
      <c r="BB34" s="2296"/>
      <c r="BC34" s="2296"/>
      <c r="BD34" s="2296"/>
      <c r="BE34" s="2296"/>
      <c r="BF34" s="2296"/>
      <c r="BG34" s="2296"/>
      <c r="BH34" s="2296"/>
      <c r="BI34" s="2296"/>
      <c r="BJ34" s="2254"/>
      <c r="BK34" s="2676"/>
      <c r="BL34" s="2676"/>
      <c r="BM34" s="2678"/>
      <c r="BN34" s="2788"/>
      <c r="BO34" s="2285"/>
      <c r="BP34" s="2285"/>
      <c r="BQ34" s="2641"/>
      <c r="BR34" s="2642"/>
      <c r="BS34" s="2641"/>
      <c r="BT34" s="2642"/>
      <c r="BU34" s="2785"/>
    </row>
    <row r="35" spans="1:73" ht="27.75" customHeight="1" x14ac:dyDescent="0.25">
      <c r="A35" s="2833"/>
      <c r="B35" s="2758"/>
      <c r="C35" s="2405"/>
      <c r="D35" s="2263"/>
      <c r="E35" s="2405"/>
      <c r="F35" s="2263"/>
      <c r="G35" s="2792"/>
      <c r="H35" s="2793"/>
      <c r="I35" s="2792"/>
      <c r="J35" s="2793"/>
      <c r="K35" s="2792"/>
      <c r="L35" s="2397"/>
      <c r="M35" s="2792"/>
      <c r="N35" s="2397"/>
      <c r="O35" s="2254"/>
      <c r="P35" s="2387"/>
      <c r="Q35" s="2254"/>
      <c r="R35" s="2679"/>
      <c r="S35" s="2419"/>
      <c r="T35" s="2722"/>
      <c r="U35" s="2679"/>
      <c r="V35" s="2679"/>
      <c r="W35" s="2787"/>
      <c r="X35" s="82">
        <v>40000000</v>
      </c>
      <c r="Y35" s="82"/>
      <c r="Z35" s="82"/>
      <c r="AA35" s="468" t="s">
        <v>466</v>
      </c>
      <c r="AB35" s="2791"/>
      <c r="AC35" s="2285"/>
      <c r="AD35" s="2296"/>
      <c r="AE35" s="2296"/>
      <c r="AF35" s="2296"/>
      <c r="AG35" s="2296"/>
      <c r="AH35" s="2296"/>
      <c r="AI35" s="2296"/>
      <c r="AJ35" s="2296"/>
      <c r="AK35" s="2296"/>
      <c r="AL35" s="2296"/>
      <c r="AM35" s="2296"/>
      <c r="AN35" s="2296"/>
      <c r="AO35" s="2296"/>
      <c r="AP35" s="2296"/>
      <c r="AQ35" s="2296"/>
      <c r="AR35" s="2296"/>
      <c r="AS35" s="2296"/>
      <c r="AT35" s="2296"/>
      <c r="AU35" s="2296"/>
      <c r="AV35" s="2296"/>
      <c r="AW35" s="2296"/>
      <c r="AX35" s="2296"/>
      <c r="AY35" s="2296"/>
      <c r="AZ35" s="2296"/>
      <c r="BA35" s="2296"/>
      <c r="BB35" s="2296"/>
      <c r="BC35" s="2296"/>
      <c r="BD35" s="2296"/>
      <c r="BE35" s="2296"/>
      <c r="BF35" s="2296"/>
      <c r="BG35" s="2296"/>
      <c r="BH35" s="2296"/>
      <c r="BI35" s="2296"/>
      <c r="BJ35" s="2254"/>
      <c r="BK35" s="2676"/>
      <c r="BL35" s="2676"/>
      <c r="BM35" s="2678"/>
      <c r="BN35" s="2788"/>
      <c r="BO35" s="2285"/>
      <c r="BP35" s="2285"/>
      <c r="BQ35" s="2641"/>
      <c r="BR35" s="2642"/>
      <c r="BS35" s="2641"/>
      <c r="BT35" s="2642"/>
      <c r="BU35" s="2785"/>
    </row>
    <row r="36" spans="1:73" ht="32.25" customHeight="1" x14ac:dyDescent="0.25">
      <c r="A36" s="2833"/>
      <c r="B36" s="2758"/>
      <c r="C36" s="2405"/>
      <c r="D36" s="2263"/>
      <c r="E36" s="2405"/>
      <c r="F36" s="2263"/>
      <c r="G36" s="2792"/>
      <c r="H36" s="2793"/>
      <c r="I36" s="2792"/>
      <c r="J36" s="2793"/>
      <c r="K36" s="2792"/>
      <c r="L36" s="2397"/>
      <c r="M36" s="2792"/>
      <c r="N36" s="2397"/>
      <c r="O36" s="2254"/>
      <c r="P36" s="2387"/>
      <c r="Q36" s="2254"/>
      <c r="R36" s="2679"/>
      <c r="S36" s="2419"/>
      <c r="T36" s="2722"/>
      <c r="U36" s="2679"/>
      <c r="V36" s="2679"/>
      <c r="W36" s="2504"/>
      <c r="X36" s="82">
        <v>50000000</v>
      </c>
      <c r="Y36" s="82"/>
      <c r="Z36" s="82"/>
      <c r="AA36" s="468" t="s">
        <v>467</v>
      </c>
      <c r="AB36" s="2791"/>
      <c r="AC36" s="2285"/>
      <c r="AD36" s="2296"/>
      <c r="AE36" s="2296"/>
      <c r="AF36" s="2296"/>
      <c r="AG36" s="2296"/>
      <c r="AH36" s="2296"/>
      <c r="AI36" s="2296"/>
      <c r="AJ36" s="2296"/>
      <c r="AK36" s="2296"/>
      <c r="AL36" s="2296"/>
      <c r="AM36" s="2296"/>
      <c r="AN36" s="2296"/>
      <c r="AO36" s="2296"/>
      <c r="AP36" s="2296"/>
      <c r="AQ36" s="2296"/>
      <c r="AR36" s="2296"/>
      <c r="AS36" s="2296"/>
      <c r="AT36" s="2296"/>
      <c r="AU36" s="2296"/>
      <c r="AV36" s="2296"/>
      <c r="AW36" s="2296"/>
      <c r="AX36" s="2296"/>
      <c r="AY36" s="2296"/>
      <c r="AZ36" s="2296"/>
      <c r="BA36" s="2296"/>
      <c r="BB36" s="2296"/>
      <c r="BC36" s="2296"/>
      <c r="BD36" s="2296"/>
      <c r="BE36" s="2296"/>
      <c r="BF36" s="2296"/>
      <c r="BG36" s="2296"/>
      <c r="BH36" s="2296"/>
      <c r="BI36" s="2296"/>
      <c r="BJ36" s="2254"/>
      <c r="BK36" s="2676"/>
      <c r="BL36" s="2676"/>
      <c r="BM36" s="2678"/>
      <c r="BN36" s="2788"/>
      <c r="BO36" s="2285"/>
      <c r="BP36" s="2285"/>
      <c r="BQ36" s="2641"/>
      <c r="BR36" s="2642"/>
      <c r="BS36" s="2641"/>
      <c r="BT36" s="2642"/>
      <c r="BU36" s="2785"/>
    </row>
    <row r="37" spans="1:73" ht="45" x14ac:dyDescent="0.25">
      <c r="A37" s="2833"/>
      <c r="B37" s="2758"/>
      <c r="C37" s="2405"/>
      <c r="D37" s="2263"/>
      <c r="E37" s="2405"/>
      <c r="F37" s="2263"/>
      <c r="G37" s="2792"/>
      <c r="H37" s="2793"/>
      <c r="I37" s="2792"/>
      <c r="J37" s="2793"/>
      <c r="K37" s="2792"/>
      <c r="L37" s="2397"/>
      <c r="M37" s="2792"/>
      <c r="N37" s="2397"/>
      <c r="O37" s="2254"/>
      <c r="P37" s="2387"/>
      <c r="Q37" s="2254"/>
      <c r="R37" s="2679"/>
      <c r="S37" s="2419"/>
      <c r="T37" s="2722"/>
      <c r="U37" s="2679"/>
      <c r="V37" s="2679"/>
      <c r="W37" s="332" t="s">
        <v>468</v>
      </c>
      <c r="X37" s="82">
        <v>43257220</v>
      </c>
      <c r="Y37" s="82"/>
      <c r="Z37" s="82"/>
      <c r="AA37" s="468" t="s">
        <v>469</v>
      </c>
      <c r="AB37" s="2791"/>
      <c r="AC37" s="2285"/>
      <c r="AD37" s="2296"/>
      <c r="AE37" s="2296"/>
      <c r="AF37" s="2296"/>
      <c r="AG37" s="2296"/>
      <c r="AH37" s="2296"/>
      <c r="AI37" s="2296"/>
      <c r="AJ37" s="2296"/>
      <c r="AK37" s="2296"/>
      <c r="AL37" s="2296"/>
      <c r="AM37" s="2296"/>
      <c r="AN37" s="2296"/>
      <c r="AO37" s="2296"/>
      <c r="AP37" s="2296"/>
      <c r="AQ37" s="2296"/>
      <c r="AR37" s="2296"/>
      <c r="AS37" s="2296"/>
      <c r="AT37" s="2296"/>
      <c r="AU37" s="2296"/>
      <c r="AV37" s="2296"/>
      <c r="AW37" s="2296"/>
      <c r="AX37" s="2296"/>
      <c r="AY37" s="2296"/>
      <c r="AZ37" s="2296"/>
      <c r="BA37" s="2296"/>
      <c r="BB37" s="2296"/>
      <c r="BC37" s="2296"/>
      <c r="BD37" s="2296"/>
      <c r="BE37" s="2296"/>
      <c r="BF37" s="2296"/>
      <c r="BG37" s="2296"/>
      <c r="BH37" s="2296"/>
      <c r="BI37" s="2296"/>
      <c r="BJ37" s="2254"/>
      <c r="BK37" s="2676"/>
      <c r="BL37" s="2676"/>
      <c r="BM37" s="2678"/>
      <c r="BN37" s="2788"/>
      <c r="BO37" s="2285"/>
      <c r="BP37" s="2285"/>
      <c r="BQ37" s="2641"/>
      <c r="BR37" s="2642"/>
      <c r="BS37" s="2641"/>
      <c r="BT37" s="2642"/>
      <c r="BU37" s="2785"/>
    </row>
    <row r="38" spans="1:73" ht="75" customHeight="1" x14ac:dyDescent="0.25">
      <c r="A38" s="2833"/>
      <c r="B38" s="2758"/>
      <c r="C38" s="2405"/>
      <c r="D38" s="2263"/>
      <c r="E38" s="2405"/>
      <c r="F38" s="2263"/>
      <c r="G38" s="2792"/>
      <c r="H38" s="2793"/>
      <c r="I38" s="2792"/>
      <c r="J38" s="2793"/>
      <c r="K38" s="2792"/>
      <c r="L38" s="2397"/>
      <c r="M38" s="2792"/>
      <c r="N38" s="2397"/>
      <c r="O38" s="2254"/>
      <c r="P38" s="2387"/>
      <c r="Q38" s="2254"/>
      <c r="R38" s="2679"/>
      <c r="S38" s="2419"/>
      <c r="T38" s="2722"/>
      <c r="U38" s="2679"/>
      <c r="V38" s="2679"/>
      <c r="W38" s="332" t="s">
        <v>470</v>
      </c>
      <c r="X38" s="82">
        <v>1260000000</v>
      </c>
      <c r="Y38" s="82"/>
      <c r="Z38" s="82"/>
      <c r="AA38" s="468" t="s">
        <v>453</v>
      </c>
      <c r="AB38" s="2791"/>
      <c r="AC38" s="2285"/>
      <c r="AD38" s="2296"/>
      <c r="AE38" s="2296"/>
      <c r="AF38" s="2296"/>
      <c r="AG38" s="2296"/>
      <c r="AH38" s="2296"/>
      <c r="AI38" s="2296"/>
      <c r="AJ38" s="2296"/>
      <c r="AK38" s="2296"/>
      <c r="AL38" s="2296"/>
      <c r="AM38" s="2296"/>
      <c r="AN38" s="2296"/>
      <c r="AO38" s="2296"/>
      <c r="AP38" s="2296"/>
      <c r="AQ38" s="2296"/>
      <c r="AR38" s="2296"/>
      <c r="AS38" s="2296"/>
      <c r="AT38" s="2296"/>
      <c r="AU38" s="2296"/>
      <c r="AV38" s="2296"/>
      <c r="AW38" s="2296"/>
      <c r="AX38" s="2296"/>
      <c r="AY38" s="2296"/>
      <c r="AZ38" s="2296"/>
      <c r="BA38" s="2296"/>
      <c r="BB38" s="2296"/>
      <c r="BC38" s="2296"/>
      <c r="BD38" s="2296"/>
      <c r="BE38" s="2296"/>
      <c r="BF38" s="2296"/>
      <c r="BG38" s="2296"/>
      <c r="BH38" s="2296"/>
      <c r="BI38" s="2296"/>
      <c r="BJ38" s="2254"/>
      <c r="BK38" s="2676"/>
      <c r="BL38" s="2676"/>
      <c r="BM38" s="2678"/>
      <c r="BN38" s="2788"/>
      <c r="BO38" s="2285"/>
      <c r="BP38" s="2285"/>
      <c r="BQ38" s="2641"/>
      <c r="BR38" s="2642"/>
      <c r="BS38" s="2641"/>
      <c r="BT38" s="2642"/>
      <c r="BU38" s="2785"/>
    </row>
    <row r="39" spans="1:73" ht="45" x14ac:dyDescent="0.25">
      <c r="A39" s="2833"/>
      <c r="B39" s="2758"/>
      <c r="C39" s="2405"/>
      <c r="D39" s="2263"/>
      <c r="E39" s="2405"/>
      <c r="F39" s="2263"/>
      <c r="G39" s="2792"/>
      <c r="H39" s="2793"/>
      <c r="I39" s="2792"/>
      <c r="J39" s="2793"/>
      <c r="K39" s="2792"/>
      <c r="L39" s="2397"/>
      <c r="M39" s="2792"/>
      <c r="N39" s="2397"/>
      <c r="O39" s="2254"/>
      <c r="P39" s="2387"/>
      <c r="Q39" s="2254"/>
      <c r="R39" s="2679"/>
      <c r="S39" s="2419"/>
      <c r="T39" s="2722"/>
      <c r="U39" s="2679"/>
      <c r="V39" s="2679"/>
      <c r="W39" s="505" t="s">
        <v>471</v>
      </c>
      <c r="X39" s="82">
        <v>140000000</v>
      </c>
      <c r="Y39" s="82"/>
      <c r="Z39" s="82"/>
      <c r="AA39" s="468" t="s">
        <v>453</v>
      </c>
      <c r="AB39" s="2791"/>
      <c r="AC39" s="2285"/>
      <c r="AD39" s="2296"/>
      <c r="AE39" s="2296"/>
      <c r="AF39" s="2296"/>
      <c r="AG39" s="2296"/>
      <c r="AH39" s="2296"/>
      <c r="AI39" s="2296"/>
      <c r="AJ39" s="2296"/>
      <c r="AK39" s="2296"/>
      <c r="AL39" s="2296"/>
      <c r="AM39" s="2296"/>
      <c r="AN39" s="2296"/>
      <c r="AO39" s="2296"/>
      <c r="AP39" s="2296"/>
      <c r="AQ39" s="2296"/>
      <c r="AR39" s="2296"/>
      <c r="AS39" s="2296"/>
      <c r="AT39" s="2296"/>
      <c r="AU39" s="2296"/>
      <c r="AV39" s="2296"/>
      <c r="AW39" s="2296"/>
      <c r="AX39" s="2296"/>
      <c r="AY39" s="2296"/>
      <c r="AZ39" s="2296"/>
      <c r="BA39" s="2296"/>
      <c r="BB39" s="2296"/>
      <c r="BC39" s="2296"/>
      <c r="BD39" s="2296"/>
      <c r="BE39" s="2296"/>
      <c r="BF39" s="2296"/>
      <c r="BG39" s="2296"/>
      <c r="BH39" s="2296"/>
      <c r="BI39" s="2296"/>
      <c r="BJ39" s="2254"/>
      <c r="BK39" s="2676"/>
      <c r="BL39" s="2676"/>
      <c r="BM39" s="2678"/>
      <c r="BN39" s="2788"/>
      <c r="BO39" s="2285"/>
      <c r="BP39" s="2285"/>
      <c r="BQ39" s="2641"/>
      <c r="BR39" s="2642"/>
      <c r="BS39" s="2641"/>
      <c r="BT39" s="2642"/>
      <c r="BU39" s="2785"/>
    </row>
    <row r="40" spans="1:73" ht="60" x14ac:dyDescent="0.25">
      <c r="A40" s="2833"/>
      <c r="B40" s="2758"/>
      <c r="C40" s="2406"/>
      <c r="D40" s="2815"/>
      <c r="E40" s="2406"/>
      <c r="F40" s="2815"/>
      <c r="G40" s="2792"/>
      <c r="H40" s="2793"/>
      <c r="I40" s="2792"/>
      <c r="J40" s="2793"/>
      <c r="K40" s="2792"/>
      <c r="L40" s="2397"/>
      <c r="M40" s="2792"/>
      <c r="N40" s="2397"/>
      <c r="O40" s="2254"/>
      <c r="P40" s="2388"/>
      <c r="Q40" s="2254"/>
      <c r="R40" s="2679"/>
      <c r="S40" s="2419"/>
      <c r="T40" s="2722"/>
      <c r="U40" s="2679"/>
      <c r="V40" s="2679"/>
      <c r="W40" s="504" t="s">
        <v>472</v>
      </c>
      <c r="X40" s="82">
        <v>60000000</v>
      </c>
      <c r="Y40" s="82">
        <v>19500000</v>
      </c>
      <c r="Z40" s="82">
        <v>17500000</v>
      </c>
      <c r="AA40" s="468" t="s">
        <v>453</v>
      </c>
      <c r="AB40" s="2791"/>
      <c r="AC40" s="2285"/>
      <c r="AD40" s="2296"/>
      <c r="AE40" s="2296"/>
      <c r="AF40" s="2296"/>
      <c r="AG40" s="2296"/>
      <c r="AH40" s="2296"/>
      <c r="AI40" s="2296"/>
      <c r="AJ40" s="2296"/>
      <c r="AK40" s="2296"/>
      <c r="AL40" s="2296"/>
      <c r="AM40" s="2296"/>
      <c r="AN40" s="2296"/>
      <c r="AO40" s="2296"/>
      <c r="AP40" s="2296"/>
      <c r="AQ40" s="2296"/>
      <c r="AR40" s="2296"/>
      <c r="AS40" s="2296"/>
      <c r="AT40" s="2296"/>
      <c r="AU40" s="2296"/>
      <c r="AV40" s="2296"/>
      <c r="AW40" s="2296"/>
      <c r="AX40" s="2296"/>
      <c r="AY40" s="2296"/>
      <c r="AZ40" s="2296"/>
      <c r="BA40" s="2296"/>
      <c r="BB40" s="2296"/>
      <c r="BC40" s="2296"/>
      <c r="BD40" s="2296"/>
      <c r="BE40" s="2296"/>
      <c r="BF40" s="2296"/>
      <c r="BG40" s="2296"/>
      <c r="BH40" s="2296"/>
      <c r="BI40" s="2296"/>
      <c r="BJ40" s="2254"/>
      <c r="BK40" s="2676"/>
      <c r="BL40" s="2676"/>
      <c r="BM40" s="2678"/>
      <c r="BN40" s="2788"/>
      <c r="BO40" s="2285"/>
      <c r="BP40" s="2285"/>
      <c r="BQ40" s="2641"/>
      <c r="BR40" s="2642"/>
      <c r="BS40" s="2641"/>
      <c r="BT40" s="2642"/>
      <c r="BU40" s="2786"/>
    </row>
    <row r="41" spans="1:73" ht="15.75" x14ac:dyDescent="0.25">
      <c r="A41" s="2833"/>
      <c r="B41" s="2758"/>
      <c r="C41" s="474">
        <v>33</v>
      </c>
      <c r="D41" s="2656" t="s">
        <v>473</v>
      </c>
      <c r="E41" s="2656"/>
      <c r="F41" s="2656"/>
      <c r="G41" s="2656"/>
      <c r="H41" s="2656"/>
      <c r="I41" s="2656"/>
      <c r="J41" s="2656"/>
      <c r="K41" s="2656"/>
      <c r="L41" s="2656"/>
      <c r="M41" s="2656"/>
      <c r="N41" s="2656"/>
      <c r="O41" s="477"/>
      <c r="P41" s="477"/>
      <c r="Q41" s="477"/>
      <c r="R41" s="478"/>
      <c r="S41" s="487"/>
      <c r="T41" s="500"/>
      <c r="U41" s="478"/>
      <c r="V41" s="478"/>
      <c r="W41" s="506"/>
      <c r="X41" s="483"/>
      <c r="Y41" s="483"/>
      <c r="Z41" s="483"/>
      <c r="AA41" s="484"/>
      <c r="AB41" s="485"/>
      <c r="AC41" s="478"/>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501"/>
      <c r="BL41" s="501"/>
      <c r="BM41" s="479"/>
      <c r="BN41" s="477"/>
      <c r="BO41" s="478"/>
      <c r="BP41" s="478"/>
      <c r="BQ41" s="489"/>
      <c r="BR41" s="489"/>
      <c r="BS41" s="489"/>
      <c r="BT41" s="489"/>
      <c r="BU41" s="507"/>
    </row>
    <row r="42" spans="1:73" s="2" customFormat="1" ht="15.75" x14ac:dyDescent="0.25">
      <c r="A42" s="2833"/>
      <c r="B42" s="2758"/>
      <c r="C42" s="2813"/>
      <c r="D42" s="2816"/>
      <c r="E42" s="188">
        <v>3301</v>
      </c>
      <c r="F42" s="2657" t="s">
        <v>474</v>
      </c>
      <c r="G42" s="2657"/>
      <c r="H42" s="2657"/>
      <c r="I42" s="2657"/>
      <c r="J42" s="2657"/>
      <c r="K42" s="2657"/>
      <c r="L42" s="2657"/>
      <c r="M42" s="2657"/>
      <c r="N42" s="323"/>
      <c r="O42" s="188"/>
      <c r="P42" s="188"/>
      <c r="Q42" s="188"/>
      <c r="R42" s="323"/>
      <c r="S42" s="186"/>
      <c r="T42" s="322"/>
      <c r="U42" s="323"/>
      <c r="V42" s="323"/>
      <c r="W42" s="323"/>
      <c r="X42" s="490"/>
      <c r="Y42" s="490"/>
      <c r="Z42" s="490"/>
      <c r="AA42" s="57"/>
      <c r="AB42" s="192"/>
      <c r="AC42" s="323"/>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491"/>
      <c r="BL42" s="491"/>
      <c r="BM42" s="492"/>
      <c r="BN42" s="188"/>
      <c r="BO42" s="323"/>
      <c r="BP42" s="323"/>
      <c r="BQ42" s="188"/>
      <c r="BR42" s="188"/>
      <c r="BS42" s="188"/>
      <c r="BT42" s="188"/>
      <c r="BU42" s="323"/>
    </row>
    <row r="43" spans="1:73" ht="135" customHeight="1" x14ac:dyDescent="0.25">
      <c r="A43" s="2833"/>
      <c r="B43" s="2758"/>
      <c r="C43" s="2405"/>
      <c r="D43" s="2817"/>
      <c r="E43" s="2689"/>
      <c r="F43" s="2819"/>
      <c r="G43" s="2822" t="s">
        <v>475</v>
      </c>
      <c r="H43" s="2823" t="s">
        <v>476</v>
      </c>
      <c r="I43" s="2822" t="s">
        <v>475</v>
      </c>
      <c r="J43" s="2824" t="s">
        <v>476</v>
      </c>
      <c r="K43" s="2646" t="s">
        <v>477</v>
      </c>
      <c r="L43" s="2649" t="s">
        <v>478</v>
      </c>
      <c r="M43" s="2646" t="s">
        <v>477</v>
      </c>
      <c r="N43" s="2649" t="s">
        <v>478</v>
      </c>
      <c r="O43" s="2392">
        <v>2</v>
      </c>
      <c r="P43" s="2392">
        <v>0</v>
      </c>
      <c r="Q43" s="2392" t="s">
        <v>479</v>
      </c>
      <c r="R43" s="2428" t="s">
        <v>480</v>
      </c>
      <c r="S43" s="2389">
        <f>SUM(X43:X49)/T43</f>
        <v>1</v>
      </c>
      <c r="T43" s="2747">
        <f>SUM(X43:X49)</f>
        <v>90000000</v>
      </c>
      <c r="U43" s="2428" t="s">
        <v>481</v>
      </c>
      <c r="V43" s="2764" t="s">
        <v>482</v>
      </c>
      <c r="W43" s="252" t="s">
        <v>483</v>
      </c>
      <c r="X43" s="82">
        <v>10000000</v>
      </c>
      <c r="Y43" s="82">
        <v>7200000</v>
      </c>
      <c r="Z43" s="82">
        <v>2550000</v>
      </c>
      <c r="AA43" s="468" t="s">
        <v>484</v>
      </c>
      <c r="AB43" s="2704" t="s">
        <v>438</v>
      </c>
      <c r="AC43" s="2392" t="s">
        <v>439</v>
      </c>
      <c r="AD43" s="2297">
        <v>295972</v>
      </c>
      <c r="AE43" s="2297"/>
      <c r="AF43" s="2297">
        <v>285580</v>
      </c>
      <c r="AG43" s="2297"/>
      <c r="AH43" s="2297">
        <v>135545</v>
      </c>
      <c r="AI43" s="2297"/>
      <c r="AJ43" s="2297">
        <v>44254</v>
      </c>
      <c r="AK43" s="2297"/>
      <c r="AL43" s="2297">
        <v>309146</v>
      </c>
      <c r="AM43" s="2297"/>
      <c r="AN43" s="2297">
        <v>92607</v>
      </c>
      <c r="AO43" s="2297"/>
      <c r="AP43" s="2297">
        <v>2145</v>
      </c>
      <c r="AQ43" s="2297"/>
      <c r="AR43" s="2297">
        <v>12718</v>
      </c>
      <c r="AS43" s="2297"/>
      <c r="AT43" s="2297">
        <v>26</v>
      </c>
      <c r="AU43" s="2297"/>
      <c r="AV43" s="2297">
        <v>37</v>
      </c>
      <c r="AW43" s="2297"/>
      <c r="AX43" s="2297">
        <v>0</v>
      </c>
      <c r="AY43" s="2297"/>
      <c r="AZ43" s="2297">
        <v>0</v>
      </c>
      <c r="BA43" s="2297"/>
      <c r="BB43" s="2297">
        <v>44350</v>
      </c>
      <c r="BC43" s="2297"/>
      <c r="BD43" s="2297">
        <v>21944</v>
      </c>
      <c r="BE43" s="2297"/>
      <c r="BF43" s="2297">
        <v>75687</v>
      </c>
      <c r="BG43" s="2297"/>
      <c r="BH43" s="2297">
        <v>581552</v>
      </c>
      <c r="BI43" s="2297"/>
      <c r="BJ43" s="2392">
        <v>8</v>
      </c>
      <c r="BK43" s="2693">
        <f>SUM(Y43:Y49)</f>
        <v>9700000</v>
      </c>
      <c r="BL43" s="2693">
        <f>SUM(Z43:Z49)</f>
        <v>2550000</v>
      </c>
      <c r="BM43" s="2696">
        <f>+BL43/BK43</f>
        <v>0.26288659793814434</v>
      </c>
      <c r="BN43" s="2704" t="s">
        <v>438</v>
      </c>
      <c r="BO43" s="2428" t="s">
        <v>439</v>
      </c>
      <c r="BP43" s="2718" t="s">
        <v>422</v>
      </c>
      <c r="BQ43" s="2683">
        <v>44197</v>
      </c>
      <c r="BR43" s="2686">
        <v>44242</v>
      </c>
      <c r="BS43" s="2683">
        <v>44561</v>
      </c>
      <c r="BT43" s="2686">
        <v>44483</v>
      </c>
      <c r="BU43" s="2771" t="s">
        <v>423</v>
      </c>
    </row>
    <row r="44" spans="1:73" ht="60" x14ac:dyDescent="0.25">
      <c r="A44" s="2833"/>
      <c r="B44" s="2758"/>
      <c r="C44" s="2405"/>
      <c r="D44" s="2817"/>
      <c r="E44" s="2715"/>
      <c r="F44" s="2820"/>
      <c r="G44" s="2822"/>
      <c r="H44" s="2823"/>
      <c r="I44" s="2822"/>
      <c r="J44" s="2825"/>
      <c r="K44" s="2647"/>
      <c r="L44" s="2650"/>
      <c r="M44" s="2647"/>
      <c r="N44" s="2650"/>
      <c r="O44" s="2387"/>
      <c r="P44" s="2387"/>
      <c r="Q44" s="2387"/>
      <c r="R44" s="2429"/>
      <c r="S44" s="2390"/>
      <c r="T44" s="2748"/>
      <c r="U44" s="2429"/>
      <c r="V44" s="2765"/>
      <c r="W44" s="511" t="s">
        <v>485</v>
      </c>
      <c r="X44" s="82">
        <v>10000000</v>
      </c>
      <c r="Y44" s="82">
        <v>2500000</v>
      </c>
      <c r="Z44" s="82">
        <v>0</v>
      </c>
      <c r="AA44" s="468" t="s">
        <v>484</v>
      </c>
      <c r="AB44" s="2705"/>
      <c r="AC44" s="2387"/>
      <c r="AD44" s="2448"/>
      <c r="AE44" s="2448"/>
      <c r="AF44" s="2448"/>
      <c r="AG44" s="2448"/>
      <c r="AH44" s="2448"/>
      <c r="AI44" s="2448"/>
      <c r="AJ44" s="2448"/>
      <c r="AK44" s="2448"/>
      <c r="AL44" s="2448"/>
      <c r="AM44" s="2448"/>
      <c r="AN44" s="2448"/>
      <c r="AO44" s="2448"/>
      <c r="AP44" s="2448"/>
      <c r="AQ44" s="2448"/>
      <c r="AR44" s="2448"/>
      <c r="AS44" s="2448"/>
      <c r="AT44" s="2448"/>
      <c r="AU44" s="2448"/>
      <c r="AV44" s="2448"/>
      <c r="AW44" s="2448"/>
      <c r="AX44" s="2448"/>
      <c r="AY44" s="2448"/>
      <c r="AZ44" s="2448"/>
      <c r="BA44" s="2448"/>
      <c r="BB44" s="2448"/>
      <c r="BC44" s="2448"/>
      <c r="BD44" s="2448"/>
      <c r="BE44" s="2448"/>
      <c r="BF44" s="2448"/>
      <c r="BG44" s="2448"/>
      <c r="BH44" s="2448"/>
      <c r="BI44" s="2448"/>
      <c r="BJ44" s="2387"/>
      <c r="BK44" s="2694"/>
      <c r="BL44" s="2694"/>
      <c r="BM44" s="2697"/>
      <c r="BN44" s="2705"/>
      <c r="BO44" s="2429"/>
      <c r="BP44" s="2783"/>
      <c r="BQ44" s="2684"/>
      <c r="BR44" s="2687"/>
      <c r="BS44" s="2684"/>
      <c r="BT44" s="2687"/>
      <c r="BU44" s="2772"/>
    </row>
    <row r="45" spans="1:73" ht="60" customHeight="1" x14ac:dyDescent="0.25">
      <c r="A45" s="2833"/>
      <c r="B45" s="2758"/>
      <c r="C45" s="2405"/>
      <c r="D45" s="2817"/>
      <c r="E45" s="2715"/>
      <c r="F45" s="2820"/>
      <c r="G45" s="2822"/>
      <c r="H45" s="2823"/>
      <c r="I45" s="2822"/>
      <c r="J45" s="2825"/>
      <c r="K45" s="2647"/>
      <c r="L45" s="2650"/>
      <c r="M45" s="2647"/>
      <c r="N45" s="2650"/>
      <c r="O45" s="2387"/>
      <c r="P45" s="2387"/>
      <c r="Q45" s="2387"/>
      <c r="R45" s="2429"/>
      <c r="S45" s="2390"/>
      <c r="T45" s="2748"/>
      <c r="U45" s="2429"/>
      <c r="V45" s="2765"/>
      <c r="W45" s="2478" t="s">
        <v>486</v>
      </c>
      <c r="X45" s="82">
        <v>3000000</v>
      </c>
      <c r="Y45" s="82">
        <v>0</v>
      </c>
      <c r="Z45" s="82">
        <v>0</v>
      </c>
      <c r="AA45" s="468" t="s">
        <v>487</v>
      </c>
      <c r="AB45" s="2705"/>
      <c r="AC45" s="2387"/>
      <c r="AD45" s="2448"/>
      <c r="AE45" s="2448"/>
      <c r="AF45" s="2448"/>
      <c r="AG45" s="2448"/>
      <c r="AH45" s="2448"/>
      <c r="AI45" s="2448"/>
      <c r="AJ45" s="2448"/>
      <c r="AK45" s="2448"/>
      <c r="AL45" s="2448"/>
      <c r="AM45" s="2448"/>
      <c r="AN45" s="2448"/>
      <c r="AO45" s="2448"/>
      <c r="AP45" s="2448"/>
      <c r="AQ45" s="2448"/>
      <c r="AR45" s="2448"/>
      <c r="AS45" s="2448"/>
      <c r="AT45" s="2448"/>
      <c r="AU45" s="2448"/>
      <c r="AV45" s="2448"/>
      <c r="AW45" s="2448"/>
      <c r="AX45" s="2448"/>
      <c r="AY45" s="2448"/>
      <c r="AZ45" s="2448"/>
      <c r="BA45" s="2448"/>
      <c r="BB45" s="2448"/>
      <c r="BC45" s="2448"/>
      <c r="BD45" s="2448"/>
      <c r="BE45" s="2448"/>
      <c r="BF45" s="2448"/>
      <c r="BG45" s="2448"/>
      <c r="BH45" s="2448"/>
      <c r="BI45" s="2448"/>
      <c r="BJ45" s="2387"/>
      <c r="BK45" s="2694"/>
      <c r="BL45" s="2694"/>
      <c r="BM45" s="2697"/>
      <c r="BN45" s="2705"/>
      <c r="BO45" s="2429"/>
      <c r="BP45" s="2783"/>
      <c r="BQ45" s="2684"/>
      <c r="BR45" s="2687"/>
      <c r="BS45" s="2684"/>
      <c r="BT45" s="2687"/>
      <c r="BU45" s="2772"/>
    </row>
    <row r="46" spans="1:73" ht="30.75" customHeight="1" x14ac:dyDescent="0.25">
      <c r="A46" s="2833"/>
      <c r="B46" s="2758"/>
      <c r="C46" s="2405"/>
      <c r="D46" s="2817"/>
      <c r="E46" s="2715"/>
      <c r="F46" s="2820"/>
      <c r="G46" s="2822"/>
      <c r="H46" s="2823"/>
      <c r="I46" s="2822"/>
      <c r="J46" s="2825"/>
      <c r="K46" s="2647"/>
      <c r="L46" s="2650"/>
      <c r="M46" s="2647"/>
      <c r="N46" s="2650"/>
      <c r="O46" s="2387"/>
      <c r="P46" s="2387"/>
      <c r="Q46" s="2387"/>
      <c r="R46" s="2429"/>
      <c r="S46" s="2390"/>
      <c r="T46" s="2748"/>
      <c r="U46" s="2429"/>
      <c r="V46" s="2765"/>
      <c r="W46" s="2426"/>
      <c r="X46" s="82">
        <v>5000000</v>
      </c>
      <c r="Y46" s="82"/>
      <c r="Z46" s="82"/>
      <c r="AA46" s="468" t="s">
        <v>488</v>
      </c>
      <c r="AB46" s="2705"/>
      <c r="AC46" s="2387"/>
      <c r="AD46" s="2448"/>
      <c r="AE46" s="2448"/>
      <c r="AF46" s="2448"/>
      <c r="AG46" s="2448"/>
      <c r="AH46" s="2448"/>
      <c r="AI46" s="2448"/>
      <c r="AJ46" s="2448"/>
      <c r="AK46" s="2448"/>
      <c r="AL46" s="2448"/>
      <c r="AM46" s="2448"/>
      <c r="AN46" s="2448"/>
      <c r="AO46" s="2448"/>
      <c r="AP46" s="2448"/>
      <c r="AQ46" s="2448"/>
      <c r="AR46" s="2448"/>
      <c r="AS46" s="2448"/>
      <c r="AT46" s="2448"/>
      <c r="AU46" s="2448"/>
      <c r="AV46" s="2448"/>
      <c r="AW46" s="2448"/>
      <c r="AX46" s="2448"/>
      <c r="AY46" s="2448"/>
      <c r="AZ46" s="2448"/>
      <c r="BA46" s="2448"/>
      <c r="BB46" s="2448"/>
      <c r="BC46" s="2448"/>
      <c r="BD46" s="2448"/>
      <c r="BE46" s="2448"/>
      <c r="BF46" s="2448"/>
      <c r="BG46" s="2448"/>
      <c r="BH46" s="2448"/>
      <c r="BI46" s="2448"/>
      <c r="BJ46" s="2387"/>
      <c r="BK46" s="2694"/>
      <c r="BL46" s="2694"/>
      <c r="BM46" s="2697"/>
      <c r="BN46" s="2705"/>
      <c r="BO46" s="2429"/>
      <c r="BP46" s="2783"/>
      <c r="BQ46" s="2684"/>
      <c r="BR46" s="2687"/>
      <c r="BS46" s="2684"/>
      <c r="BT46" s="2687"/>
      <c r="BU46" s="2772"/>
    </row>
    <row r="47" spans="1:73" ht="29.25" customHeight="1" x14ac:dyDescent="0.25">
      <c r="A47" s="2833"/>
      <c r="B47" s="2758"/>
      <c r="C47" s="2405"/>
      <c r="D47" s="2817"/>
      <c r="E47" s="2715"/>
      <c r="F47" s="2820"/>
      <c r="G47" s="2822"/>
      <c r="H47" s="2823"/>
      <c r="I47" s="2822"/>
      <c r="J47" s="2825"/>
      <c r="K47" s="2647"/>
      <c r="L47" s="2650"/>
      <c r="M47" s="2647"/>
      <c r="N47" s="2650"/>
      <c r="O47" s="2387"/>
      <c r="P47" s="2387"/>
      <c r="Q47" s="2387"/>
      <c r="R47" s="2429"/>
      <c r="S47" s="2390"/>
      <c r="T47" s="2748"/>
      <c r="U47" s="2429"/>
      <c r="V47" s="2765"/>
      <c r="W47" s="2426"/>
      <c r="X47" s="82">
        <v>1500000</v>
      </c>
      <c r="Y47" s="82"/>
      <c r="Z47" s="82"/>
      <c r="AA47" s="468" t="s">
        <v>489</v>
      </c>
      <c r="AB47" s="2705"/>
      <c r="AC47" s="2387"/>
      <c r="AD47" s="2448"/>
      <c r="AE47" s="2448"/>
      <c r="AF47" s="2448"/>
      <c r="AG47" s="2448"/>
      <c r="AH47" s="2448"/>
      <c r="AI47" s="2448"/>
      <c r="AJ47" s="2448"/>
      <c r="AK47" s="2448"/>
      <c r="AL47" s="2448"/>
      <c r="AM47" s="2448"/>
      <c r="AN47" s="2448"/>
      <c r="AO47" s="2448"/>
      <c r="AP47" s="2448"/>
      <c r="AQ47" s="2448"/>
      <c r="AR47" s="2448"/>
      <c r="AS47" s="2448"/>
      <c r="AT47" s="2448"/>
      <c r="AU47" s="2448"/>
      <c r="AV47" s="2448"/>
      <c r="AW47" s="2448"/>
      <c r="AX47" s="2448"/>
      <c r="AY47" s="2448"/>
      <c r="AZ47" s="2448"/>
      <c r="BA47" s="2448"/>
      <c r="BB47" s="2448"/>
      <c r="BC47" s="2448"/>
      <c r="BD47" s="2448"/>
      <c r="BE47" s="2448"/>
      <c r="BF47" s="2448"/>
      <c r="BG47" s="2448"/>
      <c r="BH47" s="2448"/>
      <c r="BI47" s="2448"/>
      <c r="BJ47" s="2387"/>
      <c r="BK47" s="2694"/>
      <c r="BL47" s="2694"/>
      <c r="BM47" s="2697"/>
      <c r="BN47" s="2705"/>
      <c r="BO47" s="2429"/>
      <c r="BP47" s="2783"/>
      <c r="BQ47" s="2684"/>
      <c r="BR47" s="2687"/>
      <c r="BS47" s="2684"/>
      <c r="BT47" s="2687"/>
      <c r="BU47" s="2772"/>
    </row>
    <row r="48" spans="1:73" ht="30" customHeight="1" x14ac:dyDescent="0.25">
      <c r="A48" s="2833"/>
      <c r="B48" s="2758"/>
      <c r="C48" s="2405"/>
      <c r="D48" s="2817"/>
      <c r="E48" s="2715"/>
      <c r="F48" s="2820"/>
      <c r="G48" s="2822"/>
      <c r="H48" s="2823"/>
      <c r="I48" s="2822"/>
      <c r="J48" s="2825"/>
      <c r="K48" s="2647"/>
      <c r="L48" s="2650"/>
      <c r="M48" s="2647"/>
      <c r="N48" s="2650"/>
      <c r="O48" s="2387"/>
      <c r="P48" s="2387"/>
      <c r="Q48" s="2387"/>
      <c r="R48" s="2429"/>
      <c r="S48" s="2390"/>
      <c r="T48" s="2748"/>
      <c r="U48" s="2429"/>
      <c r="V48" s="2765"/>
      <c r="W48" s="2427"/>
      <c r="X48" s="82">
        <v>500000</v>
      </c>
      <c r="Y48" s="82"/>
      <c r="Z48" s="82"/>
      <c r="AA48" s="468" t="s">
        <v>490</v>
      </c>
      <c r="AB48" s="2705"/>
      <c r="AC48" s="2387"/>
      <c r="AD48" s="2448"/>
      <c r="AE48" s="2448"/>
      <c r="AF48" s="2448"/>
      <c r="AG48" s="2448"/>
      <c r="AH48" s="2448"/>
      <c r="AI48" s="2448"/>
      <c r="AJ48" s="2448"/>
      <c r="AK48" s="2448"/>
      <c r="AL48" s="2448"/>
      <c r="AM48" s="2448"/>
      <c r="AN48" s="2448"/>
      <c r="AO48" s="2448"/>
      <c r="AP48" s="2448"/>
      <c r="AQ48" s="2448"/>
      <c r="AR48" s="2448"/>
      <c r="AS48" s="2448"/>
      <c r="AT48" s="2448"/>
      <c r="AU48" s="2448"/>
      <c r="AV48" s="2448"/>
      <c r="AW48" s="2448"/>
      <c r="AX48" s="2448"/>
      <c r="AY48" s="2448"/>
      <c r="AZ48" s="2448"/>
      <c r="BA48" s="2448"/>
      <c r="BB48" s="2448"/>
      <c r="BC48" s="2448"/>
      <c r="BD48" s="2448"/>
      <c r="BE48" s="2448"/>
      <c r="BF48" s="2448"/>
      <c r="BG48" s="2448"/>
      <c r="BH48" s="2448"/>
      <c r="BI48" s="2448"/>
      <c r="BJ48" s="2387"/>
      <c r="BK48" s="2694"/>
      <c r="BL48" s="2694"/>
      <c r="BM48" s="2697"/>
      <c r="BN48" s="2705"/>
      <c r="BO48" s="2429"/>
      <c r="BP48" s="2783"/>
      <c r="BQ48" s="2684"/>
      <c r="BR48" s="2687"/>
      <c r="BS48" s="2684"/>
      <c r="BT48" s="2687"/>
      <c r="BU48" s="2772"/>
    </row>
    <row r="49" spans="1:73" ht="75" x14ac:dyDescent="0.25">
      <c r="A49" s="2833"/>
      <c r="B49" s="2758"/>
      <c r="C49" s="2406"/>
      <c r="D49" s="2818"/>
      <c r="E49" s="2690"/>
      <c r="F49" s="2821"/>
      <c r="G49" s="2822"/>
      <c r="H49" s="2823"/>
      <c r="I49" s="2822"/>
      <c r="J49" s="2826"/>
      <c r="K49" s="2648"/>
      <c r="L49" s="2651"/>
      <c r="M49" s="2648"/>
      <c r="N49" s="2651"/>
      <c r="O49" s="2388"/>
      <c r="P49" s="2388"/>
      <c r="Q49" s="2388"/>
      <c r="R49" s="2430"/>
      <c r="S49" s="2391"/>
      <c r="T49" s="2749"/>
      <c r="U49" s="2430"/>
      <c r="V49" s="2766"/>
      <c r="W49" s="338" t="s">
        <v>491</v>
      </c>
      <c r="X49" s="82">
        <v>60000000</v>
      </c>
      <c r="Y49" s="82"/>
      <c r="Z49" s="82"/>
      <c r="AA49" s="468" t="s">
        <v>492</v>
      </c>
      <c r="AB49" s="2706"/>
      <c r="AC49" s="2388"/>
      <c r="AD49" s="2449"/>
      <c r="AE49" s="2449"/>
      <c r="AF49" s="2449"/>
      <c r="AG49" s="2449"/>
      <c r="AH49" s="2449"/>
      <c r="AI49" s="2449"/>
      <c r="AJ49" s="2449"/>
      <c r="AK49" s="2449"/>
      <c r="AL49" s="2449"/>
      <c r="AM49" s="2449"/>
      <c r="AN49" s="2449"/>
      <c r="AO49" s="2449"/>
      <c r="AP49" s="2449"/>
      <c r="AQ49" s="2449"/>
      <c r="AR49" s="2449"/>
      <c r="AS49" s="2449"/>
      <c r="AT49" s="2449"/>
      <c r="AU49" s="2449"/>
      <c r="AV49" s="2449"/>
      <c r="AW49" s="2449"/>
      <c r="AX49" s="2449"/>
      <c r="AY49" s="2449"/>
      <c r="AZ49" s="2449"/>
      <c r="BA49" s="2449"/>
      <c r="BB49" s="2449"/>
      <c r="BC49" s="2449"/>
      <c r="BD49" s="2449"/>
      <c r="BE49" s="2449"/>
      <c r="BF49" s="2449"/>
      <c r="BG49" s="2449"/>
      <c r="BH49" s="2449"/>
      <c r="BI49" s="2449"/>
      <c r="BJ49" s="2388"/>
      <c r="BK49" s="2695"/>
      <c r="BL49" s="2695"/>
      <c r="BM49" s="2698"/>
      <c r="BN49" s="2706"/>
      <c r="BO49" s="2430"/>
      <c r="BP49" s="2719"/>
      <c r="BQ49" s="2685"/>
      <c r="BR49" s="2688"/>
      <c r="BS49" s="2685"/>
      <c r="BT49" s="2688"/>
      <c r="BU49" s="2773"/>
    </row>
    <row r="50" spans="1:73" ht="15.75" x14ac:dyDescent="0.25">
      <c r="A50" s="2833"/>
      <c r="B50" s="2758"/>
      <c r="C50" s="474">
        <v>43</v>
      </c>
      <c r="D50" s="2774" t="s">
        <v>493</v>
      </c>
      <c r="E50" s="2775"/>
      <c r="F50" s="2775"/>
      <c r="G50" s="2775"/>
      <c r="H50" s="2775"/>
      <c r="I50" s="2775"/>
      <c r="J50" s="2775"/>
      <c r="K50" s="2776"/>
      <c r="L50" s="476"/>
      <c r="M50" s="475"/>
      <c r="N50" s="476"/>
      <c r="O50" s="477"/>
      <c r="P50" s="477"/>
      <c r="Q50" s="477"/>
      <c r="R50" s="478"/>
      <c r="S50" s="487"/>
      <c r="T50" s="500"/>
      <c r="U50" s="478"/>
      <c r="V50" s="478"/>
      <c r="W50" s="506"/>
      <c r="X50" s="483"/>
      <c r="Y50" s="483"/>
      <c r="Z50" s="483"/>
      <c r="AA50" s="484"/>
      <c r="AB50" s="485"/>
      <c r="AC50" s="478"/>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501"/>
      <c r="BL50" s="501"/>
      <c r="BM50" s="479"/>
      <c r="BN50" s="477"/>
      <c r="BO50" s="478"/>
      <c r="BP50" s="478"/>
      <c r="BQ50" s="489"/>
      <c r="BR50" s="489"/>
      <c r="BS50" s="489"/>
      <c r="BT50" s="489"/>
      <c r="BU50" s="481"/>
    </row>
    <row r="51" spans="1:73" s="2" customFormat="1" ht="15.75" x14ac:dyDescent="0.25">
      <c r="A51" s="2833"/>
      <c r="B51" s="2758"/>
      <c r="C51" s="2813"/>
      <c r="D51" s="2814"/>
      <c r="E51" s="188">
        <v>4301</v>
      </c>
      <c r="F51" s="181" t="s">
        <v>494</v>
      </c>
      <c r="G51" s="181"/>
      <c r="H51" s="323"/>
      <c r="I51" s="181"/>
      <c r="J51" s="323"/>
      <c r="K51" s="181"/>
      <c r="L51" s="323"/>
      <c r="M51" s="188"/>
      <c r="N51" s="323"/>
      <c r="O51" s="188"/>
      <c r="P51" s="188"/>
      <c r="Q51" s="188"/>
      <c r="R51" s="323"/>
      <c r="S51" s="186"/>
      <c r="T51" s="322"/>
      <c r="U51" s="323"/>
      <c r="V51" s="323"/>
      <c r="W51" s="323"/>
      <c r="X51" s="490"/>
      <c r="Y51" s="490"/>
      <c r="Z51" s="490"/>
      <c r="AA51" s="57"/>
      <c r="AB51" s="192"/>
      <c r="AC51" s="323"/>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491"/>
      <c r="BL51" s="491"/>
      <c r="BM51" s="492"/>
      <c r="BN51" s="188"/>
      <c r="BO51" s="323"/>
      <c r="BP51" s="323"/>
      <c r="BQ51" s="188"/>
      <c r="BR51" s="188"/>
      <c r="BS51" s="188"/>
      <c r="BT51" s="188"/>
      <c r="BU51" s="323"/>
    </row>
    <row r="52" spans="1:73" ht="36.75" customHeight="1" x14ac:dyDescent="0.25">
      <c r="A52" s="2833"/>
      <c r="B52" s="2758"/>
      <c r="C52" s="2405"/>
      <c r="D52" s="2263"/>
      <c r="E52" s="2813"/>
      <c r="F52" s="2814"/>
      <c r="G52" s="2777" t="s">
        <v>74</v>
      </c>
      <c r="H52" s="2671" t="s">
        <v>495</v>
      </c>
      <c r="I52" s="2777">
        <v>4301004</v>
      </c>
      <c r="J52" s="2671" t="s">
        <v>496</v>
      </c>
      <c r="K52" s="2780"/>
      <c r="L52" s="2671" t="s">
        <v>497</v>
      </c>
      <c r="M52" s="2777">
        <v>430100401</v>
      </c>
      <c r="N52" s="2671" t="s">
        <v>498</v>
      </c>
      <c r="O52" s="2392">
        <v>3</v>
      </c>
      <c r="P52" s="2392">
        <v>0</v>
      </c>
      <c r="Q52" s="2392" t="s">
        <v>499</v>
      </c>
      <c r="R52" s="2428" t="s">
        <v>500</v>
      </c>
      <c r="S52" s="2492">
        <f>SUM(X52:X73)/T52</f>
        <v>1</v>
      </c>
      <c r="T52" s="2747">
        <f>SUM(X52:X73)</f>
        <v>2885783074.3600001</v>
      </c>
      <c r="U52" s="2428" t="s">
        <v>501</v>
      </c>
      <c r="V52" s="2764" t="s">
        <v>502</v>
      </c>
      <c r="W52" s="2767" t="s">
        <v>468</v>
      </c>
      <c r="X52" s="72">
        <f>1096073375-1096073375</f>
        <v>0</v>
      </c>
      <c r="Y52" s="467">
        <v>0</v>
      </c>
      <c r="Z52" s="467">
        <v>0</v>
      </c>
      <c r="AA52" s="468" t="s">
        <v>503</v>
      </c>
      <c r="AB52" s="2768" t="s">
        <v>504</v>
      </c>
      <c r="AC52" s="2297" t="s">
        <v>505</v>
      </c>
      <c r="AD52" s="2297">
        <v>295972</v>
      </c>
      <c r="AE52" s="2297"/>
      <c r="AF52" s="2297">
        <v>285580</v>
      </c>
      <c r="AG52" s="2297"/>
      <c r="AH52" s="2297">
        <v>135545</v>
      </c>
      <c r="AI52" s="2297"/>
      <c r="AJ52" s="2297">
        <v>44254</v>
      </c>
      <c r="AK52" s="2297"/>
      <c r="AL52" s="2297">
        <v>309146</v>
      </c>
      <c r="AM52" s="2297"/>
      <c r="AN52" s="2297">
        <v>92607</v>
      </c>
      <c r="AO52" s="2297"/>
      <c r="AP52" s="2297">
        <v>2145</v>
      </c>
      <c r="AQ52" s="2297"/>
      <c r="AR52" s="2297">
        <v>12718</v>
      </c>
      <c r="AS52" s="2297"/>
      <c r="AT52" s="2297">
        <v>26</v>
      </c>
      <c r="AU52" s="2297"/>
      <c r="AV52" s="2297">
        <v>37</v>
      </c>
      <c r="AW52" s="2297"/>
      <c r="AX52" s="2297">
        <v>0</v>
      </c>
      <c r="AY52" s="2297"/>
      <c r="AZ52" s="2297">
        <v>0</v>
      </c>
      <c r="BA52" s="2297"/>
      <c r="BB52" s="2297">
        <v>44350</v>
      </c>
      <c r="BC52" s="2297"/>
      <c r="BD52" s="2297">
        <v>21944</v>
      </c>
      <c r="BE52" s="2297"/>
      <c r="BF52" s="2297">
        <v>75687</v>
      </c>
      <c r="BG52" s="2297"/>
      <c r="BH52" s="2297">
        <v>581552</v>
      </c>
      <c r="BI52" s="2297"/>
      <c r="BJ52" s="2392">
        <v>44</v>
      </c>
      <c r="BK52" s="2693">
        <f>SUM(Y52:Y73)</f>
        <v>423466820</v>
      </c>
      <c r="BL52" s="2693">
        <f>SUM(Z52:Z73)</f>
        <v>141050000</v>
      </c>
      <c r="BM52" s="2696">
        <f>+BL52/BK52</f>
        <v>0.33308394740348252</v>
      </c>
      <c r="BN52" s="2761" t="s">
        <v>504</v>
      </c>
      <c r="BO52" s="2295" t="s">
        <v>506</v>
      </c>
      <c r="BP52" s="2295" t="s">
        <v>422</v>
      </c>
      <c r="BQ52" s="2683">
        <v>44197</v>
      </c>
      <c r="BR52" s="2686">
        <v>44228</v>
      </c>
      <c r="BS52" s="2683">
        <v>44561</v>
      </c>
      <c r="BT52" s="2686">
        <v>44477</v>
      </c>
      <c r="BU52" s="2643" t="s">
        <v>423</v>
      </c>
    </row>
    <row r="53" spans="1:73" ht="34.5" customHeight="1" x14ac:dyDescent="0.25">
      <c r="A53" s="2833"/>
      <c r="B53" s="2758"/>
      <c r="C53" s="2405"/>
      <c r="D53" s="2263"/>
      <c r="E53" s="2405"/>
      <c r="F53" s="2263"/>
      <c r="G53" s="2778"/>
      <c r="H53" s="2672"/>
      <c r="I53" s="2778"/>
      <c r="J53" s="2672"/>
      <c r="K53" s="2781"/>
      <c r="L53" s="2672"/>
      <c r="M53" s="2778"/>
      <c r="N53" s="2672"/>
      <c r="O53" s="2387"/>
      <c r="P53" s="2387"/>
      <c r="Q53" s="2387"/>
      <c r="R53" s="2429"/>
      <c r="S53" s="2707"/>
      <c r="T53" s="2748"/>
      <c r="U53" s="2429"/>
      <c r="V53" s="2765"/>
      <c r="W53" s="2767"/>
      <c r="X53" s="72">
        <v>60000000</v>
      </c>
      <c r="Y53" s="467">
        <v>58666664</v>
      </c>
      <c r="Z53" s="467">
        <v>0</v>
      </c>
      <c r="AA53" s="468" t="s">
        <v>507</v>
      </c>
      <c r="AB53" s="2769"/>
      <c r="AC53" s="2448"/>
      <c r="AD53" s="2448"/>
      <c r="AE53" s="2448"/>
      <c r="AF53" s="2448"/>
      <c r="AG53" s="2448"/>
      <c r="AH53" s="2448"/>
      <c r="AI53" s="2448"/>
      <c r="AJ53" s="2448"/>
      <c r="AK53" s="2448"/>
      <c r="AL53" s="2448"/>
      <c r="AM53" s="2448"/>
      <c r="AN53" s="2448"/>
      <c r="AO53" s="2448"/>
      <c r="AP53" s="2448"/>
      <c r="AQ53" s="2448"/>
      <c r="AR53" s="2448"/>
      <c r="AS53" s="2448"/>
      <c r="AT53" s="2448"/>
      <c r="AU53" s="2448"/>
      <c r="AV53" s="2448"/>
      <c r="AW53" s="2448"/>
      <c r="AX53" s="2448"/>
      <c r="AY53" s="2448"/>
      <c r="AZ53" s="2448"/>
      <c r="BA53" s="2448"/>
      <c r="BB53" s="2448"/>
      <c r="BC53" s="2448"/>
      <c r="BD53" s="2448"/>
      <c r="BE53" s="2448"/>
      <c r="BF53" s="2448"/>
      <c r="BG53" s="2448"/>
      <c r="BH53" s="2448"/>
      <c r="BI53" s="2448"/>
      <c r="BJ53" s="2387"/>
      <c r="BK53" s="2694"/>
      <c r="BL53" s="2694"/>
      <c r="BM53" s="2697"/>
      <c r="BN53" s="2762"/>
      <c r="BO53" s="2699"/>
      <c r="BP53" s="2699"/>
      <c r="BQ53" s="2684"/>
      <c r="BR53" s="2687"/>
      <c r="BS53" s="2684"/>
      <c r="BT53" s="2687"/>
      <c r="BU53" s="2644"/>
    </row>
    <row r="54" spans="1:73" ht="34.5" customHeight="1" x14ac:dyDescent="0.25">
      <c r="A54" s="2833"/>
      <c r="B54" s="2758"/>
      <c r="C54" s="2405"/>
      <c r="D54" s="2263"/>
      <c r="E54" s="2405"/>
      <c r="F54" s="2263"/>
      <c r="G54" s="2778"/>
      <c r="H54" s="2672"/>
      <c r="I54" s="2778"/>
      <c r="J54" s="2672"/>
      <c r="K54" s="2781"/>
      <c r="L54" s="2672"/>
      <c r="M54" s="2778"/>
      <c r="N54" s="2672"/>
      <c r="O54" s="2387"/>
      <c r="P54" s="2387"/>
      <c r="Q54" s="2387"/>
      <c r="R54" s="2429"/>
      <c r="S54" s="2707"/>
      <c r="T54" s="2748"/>
      <c r="U54" s="2429"/>
      <c r="V54" s="2765"/>
      <c r="W54" s="2425" t="s">
        <v>508</v>
      </c>
      <c r="X54" s="82">
        <f>300000000-300000000</f>
        <v>0</v>
      </c>
      <c r="Y54" s="467">
        <v>0</v>
      </c>
      <c r="Z54" s="467">
        <v>0</v>
      </c>
      <c r="AA54" s="468" t="s">
        <v>503</v>
      </c>
      <c r="AB54" s="2769"/>
      <c r="AC54" s="2448"/>
      <c r="AD54" s="2448"/>
      <c r="AE54" s="2448"/>
      <c r="AF54" s="2448"/>
      <c r="AG54" s="2448"/>
      <c r="AH54" s="2448"/>
      <c r="AI54" s="2448"/>
      <c r="AJ54" s="2448"/>
      <c r="AK54" s="2448"/>
      <c r="AL54" s="2448"/>
      <c r="AM54" s="2448"/>
      <c r="AN54" s="2448"/>
      <c r="AO54" s="2448"/>
      <c r="AP54" s="2448"/>
      <c r="AQ54" s="2448"/>
      <c r="AR54" s="2448"/>
      <c r="AS54" s="2448"/>
      <c r="AT54" s="2448"/>
      <c r="AU54" s="2448"/>
      <c r="AV54" s="2448"/>
      <c r="AW54" s="2448"/>
      <c r="AX54" s="2448"/>
      <c r="AY54" s="2448"/>
      <c r="AZ54" s="2448"/>
      <c r="BA54" s="2448"/>
      <c r="BB54" s="2448"/>
      <c r="BC54" s="2448"/>
      <c r="BD54" s="2448"/>
      <c r="BE54" s="2448"/>
      <c r="BF54" s="2448"/>
      <c r="BG54" s="2448"/>
      <c r="BH54" s="2448"/>
      <c r="BI54" s="2448"/>
      <c r="BJ54" s="2387"/>
      <c r="BK54" s="2694"/>
      <c r="BL54" s="2694"/>
      <c r="BM54" s="2697"/>
      <c r="BN54" s="2762"/>
      <c r="BO54" s="2699"/>
      <c r="BP54" s="2699"/>
      <c r="BQ54" s="2684"/>
      <c r="BR54" s="2687"/>
      <c r="BS54" s="2684"/>
      <c r="BT54" s="2687"/>
      <c r="BU54" s="2644"/>
    </row>
    <row r="55" spans="1:73" ht="38.25" customHeight="1" x14ac:dyDescent="0.25">
      <c r="A55" s="2833"/>
      <c r="B55" s="2758"/>
      <c r="C55" s="2405"/>
      <c r="D55" s="2263"/>
      <c r="E55" s="2405"/>
      <c r="F55" s="2263"/>
      <c r="G55" s="2778"/>
      <c r="H55" s="2672"/>
      <c r="I55" s="2778"/>
      <c r="J55" s="2672"/>
      <c r="K55" s="2781"/>
      <c r="L55" s="2672"/>
      <c r="M55" s="2778"/>
      <c r="N55" s="2672"/>
      <c r="O55" s="2387"/>
      <c r="P55" s="2387"/>
      <c r="Q55" s="2387"/>
      <c r="R55" s="2429"/>
      <c r="S55" s="2707"/>
      <c r="T55" s="2748"/>
      <c r="U55" s="2429"/>
      <c r="V55" s="2765"/>
      <c r="W55" s="2426"/>
      <c r="X55" s="82">
        <f>130000000-80000000</f>
        <v>50000000</v>
      </c>
      <c r="Y55" s="467">
        <v>0</v>
      </c>
      <c r="Z55" s="467">
        <v>0</v>
      </c>
      <c r="AA55" s="468" t="s">
        <v>509</v>
      </c>
      <c r="AB55" s="2769"/>
      <c r="AC55" s="2448"/>
      <c r="AD55" s="2448"/>
      <c r="AE55" s="2448"/>
      <c r="AF55" s="2448"/>
      <c r="AG55" s="2448"/>
      <c r="AH55" s="2448"/>
      <c r="AI55" s="2448"/>
      <c r="AJ55" s="2448"/>
      <c r="AK55" s="2448"/>
      <c r="AL55" s="2448"/>
      <c r="AM55" s="2448"/>
      <c r="AN55" s="2448"/>
      <c r="AO55" s="2448"/>
      <c r="AP55" s="2448"/>
      <c r="AQ55" s="2448"/>
      <c r="AR55" s="2448"/>
      <c r="AS55" s="2448"/>
      <c r="AT55" s="2448"/>
      <c r="AU55" s="2448"/>
      <c r="AV55" s="2448"/>
      <c r="AW55" s="2448"/>
      <c r="AX55" s="2448"/>
      <c r="AY55" s="2448"/>
      <c r="AZ55" s="2448"/>
      <c r="BA55" s="2448"/>
      <c r="BB55" s="2448"/>
      <c r="BC55" s="2448"/>
      <c r="BD55" s="2448"/>
      <c r="BE55" s="2448"/>
      <c r="BF55" s="2448"/>
      <c r="BG55" s="2448"/>
      <c r="BH55" s="2448"/>
      <c r="BI55" s="2448"/>
      <c r="BJ55" s="2387"/>
      <c r="BK55" s="2694"/>
      <c r="BL55" s="2694"/>
      <c r="BM55" s="2697"/>
      <c r="BN55" s="2762"/>
      <c r="BO55" s="2699"/>
      <c r="BP55" s="2699"/>
      <c r="BQ55" s="2684"/>
      <c r="BR55" s="2687"/>
      <c r="BS55" s="2684"/>
      <c r="BT55" s="2687"/>
      <c r="BU55" s="2644"/>
    </row>
    <row r="56" spans="1:73" ht="38.25" customHeight="1" x14ac:dyDescent="0.25">
      <c r="A56" s="2833"/>
      <c r="B56" s="2758"/>
      <c r="C56" s="2405"/>
      <c r="D56" s="2263"/>
      <c r="E56" s="2405"/>
      <c r="F56" s="2263"/>
      <c r="G56" s="2778"/>
      <c r="H56" s="2672"/>
      <c r="I56" s="2778"/>
      <c r="J56" s="2672"/>
      <c r="K56" s="2781"/>
      <c r="L56" s="2672"/>
      <c r="M56" s="2778"/>
      <c r="N56" s="2672"/>
      <c r="O56" s="2387"/>
      <c r="P56" s="2387"/>
      <c r="Q56" s="2387"/>
      <c r="R56" s="2429"/>
      <c r="S56" s="2707"/>
      <c r="T56" s="2748"/>
      <c r="U56" s="2429"/>
      <c r="V56" s="2765"/>
      <c r="W56" s="2426"/>
      <c r="X56" s="82">
        <v>20000000</v>
      </c>
      <c r="Y56" s="467"/>
      <c r="Z56" s="467"/>
      <c r="AA56" s="468" t="s">
        <v>510</v>
      </c>
      <c r="AB56" s="2769"/>
      <c r="AC56" s="2448"/>
      <c r="AD56" s="2448"/>
      <c r="AE56" s="2448"/>
      <c r="AF56" s="2448"/>
      <c r="AG56" s="2448"/>
      <c r="AH56" s="2448"/>
      <c r="AI56" s="2448"/>
      <c r="AJ56" s="2448"/>
      <c r="AK56" s="2448"/>
      <c r="AL56" s="2448"/>
      <c r="AM56" s="2448"/>
      <c r="AN56" s="2448"/>
      <c r="AO56" s="2448"/>
      <c r="AP56" s="2448"/>
      <c r="AQ56" s="2448"/>
      <c r="AR56" s="2448"/>
      <c r="AS56" s="2448"/>
      <c r="AT56" s="2448"/>
      <c r="AU56" s="2448"/>
      <c r="AV56" s="2448"/>
      <c r="AW56" s="2448"/>
      <c r="AX56" s="2448"/>
      <c r="AY56" s="2448"/>
      <c r="AZ56" s="2448"/>
      <c r="BA56" s="2448"/>
      <c r="BB56" s="2448"/>
      <c r="BC56" s="2448"/>
      <c r="BD56" s="2448"/>
      <c r="BE56" s="2448"/>
      <c r="BF56" s="2448"/>
      <c r="BG56" s="2448"/>
      <c r="BH56" s="2448"/>
      <c r="BI56" s="2448"/>
      <c r="BJ56" s="2387"/>
      <c r="BK56" s="2694"/>
      <c r="BL56" s="2694"/>
      <c r="BM56" s="2697"/>
      <c r="BN56" s="2762"/>
      <c r="BO56" s="2699"/>
      <c r="BP56" s="2699"/>
      <c r="BQ56" s="2684"/>
      <c r="BR56" s="2687"/>
      <c r="BS56" s="2684"/>
      <c r="BT56" s="2687"/>
      <c r="BU56" s="2644"/>
    </row>
    <row r="57" spans="1:73" ht="38.25" customHeight="1" x14ac:dyDescent="0.25">
      <c r="A57" s="2833"/>
      <c r="B57" s="2758"/>
      <c r="C57" s="2405"/>
      <c r="D57" s="2263"/>
      <c r="E57" s="2405"/>
      <c r="F57" s="2263"/>
      <c r="G57" s="2778"/>
      <c r="H57" s="2672"/>
      <c r="I57" s="2778"/>
      <c r="J57" s="2672"/>
      <c r="K57" s="2781"/>
      <c r="L57" s="2672"/>
      <c r="M57" s="2778"/>
      <c r="N57" s="2672"/>
      <c r="O57" s="2387"/>
      <c r="P57" s="2387"/>
      <c r="Q57" s="2387"/>
      <c r="R57" s="2429"/>
      <c r="S57" s="2707"/>
      <c r="T57" s="2748"/>
      <c r="U57" s="2429"/>
      <c r="V57" s="2765"/>
      <c r="W57" s="2426"/>
      <c r="X57" s="82">
        <v>30000000</v>
      </c>
      <c r="Y57" s="467"/>
      <c r="Z57" s="467"/>
      <c r="AA57" s="468" t="s">
        <v>511</v>
      </c>
      <c r="AB57" s="2769"/>
      <c r="AC57" s="2448"/>
      <c r="AD57" s="2448"/>
      <c r="AE57" s="2448"/>
      <c r="AF57" s="2448"/>
      <c r="AG57" s="2448"/>
      <c r="AH57" s="2448"/>
      <c r="AI57" s="2448"/>
      <c r="AJ57" s="2448"/>
      <c r="AK57" s="2448"/>
      <c r="AL57" s="2448"/>
      <c r="AM57" s="2448"/>
      <c r="AN57" s="2448"/>
      <c r="AO57" s="2448"/>
      <c r="AP57" s="2448"/>
      <c r="AQ57" s="2448"/>
      <c r="AR57" s="2448"/>
      <c r="AS57" s="2448"/>
      <c r="AT57" s="2448"/>
      <c r="AU57" s="2448"/>
      <c r="AV57" s="2448"/>
      <c r="AW57" s="2448"/>
      <c r="AX57" s="2448"/>
      <c r="AY57" s="2448"/>
      <c r="AZ57" s="2448"/>
      <c r="BA57" s="2448"/>
      <c r="BB57" s="2448"/>
      <c r="BC57" s="2448"/>
      <c r="BD57" s="2448"/>
      <c r="BE57" s="2448"/>
      <c r="BF57" s="2448"/>
      <c r="BG57" s="2448"/>
      <c r="BH57" s="2448"/>
      <c r="BI57" s="2448"/>
      <c r="BJ57" s="2387"/>
      <c r="BK57" s="2694"/>
      <c r="BL57" s="2694"/>
      <c r="BM57" s="2697"/>
      <c r="BN57" s="2762"/>
      <c r="BO57" s="2699"/>
      <c r="BP57" s="2699"/>
      <c r="BQ57" s="2684"/>
      <c r="BR57" s="2687"/>
      <c r="BS57" s="2684"/>
      <c r="BT57" s="2687"/>
      <c r="BU57" s="2644"/>
    </row>
    <row r="58" spans="1:73" ht="38.25" customHeight="1" x14ac:dyDescent="0.25">
      <c r="A58" s="2833"/>
      <c r="B58" s="2758"/>
      <c r="C58" s="2405"/>
      <c r="D58" s="2263"/>
      <c r="E58" s="2405"/>
      <c r="F58" s="2263"/>
      <c r="G58" s="2778"/>
      <c r="H58" s="2672"/>
      <c r="I58" s="2778"/>
      <c r="J58" s="2672"/>
      <c r="K58" s="2781"/>
      <c r="L58" s="2672"/>
      <c r="M58" s="2778"/>
      <c r="N58" s="2672"/>
      <c r="O58" s="2387"/>
      <c r="P58" s="2387"/>
      <c r="Q58" s="2387"/>
      <c r="R58" s="2429"/>
      <c r="S58" s="2707"/>
      <c r="T58" s="2748"/>
      <c r="U58" s="2429"/>
      <c r="V58" s="2765"/>
      <c r="W58" s="2427"/>
      <c r="X58" s="82">
        <v>30000000</v>
      </c>
      <c r="Y58" s="72"/>
      <c r="Z58" s="72"/>
      <c r="AA58" s="468" t="s">
        <v>512</v>
      </c>
      <c r="AB58" s="2769"/>
      <c r="AC58" s="2448"/>
      <c r="AD58" s="2448"/>
      <c r="AE58" s="2448"/>
      <c r="AF58" s="2448"/>
      <c r="AG58" s="2448"/>
      <c r="AH58" s="2448"/>
      <c r="AI58" s="2448"/>
      <c r="AJ58" s="2448"/>
      <c r="AK58" s="2448"/>
      <c r="AL58" s="2448"/>
      <c r="AM58" s="2448"/>
      <c r="AN58" s="2448"/>
      <c r="AO58" s="2448"/>
      <c r="AP58" s="2448"/>
      <c r="AQ58" s="2448"/>
      <c r="AR58" s="2448"/>
      <c r="AS58" s="2448"/>
      <c r="AT58" s="2448"/>
      <c r="AU58" s="2448"/>
      <c r="AV58" s="2448"/>
      <c r="AW58" s="2448"/>
      <c r="AX58" s="2448"/>
      <c r="AY58" s="2448"/>
      <c r="AZ58" s="2448"/>
      <c r="BA58" s="2448"/>
      <c r="BB58" s="2448"/>
      <c r="BC58" s="2448"/>
      <c r="BD58" s="2448"/>
      <c r="BE58" s="2448"/>
      <c r="BF58" s="2448"/>
      <c r="BG58" s="2448"/>
      <c r="BH58" s="2448"/>
      <c r="BI58" s="2448"/>
      <c r="BJ58" s="2387"/>
      <c r="BK58" s="2694"/>
      <c r="BL58" s="2694"/>
      <c r="BM58" s="2697"/>
      <c r="BN58" s="2762"/>
      <c r="BO58" s="2699"/>
      <c r="BP58" s="2699"/>
      <c r="BQ58" s="2684"/>
      <c r="BR58" s="2687"/>
      <c r="BS58" s="2684"/>
      <c r="BT58" s="2687"/>
      <c r="BU58" s="2644"/>
    </row>
    <row r="59" spans="1:73" ht="52.5" customHeight="1" x14ac:dyDescent="0.25">
      <c r="A59" s="2833"/>
      <c r="B59" s="2758"/>
      <c r="C59" s="2405"/>
      <c r="D59" s="2263"/>
      <c r="E59" s="2405"/>
      <c r="F59" s="2263"/>
      <c r="G59" s="2778"/>
      <c r="H59" s="2672"/>
      <c r="I59" s="2778"/>
      <c r="J59" s="2672"/>
      <c r="K59" s="2781"/>
      <c r="L59" s="2672"/>
      <c r="M59" s="2778"/>
      <c r="N59" s="2672"/>
      <c r="O59" s="2387"/>
      <c r="P59" s="2387"/>
      <c r="Q59" s="2387"/>
      <c r="R59" s="2429"/>
      <c r="S59" s="2707"/>
      <c r="T59" s="2748"/>
      <c r="U59" s="2429"/>
      <c r="V59" s="2765"/>
      <c r="W59" s="2397" t="s">
        <v>513</v>
      </c>
      <c r="X59" s="72">
        <f>80000000-54400000</f>
        <v>25600000</v>
      </c>
      <c r="Y59" s="72">
        <v>25600000</v>
      </c>
      <c r="Z59" s="72">
        <v>22300000</v>
      </c>
      <c r="AA59" s="468" t="s">
        <v>503</v>
      </c>
      <c r="AB59" s="2769"/>
      <c r="AC59" s="2448"/>
      <c r="AD59" s="2448"/>
      <c r="AE59" s="2448"/>
      <c r="AF59" s="2448"/>
      <c r="AG59" s="2448"/>
      <c r="AH59" s="2448"/>
      <c r="AI59" s="2448"/>
      <c r="AJ59" s="2448"/>
      <c r="AK59" s="2448"/>
      <c r="AL59" s="2448"/>
      <c r="AM59" s="2448"/>
      <c r="AN59" s="2448"/>
      <c r="AO59" s="2448"/>
      <c r="AP59" s="2448"/>
      <c r="AQ59" s="2448"/>
      <c r="AR59" s="2448"/>
      <c r="AS59" s="2448"/>
      <c r="AT59" s="2448"/>
      <c r="AU59" s="2448"/>
      <c r="AV59" s="2448"/>
      <c r="AW59" s="2448"/>
      <c r="AX59" s="2448"/>
      <c r="AY59" s="2448"/>
      <c r="AZ59" s="2448"/>
      <c r="BA59" s="2448"/>
      <c r="BB59" s="2448"/>
      <c r="BC59" s="2448"/>
      <c r="BD59" s="2448"/>
      <c r="BE59" s="2448"/>
      <c r="BF59" s="2448"/>
      <c r="BG59" s="2448"/>
      <c r="BH59" s="2448"/>
      <c r="BI59" s="2448"/>
      <c r="BJ59" s="2387"/>
      <c r="BK59" s="2694"/>
      <c r="BL59" s="2694"/>
      <c r="BM59" s="2697"/>
      <c r="BN59" s="2762"/>
      <c r="BO59" s="2699"/>
      <c r="BP59" s="2699"/>
      <c r="BQ59" s="2684"/>
      <c r="BR59" s="2687"/>
      <c r="BS59" s="2684"/>
      <c r="BT59" s="2687"/>
      <c r="BU59" s="2644"/>
    </row>
    <row r="60" spans="1:73" ht="36" customHeight="1" x14ac:dyDescent="0.25">
      <c r="A60" s="2833"/>
      <c r="B60" s="2758"/>
      <c r="C60" s="2405"/>
      <c r="D60" s="2263"/>
      <c r="E60" s="2405"/>
      <c r="F60" s="2263"/>
      <c r="G60" s="2778"/>
      <c r="H60" s="2672"/>
      <c r="I60" s="2778"/>
      <c r="J60" s="2672"/>
      <c r="K60" s="2781"/>
      <c r="L60" s="2672"/>
      <c r="M60" s="2778"/>
      <c r="N60" s="2672"/>
      <c r="O60" s="2387"/>
      <c r="P60" s="2387"/>
      <c r="Q60" s="2387"/>
      <c r="R60" s="2429"/>
      <c r="S60" s="2707"/>
      <c r="T60" s="2748"/>
      <c r="U60" s="2429"/>
      <c r="V60" s="2765"/>
      <c r="W60" s="2397"/>
      <c r="X60" s="72">
        <f>54400000+500000</f>
        <v>54900000</v>
      </c>
      <c r="Y60" s="72">
        <v>5400000</v>
      </c>
      <c r="Z60" s="72">
        <v>0</v>
      </c>
      <c r="AA60" s="468" t="s">
        <v>514</v>
      </c>
      <c r="AB60" s="2769"/>
      <c r="AC60" s="2448"/>
      <c r="AD60" s="2448"/>
      <c r="AE60" s="2448"/>
      <c r="AF60" s="2448"/>
      <c r="AG60" s="2448"/>
      <c r="AH60" s="2448"/>
      <c r="AI60" s="2448"/>
      <c r="AJ60" s="2448"/>
      <c r="AK60" s="2448"/>
      <c r="AL60" s="2448"/>
      <c r="AM60" s="2448"/>
      <c r="AN60" s="2448"/>
      <c r="AO60" s="2448"/>
      <c r="AP60" s="2448"/>
      <c r="AQ60" s="2448"/>
      <c r="AR60" s="2448"/>
      <c r="AS60" s="2448"/>
      <c r="AT60" s="2448"/>
      <c r="AU60" s="2448"/>
      <c r="AV60" s="2448"/>
      <c r="AW60" s="2448"/>
      <c r="AX60" s="2448"/>
      <c r="AY60" s="2448"/>
      <c r="AZ60" s="2448"/>
      <c r="BA60" s="2448"/>
      <c r="BB60" s="2448"/>
      <c r="BC60" s="2448"/>
      <c r="BD60" s="2448"/>
      <c r="BE60" s="2448"/>
      <c r="BF60" s="2448"/>
      <c r="BG60" s="2448"/>
      <c r="BH60" s="2448"/>
      <c r="BI60" s="2448"/>
      <c r="BJ60" s="2387"/>
      <c r="BK60" s="2694"/>
      <c r="BL60" s="2694"/>
      <c r="BM60" s="2697"/>
      <c r="BN60" s="2762"/>
      <c r="BO60" s="2699"/>
      <c r="BP60" s="2699"/>
      <c r="BQ60" s="2684"/>
      <c r="BR60" s="2687"/>
      <c r="BS60" s="2684"/>
      <c r="BT60" s="2687"/>
      <c r="BU60" s="2644"/>
    </row>
    <row r="61" spans="1:73" ht="38.25" customHeight="1" x14ac:dyDescent="0.25">
      <c r="A61" s="2833"/>
      <c r="B61" s="2758"/>
      <c r="C61" s="2405"/>
      <c r="D61" s="2263"/>
      <c r="E61" s="2405"/>
      <c r="F61" s="2263"/>
      <c r="G61" s="2778"/>
      <c r="H61" s="2672"/>
      <c r="I61" s="2778"/>
      <c r="J61" s="2672"/>
      <c r="K61" s="2781"/>
      <c r="L61" s="2672"/>
      <c r="M61" s="2778"/>
      <c r="N61" s="2672"/>
      <c r="O61" s="2387"/>
      <c r="P61" s="2387"/>
      <c r="Q61" s="2387"/>
      <c r="R61" s="2429"/>
      <c r="S61" s="2707"/>
      <c r="T61" s="2748"/>
      <c r="U61" s="2429"/>
      <c r="V61" s="2765"/>
      <c r="W61" s="2397" t="s">
        <v>515</v>
      </c>
      <c r="X61" s="72">
        <f>100000000-61750000</f>
        <v>38250000</v>
      </c>
      <c r="Y61" s="72">
        <v>38250000</v>
      </c>
      <c r="Z61" s="72">
        <v>35900000</v>
      </c>
      <c r="AA61" s="468" t="s">
        <v>503</v>
      </c>
      <c r="AB61" s="2769"/>
      <c r="AC61" s="2448"/>
      <c r="AD61" s="2448"/>
      <c r="AE61" s="2448"/>
      <c r="AF61" s="2448"/>
      <c r="AG61" s="2448"/>
      <c r="AH61" s="2448"/>
      <c r="AI61" s="2448"/>
      <c r="AJ61" s="2448"/>
      <c r="AK61" s="2448"/>
      <c r="AL61" s="2448"/>
      <c r="AM61" s="2448"/>
      <c r="AN61" s="2448"/>
      <c r="AO61" s="2448"/>
      <c r="AP61" s="2448"/>
      <c r="AQ61" s="2448"/>
      <c r="AR61" s="2448"/>
      <c r="AS61" s="2448"/>
      <c r="AT61" s="2448"/>
      <c r="AU61" s="2448"/>
      <c r="AV61" s="2448"/>
      <c r="AW61" s="2448"/>
      <c r="AX61" s="2448"/>
      <c r="AY61" s="2448"/>
      <c r="AZ61" s="2448"/>
      <c r="BA61" s="2448"/>
      <c r="BB61" s="2448"/>
      <c r="BC61" s="2448"/>
      <c r="BD61" s="2448"/>
      <c r="BE61" s="2448"/>
      <c r="BF61" s="2448"/>
      <c r="BG61" s="2448"/>
      <c r="BH61" s="2448"/>
      <c r="BI61" s="2448"/>
      <c r="BJ61" s="2387"/>
      <c r="BK61" s="2694"/>
      <c r="BL61" s="2694"/>
      <c r="BM61" s="2697"/>
      <c r="BN61" s="2762"/>
      <c r="BO61" s="2699"/>
      <c r="BP61" s="2699"/>
      <c r="BQ61" s="2684"/>
      <c r="BR61" s="2687"/>
      <c r="BS61" s="2684"/>
      <c r="BT61" s="2687"/>
      <c r="BU61" s="2644"/>
    </row>
    <row r="62" spans="1:73" ht="47.25" customHeight="1" x14ac:dyDescent="0.25">
      <c r="A62" s="2833"/>
      <c r="B62" s="2758"/>
      <c r="C62" s="2405"/>
      <c r="D62" s="2263"/>
      <c r="E62" s="2405"/>
      <c r="F62" s="2263"/>
      <c r="G62" s="2778"/>
      <c r="H62" s="2672"/>
      <c r="I62" s="2778"/>
      <c r="J62" s="2672"/>
      <c r="K62" s="2781"/>
      <c r="L62" s="2672"/>
      <c r="M62" s="2778"/>
      <c r="N62" s="2672"/>
      <c r="O62" s="2387"/>
      <c r="P62" s="2387"/>
      <c r="Q62" s="2387"/>
      <c r="R62" s="2429"/>
      <c r="S62" s="2707"/>
      <c r="T62" s="2748"/>
      <c r="U62" s="2429"/>
      <c r="V62" s="2765"/>
      <c r="W62" s="2397"/>
      <c r="X62" s="72">
        <v>61750000</v>
      </c>
      <c r="Y62" s="72">
        <v>14750000</v>
      </c>
      <c r="Z62" s="72">
        <v>0</v>
      </c>
      <c r="AA62" s="468" t="s">
        <v>514</v>
      </c>
      <c r="AB62" s="2769"/>
      <c r="AC62" s="2448"/>
      <c r="AD62" s="2448"/>
      <c r="AE62" s="2448"/>
      <c r="AF62" s="2448"/>
      <c r="AG62" s="2448"/>
      <c r="AH62" s="2448"/>
      <c r="AI62" s="2448"/>
      <c r="AJ62" s="2448"/>
      <c r="AK62" s="2448"/>
      <c r="AL62" s="2448"/>
      <c r="AM62" s="2448"/>
      <c r="AN62" s="2448"/>
      <c r="AO62" s="2448"/>
      <c r="AP62" s="2448"/>
      <c r="AQ62" s="2448"/>
      <c r="AR62" s="2448"/>
      <c r="AS62" s="2448"/>
      <c r="AT62" s="2448"/>
      <c r="AU62" s="2448"/>
      <c r="AV62" s="2448"/>
      <c r="AW62" s="2448"/>
      <c r="AX62" s="2448"/>
      <c r="AY62" s="2448"/>
      <c r="AZ62" s="2448"/>
      <c r="BA62" s="2448"/>
      <c r="BB62" s="2448"/>
      <c r="BC62" s="2448"/>
      <c r="BD62" s="2448"/>
      <c r="BE62" s="2448"/>
      <c r="BF62" s="2448"/>
      <c r="BG62" s="2448"/>
      <c r="BH62" s="2448"/>
      <c r="BI62" s="2448"/>
      <c r="BJ62" s="2387"/>
      <c r="BK62" s="2694"/>
      <c r="BL62" s="2694"/>
      <c r="BM62" s="2697"/>
      <c r="BN62" s="2762"/>
      <c r="BO62" s="2699"/>
      <c r="BP62" s="2699"/>
      <c r="BQ62" s="2684"/>
      <c r="BR62" s="2687"/>
      <c r="BS62" s="2684"/>
      <c r="BT62" s="2687"/>
      <c r="BU62" s="2644"/>
    </row>
    <row r="63" spans="1:73" ht="40.5" customHeight="1" x14ac:dyDescent="0.25">
      <c r="A63" s="2833"/>
      <c r="B63" s="2758"/>
      <c r="C63" s="2405"/>
      <c r="D63" s="2263"/>
      <c r="E63" s="2405"/>
      <c r="F63" s="2263"/>
      <c r="G63" s="2778"/>
      <c r="H63" s="2672"/>
      <c r="I63" s="2778"/>
      <c r="J63" s="2672"/>
      <c r="K63" s="2781"/>
      <c r="L63" s="2672"/>
      <c r="M63" s="2778"/>
      <c r="N63" s="2672"/>
      <c r="O63" s="2387"/>
      <c r="P63" s="2387"/>
      <c r="Q63" s="2387"/>
      <c r="R63" s="2429"/>
      <c r="S63" s="2707"/>
      <c r="T63" s="2748"/>
      <c r="U63" s="2429"/>
      <c r="V63" s="2765"/>
      <c r="W63" s="2478" t="s">
        <v>516</v>
      </c>
      <c r="X63" s="72">
        <f>80000000-500000</f>
        <v>79500000</v>
      </c>
      <c r="Y63" s="72">
        <v>31300000</v>
      </c>
      <c r="Z63" s="72">
        <v>28600000</v>
      </c>
      <c r="AA63" s="468" t="s">
        <v>503</v>
      </c>
      <c r="AB63" s="2769"/>
      <c r="AC63" s="2448"/>
      <c r="AD63" s="2448"/>
      <c r="AE63" s="2448"/>
      <c r="AF63" s="2448"/>
      <c r="AG63" s="2448"/>
      <c r="AH63" s="2448"/>
      <c r="AI63" s="2448"/>
      <c r="AJ63" s="2448"/>
      <c r="AK63" s="2448"/>
      <c r="AL63" s="2448"/>
      <c r="AM63" s="2448"/>
      <c r="AN63" s="2448"/>
      <c r="AO63" s="2448"/>
      <c r="AP63" s="2448"/>
      <c r="AQ63" s="2448"/>
      <c r="AR63" s="2448"/>
      <c r="AS63" s="2448"/>
      <c r="AT63" s="2448"/>
      <c r="AU63" s="2448"/>
      <c r="AV63" s="2448"/>
      <c r="AW63" s="2448"/>
      <c r="AX63" s="2448"/>
      <c r="AY63" s="2448"/>
      <c r="AZ63" s="2448"/>
      <c r="BA63" s="2448"/>
      <c r="BB63" s="2448"/>
      <c r="BC63" s="2448"/>
      <c r="BD63" s="2448"/>
      <c r="BE63" s="2448"/>
      <c r="BF63" s="2448"/>
      <c r="BG63" s="2448"/>
      <c r="BH63" s="2448"/>
      <c r="BI63" s="2448"/>
      <c r="BJ63" s="2387"/>
      <c r="BK63" s="2694"/>
      <c r="BL63" s="2694"/>
      <c r="BM63" s="2697"/>
      <c r="BN63" s="2762"/>
      <c r="BO63" s="2699"/>
      <c r="BP63" s="2699"/>
      <c r="BQ63" s="2684"/>
      <c r="BR63" s="2687"/>
      <c r="BS63" s="2684"/>
      <c r="BT63" s="2687"/>
      <c r="BU63" s="2644"/>
    </row>
    <row r="64" spans="1:73" ht="45" customHeight="1" x14ac:dyDescent="0.25">
      <c r="A64" s="2833"/>
      <c r="B64" s="2758"/>
      <c r="C64" s="2405"/>
      <c r="D64" s="2263"/>
      <c r="E64" s="2405"/>
      <c r="F64" s="2263"/>
      <c r="G64" s="2778"/>
      <c r="H64" s="2672"/>
      <c r="I64" s="2778"/>
      <c r="J64" s="2672"/>
      <c r="K64" s="2781"/>
      <c r="L64" s="2672"/>
      <c r="M64" s="2778"/>
      <c r="N64" s="2672"/>
      <c r="O64" s="2387"/>
      <c r="P64" s="2387"/>
      <c r="Q64" s="2387"/>
      <c r="R64" s="2429"/>
      <c r="S64" s="2707"/>
      <c r="T64" s="2748"/>
      <c r="U64" s="2429"/>
      <c r="V64" s="2765"/>
      <c r="W64" s="2479"/>
      <c r="X64" s="72">
        <v>100000000</v>
      </c>
      <c r="Y64" s="72">
        <v>7087500</v>
      </c>
      <c r="Z64" s="72"/>
      <c r="AA64" s="468" t="s">
        <v>517</v>
      </c>
      <c r="AB64" s="2769"/>
      <c r="AC64" s="2448"/>
      <c r="AD64" s="2448"/>
      <c r="AE64" s="2448"/>
      <c r="AF64" s="2448"/>
      <c r="AG64" s="2448"/>
      <c r="AH64" s="2448"/>
      <c r="AI64" s="2448"/>
      <c r="AJ64" s="2448"/>
      <c r="AK64" s="2448"/>
      <c r="AL64" s="2448"/>
      <c r="AM64" s="2448"/>
      <c r="AN64" s="2448"/>
      <c r="AO64" s="2448"/>
      <c r="AP64" s="2448"/>
      <c r="AQ64" s="2448"/>
      <c r="AR64" s="2448"/>
      <c r="AS64" s="2448"/>
      <c r="AT64" s="2448"/>
      <c r="AU64" s="2448"/>
      <c r="AV64" s="2448"/>
      <c r="AW64" s="2448"/>
      <c r="AX64" s="2448"/>
      <c r="AY64" s="2448"/>
      <c r="AZ64" s="2448"/>
      <c r="BA64" s="2448"/>
      <c r="BB64" s="2448"/>
      <c r="BC64" s="2448"/>
      <c r="BD64" s="2448"/>
      <c r="BE64" s="2448"/>
      <c r="BF64" s="2448"/>
      <c r="BG64" s="2448"/>
      <c r="BH64" s="2448"/>
      <c r="BI64" s="2448"/>
      <c r="BJ64" s="2387"/>
      <c r="BK64" s="2694"/>
      <c r="BL64" s="2694"/>
      <c r="BM64" s="2697"/>
      <c r="BN64" s="2762"/>
      <c r="BO64" s="2699"/>
      <c r="BP64" s="2699"/>
      <c r="BQ64" s="2684"/>
      <c r="BR64" s="2687"/>
      <c r="BS64" s="2684"/>
      <c r="BT64" s="2687"/>
      <c r="BU64" s="2644"/>
    </row>
    <row r="65" spans="1:93" ht="55.5" customHeight="1" x14ac:dyDescent="0.25">
      <c r="A65" s="2833"/>
      <c r="B65" s="2758"/>
      <c r="C65" s="2405"/>
      <c r="D65" s="2263"/>
      <c r="E65" s="2405"/>
      <c r="F65" s="2263"/>
      <c r="G65" s="2778"/>
      <c r="H65" s="2672"/>
      <c r="I65" s="2778"/>
      <c r="J65" s="2672"/>
      <c r="K65" s="2781"/>
      <c r="L65" s="2672"/>
      <c r="M65" s="2778"/>
      <c r="N65" s="2672"/>
      <c r="O65" s="2387"/>
      <c r="P65" s="2387"/>
      <c r="Q65" s="2387"/>
      <c r="R65" s="2429"/>
      <c r="S65" s="2707"/>
      <c r="T65" s="2748"/>
      <c r="U65" s="2429"/>
      <c r="V65" s="2765"/>
      <c r="W65" s="2299" t="s">
        <v>518</v>
      </c>
      <c r="X65" s="72">
        <v>80000000</v>
      </c>
      <c r="Y65" s="72">
        <v>30600000</v>
      </c>
      <c r="Z65" s="72">
        <v>7800000</v>
      </c>
      <c r="AA65" s="468" t="s">
        <v>503</v>
      </c>
      <c r="AB65" s="2769"/>
      <c r="AC65" s="2448"/>
      <c r="AD65" s="2448"/>
      <c r="AE65" s="2448"/>
      <c r="AF65" s="2448"/>
      <c r="AG65" s="2448"/>
      <c r="AH65" s="2448"/>
      <c r="AI65" s="2448"/>
      <c r="AJ65" s="2448"/>
      <c r="AK65" s="2448"/>
      <c r="AL65" s="2448"/>
      <c r="AM65" s="2448"/>
      <c r="AN65" s="2448"/>
      <c r="AO65" s="2448"/>
      <c r="AP65" s="2448"/>
      <c r="AQ65" s="2448"/>
      <c r="AR65" s="2448"/>
      <c r="AS65" s="2448"/>
      <c r="AT65" s="2448"/>
      <c r="AU65" s="2448"/>
      <c r="AV65" s="2448"/>
      <c r="AW65" s="2448"/>
      <c r="AX65" s="2448"/>
      <c r="AY65" s="2448"/>
      <c r="AZ65" s="2448"/>
      <c r="BA65" s="2448"/>
      <c r="BB65" s="2448"/>
      <c r="BC65" s="2448"/>
      <c r="BD65" s="2448"/>
      <c r="BE65" s="2448"/>
      <c r="BF65" s="2448"/>
      <c r="BG65" s="2448"/>
      <c r="BH65" s="2448"/>
      <c r="BI65" s="2448"/>
      <c r="BJ65" s="2387"/>
      <c r="BK65" s="2694"/>
      <c r="BL65" s="2694"/>
      <c r="BM65" s="2697"/>
      <c r="BN65" s="2762"/>
      <c r="BO65" s="2699"/>
      <c r="BP65" s="2699"/>
      <c r="BQ65" s="2684"/>
      <c r="BR65" s="2687"/>
      <c r="BS65" s="2684"/>
      <c r="BT65" s="2687"/>
      <c r="BU65" s="2644"/>
    </row>
    <row r="66" spans="1:93" ht="74.25" customHeight="1" x14ac:dyDescent="0.25">
      <c r="A66" s="2833"/>
      <c r="B66" s="2758"/>
      <c r="C66" s="2405"/>
      <c r="D66" s="2263"/>
      <c r="E66" s="2405"/>
      <c r="F66" s="2263"/>
      <c r="G66" s="2778"/>
      <c r="H66" s="2672"/>
      <c r="I66" s="2778"/>
      <c r="J66" s="2672"/>
      <c r="K66" s="2781"/>
      <c r="L66" s="2672"/>
      <c r="M66" s="2778"/>
      <c r="N66" s="2672"/>
      <c r="O66" s="2387"/>
      <c r="P66" s="2387"/>
      <c r="Q66" s="2387"/>
      <c r="R66" s="2429"/>
      <c r="S66" s="2707"/>
      <c r="T66" s="2748"/>
      <c r="U66" s="2429"/>
      <c r="V66" s="2765"/>
      <c r="W66" s="2504"/>
      <c r="X66" s="72">
        <v>69709699.359999999</v>
      </c>
      <c r="Y66" s="72"/>
      <c r="Z66" s="72"/>
      <c r="AA66" s="468" t="s">
        <v>517</v>
      </c>
      <c r="AB66" s="2769"/>
      <c r="AC66" s="2448"/>
      <c r="AD66" s="2448"/>
      <c r="AE66" s="2448"/>
      <c r="AF66" s="2448"/>
      <c r="AG66" s="2448"/>
      <c r="AH66" s="2448"/>
      <c r="AI66" s="2448"/>
      <c r="AJ66" s="2448"/>
      <c r="AK66" s="2448"/>
      <c r="AL66" s="2448"/>
      <c r="AM66" s="2448"/>
      <c r="AN66" s="2448"/>
      <c r="AO66" s="2448"/>
      <c r="AP66" s="2448"/>
      <c r="AQ66" s="2448"/>
      <c r="AR66" s="2448"/>
      <c r="AS66" s="2448"/>
      <c r="AT66" s="2448"/>
      <c r="AU66" s="2448"/>
      <c r="AV66" s="2448"/>
      <c r="AW66" s="2448"/>
      <c r="AX66" s="2448"/>
      <c r="AY66" s="2448"/>
      <c r="AZ66" s="2448"/>
      <c r="BA66" s="2448"/>
      <c r="BB66" s="2448"/>
      <c r="BC66" s="2448"/>
      <c r="BD66" s="2448"/>
      <c r="BE66" s="2448"/>
      <c r="BF66" s="2448"/>
      <c r="BG66" s="2448"/>
      <c r="BH66" s="2448"/>
      <c r="BI66" s="2448"/>
      <c r="BJ66" s="2387"/>
      <c r="BK66" s="2694"/>
      <c r="BL66" s="2694"/>
      <c r="BM66" s="2697"/>
      <c r="BN66" s="2762"/>
      <c r="BO66" s="2699"/>
      <c r="BP66" s="2699"/>
      <c r="BQ66" s="2684"/>
      <c r="BR66" s="2687"/>
      <c r="BS66" s="2684"/>
      <c r="BT66" s="2687"/>
      <c r="BU66" s="2644"/>
    </row>
    <row r="67" spans="1:93" ht="75" customHeight="1" x14ac:dyDescent="0.25">
      <c r="A67" s="2833"/>
      <c r="B67" s="2758"/>
      <c r="C67" s="2405"/>
      <c r="D67" s="2263"/>
      <c r="E67" s="2405"/>
      <c r="F67" s="2263"/>
      <c r="G67" s="2778"/>
      <c r="H67" s="2672"/>
      <c r="I67" s="2778"/>
      <c r="J67" s="2672"/>
      <c r="K67" s="2781"/>
      <c r="L67" s="2672"/>
      <c r="M67" s="2778"/>
      <c r="N67" s="2672"/>
      <c r="O67" s="2387"/>
      <c r="P67" s="2387"/>
      <c r="Q67" s="2387"/>
      <c r="R67" s="2429"/>
      <c r="S67" s="2707"/>
      <c r="T67" s="2748"/>
      <c r="U67" s="2429"/>
      <c r="V67" s="2765"/>
      <c r="W67" s="2299" t="s">
        <v>424</v>
      </c>
      <c r="X67" s="72">
        <v>100000000</v>
      </c>
      <c r="Y67" s="72">
        <v>67350000</v>
      </c>
      <c r="Z67" s="72">
        <v>46450000</v>
      </c>
      <c r="AA67" s="468" t="s">
        <v>503</v>
      </c>
      <c r="AB67" s="2769"/>
      <c r="AC67" s="2448"/>
      <c r="AD67" s="2448"/>
      <c r="AE67" s="2448"/>
      <c r="AF67" s="2448"/>
      <c r="AG67" s="2448"/>
      <c r="AH67" s="2448"/>
      <c r="AI67" s="2448"/>
      <c r="AJ67" s="2448"/>
      <c r="AK67" s="2448"/>
      <c r="AL67" s="2448"/>
      <c r="AM67" s="2448"/>
      <c r="AN67" s="2448"/>
      <c r="AO67" s="2448"/>
      <c r="AP67" s="2448"/>
      <c r="AQ67" s="2448"/>
      <c r="AR67" s="2448"/>
      <c r="AS67" s="2448"/>
      <c r="AT67" s="2448"/>
      <c r="AU67" s="2448"/>
      <c r="AV67" s="2448"/>
      <c r="AW67" s="2448"/>
      <c r="AX67" s="2448"/>
      <c r="AY67" s="2448"/>
      <c r="AZ67" s="2448"/>
      <c r="BA67" s="2448"/>
      <c r="BB67" s="2448"/>
      <c r="BC67" s="2448"/>
      <c r="BD67" s="2448"/>
      <c r="BE67" s="2448"/>
      <c r="BF67" s="2448"/>
      <c r="BG67" s="2448"/>
      <c r="BH67" s="2448"/>
      <c r="BI67" s="2448"/>
      <c r="BJ67" s="2387"/>
      <c r="BK67" s="2694"/>
      <c r="BL67" s="2694"/>
      <c r="BM67" s="2697"/>
      <c r="BN67" s="2762"/>
      <c r="BO67" s="2699"/>
      <c r="BP67" s="2699"/>
      <c r="BQ67" s="2684"/>
      <c r="BR67" s="2687"/>
      <c r="BS67" s="2684"/>
      <c r="BT67" s="2687"/>
      <c r="BU67" s="2644"/>
    </row>
    <row r="68" spans="1:93" ht="65.25" customHeight="1" x14ac:dyDescent="0.25">
      <c r="A68" s="2833"/>
      <c r="B68" s="2758"/>
      <c r="C68" s="2405"/>
      <c r="D68" s="2263"/>
      <c r="E68" s="2405"/>
      <c r="F68" s="2263"/>
      <c r="G68" s="2778"/>
      <c r="H68" s="2672"/>
      <c r="I68" s="2778"/>
      <c r="J68" s="2672"/>
      <c r="K68" s="2781"/>
      <c r="L68" s="2672"/>
      <c r="M68" s="2778"/>
      <c r="N68" s="2672"/>
      <c r="O68" s="2387"/>
      <c r="P68" s="2387"/>
      <c r="Q68" s="2387"/>
      <c r="R68" s="2429"/>
      <c r="S68" s="2707"/>
      <c r="T68" s="2748"/>
      <c r="U68" s="2429"/>
      <c r="V68" s="2765"/>
      <c r="W68" s="2504"/>
      <c r="X68" s="72">
        <v>130000000</v>
      </c>
      <c r="Y68" s="72"/>
      <c r="Z68" s="72"/>
      <c r="AA68" s="468" t="s">
        <v>517</v>
      </c>
      <c r="AB68" s="2769"/>
      <c r="AC68" s="2448"/>
      <c r="AD68" s="2448"/>
      <c r="AE68" s="2448"/>
      <c r="AF68" s="2448"/>
      <c r="AG68" s="2448"/>
      <c r="AH68" s="2448"/>
      <c r="AI68" s="2448"/>
      <c r="AJ68" s="2448"/>
      <c r="AK68" s="2448"/>
      <c r="AL68" s="2448"/>
      <c r="AM68" s="2448"/>
      <c r="AN68" s="2448"/>
      <c r="AO68" s="2448"/>
      <c r="AP68" s="2448"/>
      <c r="AQ68" s="2448"/>
      <c r="AR68" s="2448"/>
      <c r="AS68" s="2448"/>
      <c r="AT68" s="2448"/>
      <c r="AU68" s="2448"/>
      <c r="AV68" s="2448"/>
      <c r="AW68" s="2448"/>
      <c r="AX68" s="2448"/>
      <c r="AY68" s="2448"/>
      <c r="AZ68" s="2448"/>
      <c r="BA68" s="2448"/>
      <c r="BB68" s="2448"/>
      <c r="BC68" s="2448"/>
      <c r="BD68" s="2448"/>
      <c r="BE68" s="2448"/>
      <c r="BF68" s="2448"/>
      <c r="BG68" s="2448"/>
      <c r="BH68" s="2448"/>
      <c r="BI68" s="2448"/>
      <c r="BJ68" s="2387"/>
      <c r="BK68" s="2694"/>
      <c r="BL68" s="2694"/>
      <c r="BM68" s="2697"/>
      <c r="BN68" s="2762"/>
      <c r="BO68" s="2699"/>
      <c r="BP68" s="2699"/>
      <c r="BQ68" s="2684"/>
      <c r="BR68" s="2687"/>
      <c r="BS68" s="2684"/>
      <c r="BT68" s="2687"/>
      <c r="BU68" s="2644"/>
    </row>
    <row r="69" spans="1:93" s="513" customFormat="1" ht="104.25" customHeight="1" x14ac:dyDescent="0.25">
      <c r="A69" s="2833"/>
      <c r="B69" s="2758"/>
      <c r="C69" s="2405"/>
      <c r="D69" s="2263"/>
      <c r="E69" s="2405"/>
      <c r="F69" s="2263"/>
      <c r="G69" s="2778"/>
      <c r="H69" s="2672"/>
      <c r="I69" s="2778"/>
      <c r="J69" s="2672"/>
      <c r="K69" s="2781"/>
      <c r="L69" s="2672"/>
      <c r="M69" s="2778"/>
      <c r="N69" s="2672"/>
      <c r="O69" s="2387"/>
      <c r="P69" s="2387"/>
      <c r="Q69" s="2387"/>
      <c r="R69" s="2429"/>
      <c r="S69" s="2707"/>
      <c r="T69" s="2748"/>
      <c r="U69" s="2429"/>
      <c r="V69" s="2765"/>
      <c r="W69" s="2478" t="s">
        <v>519</v>
      </c>
      <c r="X69" s="72">
        <v>1106073375</v>
      </c>
      <c r="Y69" s="72">
        <v>0</v>
      </c>
      <c r="Z69" s="72">
        <v>0</v>
      </c>
      <c r="AA69" s="433" t="s">
        <v>520</v>
      </c>
      <c r="AB69" s="2769"/>
      <c r="AC69" s="2448"/>
      <c r="AD69" s="2448"/>
      <c r="AE69" s="2448"/>
      <c r="AF69" s="2448"/>
      <c r="AG69" s="2448"/>
      <c r="AH69" s="2448"/>
      <c r="AI69" s="2448"/>
      <c r="AJ69" s="2448"/>
      <c r="AK69" s="2448"/>
      <c r="AL69" s="2448"/>
      <c r="AM69" s="2448"/>
      <c r="AN69" s="2448"/>
      <c r="AO69" s="2448"/>
      <c r="AP69" s="2448"/>
      <c r="AQ69" s="2448"/>
      <c r="AR69" s="2448"/>
      <c r="AS69" s="2448"/>
      <c r="AT69" s="2448"/>
      <c r="AU69" s="2448"/>
      <c r="AV69" s="2448"/>
      <c r="AW69" s="2448"/>
      <c r="AX69" s="2448"/>
      <c r="AY69" s="2448"/>
      <c r="AZ69" s="2448"/>
      <c r="BA69" s="2448"/>
      <c r="BB69" s="2448"/>
      <c r="BC69" s="2448"/>
      <c r="BD69" s="2448"/>
      <c r="BE69" s="2448"/>
      <c r="BF69" s="2448"/>
      <c r="BG69" s="2448"/>
      <c r="BH69" s="2448"/>
      <c r="BI69" s="2448"/>
      <c r="BJ69" s="2387"/>
      <c r="BK69" s="2694"/>
      <c r="BL69" s="2694"/>
      <c r="BM69" s="2697"/>
      <c r="BN69" s="2762"/>
      <c r="BO69" s="2699"/>
      <c r="BP69" s="2699"/>
      <c r="BQ69" s="2684"/>
      <c r="BR69" s="2687"/>
      <c r="BS69" s="2684"/>
      <c r="BT69" s="2687"/>
      <c r="BU69" s="2644"/>
    </row>
    <row r="70" spans="1:93" s="513" customFormat="1" ht="104.25" customHeight="1" x14ac:dyDescent="0.25">
      <c r="A70" s="2833"/>
      <c r="B70" s="2758"/>
      <c r="C70" s="2405"/>
      <c r="D70" s="2263"/>
      <c r="E70" s="2405"/>
      <c r="F70" s="2263"/>
      <c r="G70" s="2778"/>
      <c r="H70" s="2672"/>
      <c r="I70" s="2778"/>
      <c r="J70" s="2672"/>
      <c r="K70" s="2781"/>
      <c r="L70" s="2672"/>
      <c r="M70" s="2778"/>
      <c r="N70" s="2672"/>
      <c r="O70" s="2387"/>
      <c r="P70" s="2387"/>
      <c r="Q70" s="2387"/>
      <c r="R70" s="2429"/>
      <c r="S70" s="2707"/>
      <c r="T70" s="2748"/>
      <c r="U70" s="2429"/>
      <c r="V70" s="2765"/>
      <c r="W70" s="2479"/>
      <c r="X70" s="72">
        <v>480000000</v>
      </c>
      <c r="Y70" s="72"/>
      <c r="Z70" s="467"/>
      <c r="AA70" s="514" t="s">
        <v>521</v>
      </c>
      <c r="AB70" s="2769"/>
      <c r="AC70" s="2448"/>
      <c r="AD70" s="2448"/>
      <c r="AE70" s="2448"/>
      <c r="AF70" s="2448"/>
      <c r="AG70" s="2448"/>
      <c r="AH70" s="2448"/>
      <c r="AI70" s="2448"/>
      <c r="AJ70" s="2448"/>
      <c r="AK70" s="2448"/>
      <c r="AL70" s="2448"/>
      <c r="AM70" s="2448"/>
      <c r="AN70" s="2448"/>
      <c r="AO70" s="2448"/>
      <c r="AP70" s="2448"/>
      <c r="AQ70" s="2448"/>
      <c r="AR70" s="2448"/>
      <c r="AS70" s="2448"/>
      <c r="AT70" s="2448"/>
      <c r="AU70" s="2448"/>
      <c r="AV70" s="2448"/>
      <c r="AW70" s="2448"/>
      <c r="AX70" s="2448"/>
      <c r="AY70" s="2448"/>
      <c r="AZ70" s="2448"/>
      <c r="BA70" s="2448"/>
      <c r="BB70" s="2448"/>
      <c r="BC70" s="2448"/>
      <c r="BD70" s="2448"/>
      <c r="BE70" s="2448"/>
      <c r="BF70" s="2448"/>
      <c r="BG70" s="2448"/>
      <c r="BH70" s="2448"/>
      <c r="BI70" s="2448"/>
      <c r="BJ70" s="2387"/>
      <c r="BK70" s="2694"/>
      <c r="BL70" s="2694"/>
      <c r="BM70" s="2697"/>
      <c r="BN70" s="2762"/>
      <c r="BO70" s="2699"/>
      <c r="BP70" s="2699"/>
      <c r="BQ70" s="2684"/>
      <c r="BR70" s="2687"/>
      <c r="BS70" s="2684"/>
      <c r="BT70" s="2687"/>
      <c r="BU70" s="2644"/>
    </row>
    <row r="71" spans="1:93" s="513" customFormat="1" ht="59.25" customHeight="1" x14ac:dyDescent="0.25">
      <c r="A71" s="2833"/>
      <c r="B71" s="2758"/>
      <c r="C71" s="2405"/>
      <c r="D71" s="2263"/>
      <c r="E71" s="2405"/>
      <c r="F71" s="2263"/>
      <c r="G71" s="2778"/>
      <c r="H71" s="2672"/>
      <c r="I71" s="2778"/>
      <c r="J71" s="2672"/>
      <c r="K71" s="2781"/>
      <c r="L71" s="2672"/>
      <c r="M71" s="2778"/>
      <c r="N71" s="2672"/>
      <c r="O71" s="2387"/>
      <c r="P71" s="2387"/>
      <c r="Q71" s="2387"/>
      <c r="R71" s="2429"/>
      <c r="S71" s="2707"/>
      <c r="T71" s="2748"/>
      <c r="U71" s="2429"/>
      <c r="V71" s="2765"/>
      <c r="W71" s="2475" t="s">
        <v>522</v>
      </c>
      <c r="X71" s="72">
        <v>100000000</v>
      </c>
      <c r="Y71" s="72">
        <v>0</v>
      </c>
      <c r="Z71" s="467">
        <v>0</v>
      </c>
      <c r="AA71" s="468" t="s">
        <v>523</v>
      </c>
      <c r="AB71" s="2769"/>
      <c r="AC71" s="2448"/>
      <c r="AD71" s="2448"/>
      <c r="AE71" s="2448"/>
      <c r="AF71" s="2448"/>
      <c r="AG71" s="2448"/>
      <c r="AH71" s="2448"/>
      <c r="AI71" s="2448"/>
      <c r="AJ71" s="2448"/>
      <c r="AK71" s="2448"/>
      <c r="AL71" s="2448"/>
      <c r="AM71" s="2448"/>
      <c r="AN71" s="2448"/>
      <c r="AO71" s="2448"/>
      <c r="AP71" s="2448"/>
      <c r="AQ71" s="2448"/>
      <c r="AR71" s="2448"/>
      <c r="AS71" s="2448"/>
      <c r="AT71" s="2448"/>
      <c r="AU71" s="2448"/>
      <c r="AV71" s="2448"/>
      <c r="AW71" s="2448"/>
      <c r="AX71" s="2448"/>
      <c r="AY71" s="2448"/>
      <c r="AZ71" s="2448"/>
      <c r="BA71" s="2448"/>
      <c r="BB71" s="2448"/>
      <c r="BC71" s="2448"/>
      <c r="BD71" s="2448"/>
      <c r="BE71" s="2448"/>
      <c r="BF71" s="2448"/>
      <c r="BG71" s="2448"/>
      <c r="BH71" s="2448"/>
      <c r="BI71" s="2448"/>
      <c r="BJ71" s="2387"/>
      <c r="BK71" s="2694"/>
      <c r="BL71" s="2694"/>
      <c r="BM71" s="2697"/>
      <c r="BN71" s="2762"/>
      <c r="BO71" s="2699"/>
      <c r="BP71" s="2699"/>
      <c r="BQ71" s="2684"/>
      <c r="BR71" s="2687"/>
      <c r="BS71" s="2684"/>
      <c r="BT71" s="2687"/>
      <c r="BU71" s="2644"/>
    </row>
    <row r="72" spans="1:93" s="513" customFormat="1" ht="42" customHeight="1" x14ac:dyDescent="0.25">
      <c r="A72" s="2833"/>
      <c r="B72" s="2758"/>
      <c r="C72" s="2405"/>
      <c r="D72" s="2263"/>
      <c r="E72" s="2405"/>
      <c r="F72" s="2263"/>
      <c r="G72" s="2778"/>
      <c r="H72" s="2672"/>
      <c r="I72" s="2778"/>
      <c r="J72" s="2672"/>
      <c r="K72" s="2781"/>
      <c r="L72" s="2672"/>
      <c r="M72" s="2778"/>
      <c r="N72" s="2672"/>
      <c r="O72" s="2387"/>
      <c r="P72" s="2387"/>
      <c r="Q72" s="2387"/>
      <c r="R72" s="2429"/>
      <c r="S72" s="2707"/>
      <c r="T72" s="2748"/>
      <c r="U72" s="2429"/>
      <c r="V72" s="2765"/>
      <c r="W72" s="2475"/>
      <c r="X72" s="72">
        <v>150000000</v>
      </c>
      <c r="Y72" s="72">
        <v>144462656</v>
      </c>
      <c r="Z72" s="467">
        <v>0</v>
      </c>
      <c r="AA72" s="468" t="s">
        <v>517</v>
      </c>
      <c r="AB72" s="2769"/>
      <c r="AC72" s="2448"/>
      <c r="AD72" s="2448"/>
      <c r="AE72" s="2448"/>
      <c r="AF72" s="2448"/>
      <c r="AG72" s="2448"/>
      <c r="AH72" s="2448"/>
      <c r="AI72" s="2448"/>
      <c r="AJ72" s="2448"/>
      <c r="AK72" s="2448"/>
      <c r="AL72" s="2448"/>
      <c r="AM72" s="2448"/>
      <c r="AN72" s="2448"/>
      <c r="AO72" s="2448"/>
      <c r="AP72" s="2448"/>
      <c r="AQ72" s="2448"/>
      <c r="AR72" s="2448"/>
      <c r="AS72" s="2448"/>
      <c r="AT72" s="2448"/>
      <c r="AU72" s="2448"/>
      <c r="AV72" s="2448"/>
      <c r="AW72" s="2448"/>
      <c r="AX72" s="2448"/>
      <c r="AY72" s="2448"/>
      <c r="AZ72" s="2448"/>
      <c r="BA72" s="2448"/>
      <c r="BB72" s="2448"/>
      <c r="BC72" s="2448"/>
      <c r="BD72" s="2448"/>
      <c r="BE72" s="2448"/>
      <c r="BF72" s="2448"/>
      <c r="BG72" s="2448"/>
      <c r="BH72" s="2448"/>
      <c r="BI72" s="2448"/>
      <c r="BJ72" s="2387"/>
      <c r="BK72" s="2694"/>
      <c r="BL72" s="2694"/>
      <c r="BM72" s="2697"/>
      <c r="BN72" s="2762"/>
      <c r="BO72" s="2699"/>
      <c r="BP72" s="2699"/>
      <c r="BQ72" s="2684"/>
      <c r="BR72" s="2687"/>
      <c r="BS72" s="2684"/>
      <c r="BT72" s="2687"/>
      <c r="BU72" s="2644"/>
    </row>
    <row r="73" spans="1:93" s="513" customFormat="1" ht="42" customHeight="1" x14ac:dyDescent="0.25">
      <c r="A73" s="2833"/>
      <c r="B73" s="2758"/>
      <c r="C73" s="2406"/>
      <c r="D73" s="2815"/>
      <c r="E73" s="2406"/>
      <c r="F73" s="2815"/>
      <c r="G73" s="2779"/>
      <c r="H73" s="2673"/>
      <c r="I73" s="2779"/>
      <c r="J73" s="2673"/>
      <c r="K73" s="2782"/>
      <c r="L73" s="2673"/>
      <c r="M73" s="2779"/>
      <c r="N73" s="2673"/>
      <c r="O73" s="2388"/>
      <c r="P73" s="2388"/>
      <c r="Q73" s="2388"/>
      <c r="R73" s="2430"/>
      <c r="S73" s="2708"/>
      <c r="T73" s="2749"/>
      <c r="U73" s="2430"/>
      <c r="V73" s="2766"/>
      <c r="W73" s="515" t="s">
        <v>524</v>
      </c>
      <c r="X73" s="72">
        <v>120000000</v>
      </c>
      <c r="Y73" s="467"/>
      <c r="Z73" s="467"/>
      <c r="AA73" s="514" t="s">
        <v>521</v>
      </c>
      <c r="AB73" s="2770"/>
      <c r="AC73" s="2449"/>
      <c r="AD73" s="2449"/>
      <c r="AE73" s="2449"/>
      <c r="AF73" s="2449"/>
      <c r="AG73" s="2449"/>
      <c r="AH73" s="2449"/>
      <c r="AI73" s="2449"/>
      <c r="AJ73" s="2449"/>
      <c r="AK73" s="2449"/>
      <c r="AL73" s="2449"/>
      <c r="AM73" s="2449"/>
      <c r="AN73" s="2449"/>
      <c r="AO73" s="2449"/>
      <c r="AP73" s="2449"/>
      <c r="AQ73" s="2449"/>
      <c r="AR73" s="2449"/>
      <c r="AS73" s="2449"/>
      <c r="AT73" s="2449"/>
      <c r="AU73" s="2449"/>
      <c r="AV73" s="2449"/>
      <c r="AW73" s="2449"/>
      <c r="AX73" s="2449"/>
      <c r="AY73" s="2449"/>
      <c r="AZ73" s="2449"/>
      <c r="BA73" s="2449"/>
      <c r="BB73" s="2449"/>
      <c r="BC73" s="2449"/>
      <c r="BD73" s="2449"/>
      <c r="BE73" s="2449"/>
      <c r="BF73" s="2449"/>
      <c r="BG73" s="2449"/>
      <c r="BH73" s="2449"/>
      <c r="BI73" s="2449"/>
      <c r="BJ73" s="2388"/>
      <c r="BK73" s="2695"/>
      <c r="BL73" s="2695"/>
      <c r="BM73" s="2698"/>
      <c r="BN73" s="2763"/>
      <c r="BO73" s="2700"/>
      <c r="BP73" s="2700"/>
      <c r="BQ73" s="2685"/>
      <c r="BR73" s="2688"/>
      <c r="BS73" s="2685"/>
      <c r="BT73" s="2688"/>
      <c r="BU73" s="2645"/>
    </row>
    <row r="74" spans="1:93" s="28" customFormat="1" ht="27" customHeight="1" x14ac:dyDescent="0.25">
      <c r="A74" s="601">
        <v>3</v>
      </c>
      <c r="B74" s="2753" t="s">
        <v>525</v>
      </c>
      <c r="C74" s="2675"/>
      <c r="D74" s="2675"/>
      <c r="E74" s="2675"/>
      <c r="F74" s="2675"/>
      <c r="G74" s="2675"/>
      <c r="H74" s="2675"/>
      <c r="I74" s="299"/>
      <c r="J74" s="298"/>
      <c r="K74" s="299"/>
      <c r="L74" s="298"/>
      <c r="M74" s="299"/>
      <c r="N74" s="298"/>
      <c r="O74" s="299"/>
      <c r="P74" s="299"/>
      <c r="Q74" s="299"/>
      <c r="R74" s="298"/>
      <c r="S74" s="302"/>
      <c r="T74" s="304"/>
      <c r="U74" s="298"/>
      <c r="V74" s="298"/>
      <c r="W74" s="298"/>
      <c r="X74" s="516"/>
      <c r="Y74" s="516"/>
      <c r="Z74" s="516"/>
      <c r="AA74" s="19"/>
      <c r="AB74" s="454"/>
      <c r="AC74" s="298"/>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517"/>
      <c r="BL74" s="517"/>
      <c r="BM74" s="455"/>
      <c r="BN74" s="299"/>
      <c r="BO74" s="298"/>
      <c r="BP74" s="298"/>
      <c r="BQ74" s="299"/>
      <c r="BR74" s="299"/>
      <c r="BS74" s="299"/>
      <c r="BT74" s="299"/>
      <c r="BU74" s="298"/>
      <c r="BV74" s="2"/>
      <c r="BW74" s="2"/>
      <c r="BX74" s="2"/>
      <c r="BY74" s="2"/>
      <c r="BZ74" s="2"/>
      <c r="CA74" s="2"/>
      <c r="CB74" s="2"/>
      <c r="CC74" s="2"/>
      <c r="CD74" s="2"/>
      <c r="CE74" s="2"/>
      <c r="CF74" s="2"/>
      <c r="CG74" s="2"/>
      <c r="CH74" s="2"/>
      <c r="CI74" s="2"/>
      <c r="CJ74" s="2"/>
      <c r="CK74" s="2"/>
      <c r="CL74" s="2"/>
      <c r="CM74" s="2"/>
      <c r="CN74" s="2"/>
      <c r="CO74" s="2"/>
    </row>
    <row r="75" spans="1:93" s="69" customFormat="1" ht="27" customHeight="1" x14ac:dyDescent="0.25">
      <c r="A75" s="2755"/>
      <c r="B75" s="2756"/>
      <c r="C75" s="474">
        <v>24</v>
      </c>
      <c r="D75" s="2656" t="s">
        <v>526</v>
      </c>
      <c r="E75" s="2656"/>
      <c r="F75" s="2656"/>
      <c r="G75" s="2656"/>
      <c r="H75" s="2656"/>
      <c r="I75" s="2656"/>
      <c r="J75" s="2656"/>
      <c r="K75" s="2656"/>
      <c r="L75" s="2656"/>
      <c r="M75" s="2656"/>
      <c r="N75" s="313"/>
      <c r="O75" s="312"/>
      <c r="P75" s="312"/>
      <c r="Q75" s="312"/>
      <c r="R75" s="313"/>
      <c r="S75" s="315"/>
      <c r="T75" s="317"/>
      <c r="U75" s="313"/>
      <c r="V75" s="313"/>
      <c r="W75" s="313"/>
      <c r="X75" s="483"/>
      <c r="Y75" s="483"/>
      <c r="Z75" s="483"/>
      <c r="AA75" s="33"/>
      <c r="AB75" s="518"/>
      <c r="AC75" s="313"/>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519"/>
      <c r="BL75" s="519"/>
      <c r="BM75" s="520"/>
      <c r="BN75" s="312"/>
      <c r="BO75" s="313"/>
      <c r="BP75" s="313"/>
      <c r="BQ75" s="312"/>
      <c r="BR75" s="312"/>
      <c r="BS75" s="312"/>
      <c r="BT75" s="312"/>
      <c r="BU75" s="313"/>
      <c r="BV75" s="70"/>
      <c r="BW75" s="70"/>
      <c r="BX75" s="70"/>
      <c r="BY75" s="70"/>
      <c r="BZ75" s="70"/>
      <c r="CA75" s="70"/>
      <c r="CB75" s="70"/>
      <c r="CC75" s="70"/>
      <c r="CD75" s="70"/>
      <c r="CE75" s="70"/>
      <c r="CF75" s="70"/>
      <c r="CG75" s="70"/>
      <c r="CH75" s="70"/>
      <c r="CI75" s="70"/>
      <c r="CJ75" s="70"/>
      <c r="CK75" s="70"/>
      <c r="CL75" s="70"/>
      <c r="CM75" s="70"/>
      <c r="CN75" s="70"/>
      <c r="CO75" s="70"/>
    </row>
    <row r="76" spans="1:93" s="2" customFormat="1" ht="27" customHeight="1" x14ac:dyDescent="0.25">
      <c r="A76" s="2757"/>
      <c r="B76" s="2758"/>
      <c r="C76" s="602"/>
      <c r="D76" s="603"/>
      <c r="E76" s="521">
        <v>2402</v>
      </c>
      <c r="F76" s="2657" t="s">
        <v>527</v>
      </c>
      <c r="G76" s="2657"/>
      <c r="H76" s="2657"/>
      <c r="I76" s="2657"/>
      <c r="J76" s="2657"/>
      <c r="K76" s="2657"/>
      <c r="L76" s="2657"/>
      <c r="M76" s="188"/>
      <c r="N76" s="323"/>
      <c r="O76" s="188"/>
      <c r="P76" s="188"/>
      <c r="Q76" s="188"/>
      <c r="R76" s="323"/>
      <c r="S76" s="186"/>
      <c r="T76" s="322"/>
      <c r="U76" s="323"/>
      <c r="V76" s="323"/>
      <c r="W76" s="323"/>
      <c r="X76" s="490"/>
      <c r="Y76" s="490"/>
      <c r="Z76" s="490"/>
      <c r="AA76" s="57"/>
      <c r="AB76" s="192"/>
      <c r="AC76" s="323"/>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491"/>
      <c r="BL76" s="491"/>
      <c r="BM76" s="492"/>
      <c r="BN76" s="188"/>
      <c r="BO76" s="323"/>
      <c r="BP76" s="323"/>
      <c r="BQ76" s="188"/>
      <c r="BR76" s="188"/>
      <c r="BS76" s="188"/>
      <c r="BT76" s="188"/>
      <c r="BU76" s="323"/>
    </row>
    <row r="77" spans="1:93" ht="84.75" customHeight="1" x14ac:dyDescent="0.25">
      <c r="A77" s="2757"/>
      <c r="B77" s="2758"/>
      <c r="C77" s="251"/>
      <c r="D77" s="102"/>
      <c r="E77" s="605"/>
      <c r="F77" s="606"/>
      <c r="G77" s="2301" t="s">
        <v>74</v>
      </c>
      <c r="H77" s="2671" t="s">
        <v>528</v>
      </c>
      <c r="I77" s="2301">
        <v>2402022</v>
      </c>
      <c r="J77" s="2671" t="s">
        <v>529</v>
      </c>
      <c r="K77" s="2665" t="s">
        <v>74</v>
      </c>
      <c r="L77" s="2671" t="s">
        <v>530</v>
      </c>
      <c r="M77" s="2665">
        <v>240202200</v>
      </c>
      <c r="N77" s="2671" t="s">
        <v>531</v>
      </c>
      <c r="O77" s="2392">
        <v>1</v>
      </c>
      <c r="P77" s="2392">
        <v>0</v>
      </c>
      <c r="Q77" s="2392" t="s">
        <v>532</v>
      </c>
      <c r="R77" s="2428" t="s">
        <v>533</v>
      </c>
      <c r="S77" s="2492">
        <f>SUM(X77:X79)/T77</f>
        <v>2.1080639965157379E-2</v>
      </c>
      <c r="T77" s="2747">
        <f>SUM(X77:X107)</f>
        <v>4743689004</v>
      </c>
      <c r="U77" s="2428" t="s">
        <v>534</v>
      </c>
      <c r="V77" s="2428" t="s">
        <v>535</v>
      </c>
      <c r="W77" s="522" t="s">
        <v>536</v>
      </c>
      <c r="X77" s="523">
        <f>50000000-16500000</f>
        <v>33500000</v>
      </c>
      <c r="Y77" s="523">
        <v>33500000</v>
      </c>
      <c r="Z77" s="523">
        <v>33500000</v>
      </c>
      <c r="AA77" s="468" t="s">
        <v>537</v>
      </c>
      <c r="AB77" s="2741" t="s">
        <v>538</v>
      </c>
      <c r="AC77" s="2741" t="s">
        <v>539</v>
      </c>
      <c r="AD77" s="2741">
        <v>295972</v>
      </c>
      <c r="AE77" s="2741"/>
      <c r="AF77" s="2741">
        <v>285580</v>
      </c>
      <c r="AG77" s="2741"/>
      <c r="AH77" s="2741">
        <v>135545</v>
      </c>
      <c r="AI77" s="2741"/>
      <c r="AJ77" s="2741">
        <v>44254</v>
      </c>
      <c r="AK77" s="2741"/>
      <c r="AL77" s="2741">
        <v>309146</v>
      </c>
      <c r="AM77" s="2741"/>
      <c r="AN77" s="2741">
        <v>92607</v>
      </c>
      <c r="AO77" s="2741"/>
      <c r="AP77" s="2741">
        <v>2145</v>
      </c>
      <c r="AQ77" s="2741"/>
      <c r="AR77" s="2258">
        <v>12718</v>
      </c>
      <c r="AS77" s="2258"/>
      <c r="AT77" s="2741">
        <v>26</v>
      </c>
      <c r="AU77" s="2741"/>
      <c r="AV77" s="2741">
        <v>37</v>
      </c>
      <c r="AW77" s="2741"/>
      <c r="AX77" s="2741">
        <v>0</v>
      </c>
      <c r="AY77" s="2741"/>
      <c r="AZ77" s="2741">
        <v>0</v>
      </c>
      <c r="BA77" s="2741"/>
      <c r="BB77" s="2741">
        <v>44350</v>
      </c>
      <c r="BC77" s="2741"/>
      <c r="BD77" s="2741">
        <v>21944</v>
      </c>
      <c r="BE77" s="2741"/>
      <c r="BF77" s="2741">
        <v>75687</v>
      </c>
      <c r="BG77" s="2741"/>
      <c r="BH77" s="2741">
        <v>581552</v>
      </c>
      <c r="BI77" s="2741"/>
      <c r="BJ77" s="2741">
        <v>32</v>
      </c>
      <c r="BK77" s="2744">
        <f>SUM(Y77:Y107)</f>
        <v>228161201</v>
      </c>
      <c r="BL77" s="2744">
        <f>SUM(Z77:Z107)</f>
        <v>157881500</v>
      </c>
      <c r="BM77" s="2492">
        <f>+BL77/BK77</f>
        <v>0.69197347887382488</v>
      </c>
      <c r="BN77" s="2741" t="s">
        <v>538</v>
      </c>
      <c r="BO77" s="2738" t="s">
        <v>539</v>
      </c>
      <c r="BP77" s="2738" t="s">
        <v>540</v>
      </c>
      <c r="BQ77" s="2683">
        <v>44197</v>
      </c>
      <c r="BR77" s="2686">
        <v>44228</v>
      </c>
      <c r="BS77" s="2683">
        <v>44561</v>
      </c>
      <c r="BT77" s="2686">
        <v>44481</v>
      </c>
      <c r="BU77" s="2643" t="s">
        <v>423</v>
      </c>
    </row>
    <row r="78" spans="1:93" ht="65.45" customHeight="1" x14ac:dyDescent="0.25">
      <c r="A78" s="2757"/>
      <c r="B78" s="2758"/>
      <c r="C78" s="251"/>
      <c r="D78" s="102"/>
      <c r="E78" s="607"/>
      <c r="F78" s="608"/>
      <c r="G78" s="2754"/>
      <c r="H78" s="2672"/>
      <c r="I78" s="2754"/>
      <c r="J78" s="2672"/>
      <c r="K78" s="2666"/>
      <c r="L78" s="2672"/>
      <c r="M78" s="2666"/>
      <c r="N78" s="2672"/>
      <c r="O78" s="2387"/>
      <c r="P78" s="2387"/>
      <c r="Q78" s="2387"/>
      <c r="R78" s="2429"/>
      <c r="S78" s="2707"/>
      <c r="T78" s="2748"/>
      <c r="U78" s="2429"/>
      <c r="V78" s="2429"/>
      <c r="W78" s="522" t="s">
        <v>541</v>
      </c>
      <c r="X78" s="523">
        <v>55300000</v>
      </c>
      <c r="Y78" s="523">
        <f>67679701-(Y77+Y79)</f>
        <v>32779701</v>
      </c>
      <c r="Z78" s="523">
        <v>0</v>
      </c>
      <c r="AA78" s="468" t="s">
        <v>537</v>
      </c>
      <c r="AB78" s="2742"/>
      <c r="AC78" s="2742"/>
      <c r="AD78" s="2742"/>
      <c r="AE78" s="2742"/>
      <c r="AF78" s="2742"/>
      <c r="AG78" s="2742"/>
      <c r="AH78" s="2742"/>
      <c r="AI78" s="2742"/>
      <c r="AJ78" s="2742"/>
      <c r="AK78" s="2742"/>
      <c r="AL78" s="2742"/>
      <c r="AM78" s="2742"/>
      <c r="AN78" s="2742"/>
      <c r="AO78" s="2742"/>
      <c r="AP78" s="2742"/>
      <c r="AQ78" s="2742"/>
      <c r="AR78" s="2258"/>
      <c r="AS78" s="2258"/>
      <c r="AT78" s="2742"/>
      <c r="AU78" s="2742"/>
      <c r="AV78" s="2742"/>
      <c r="AW78" s="2742"/>
      <c r="AX78" s="2742"/>
      <c r="AY78" s="2742"/>
      <c r="AZ78" s="2742"/>
      <c r="BA78" s="2742"/>
      <c r="BB78" s="2742"/>
      <c r="BC78" s="2742"/>
      <c r="BD78" s="2742"/>
      <c r="BE78" s="2742"/>
      <c r="BF78" s="2742"/>
      <c r="BG78" s="2742"/>
      <c r="BH78" s="2742"/>
      <c r="BI78" s="2742"/>
      <c r="BJ78" s="2742"/>
      <c r="BK78" s="2745"/>
      <c r="BL78" s="2745"/>
      <c r="BM78" s="2707"/>
      <c r="BN78" s="2742"/>
      <c r="BO78" s="2739"/>
      <c r="BP78" s="2739"/>
      <c r="BQ78" s="2684"/>
      <c r="BR78" s="2687"/>
      <c r="BS78" s="2684"/>
      <c r="BT78" s="2687"/>
      <c r="BU78" s="2644"/>
    </row>
    <row r="79" spans="1:93" ht="65.45" customHeight="1" x14ac:dyDescent="0.25">
      <c r="A79" s="2757"/>
      <c r="B79" s="2758"/>
      <c r="C79" s="251"/>
      <c r="D79" s="102"/>
      <c r="E79" s="607"/>
      <c r="F79" s="608"/>
      <c r="G79" s="2503"/>
      <c r="H79" s="2673"/>
      <c r="I79" s="2503"/>
      <c r="J79" s="2673"/>
      <c r="K79" s="2667"/>
      <c r="L79" s="2673"/>
      <c r="M79" s="2667"/>
      <c r="N79" s="2673"/>
      <c r="O79" s="2388"/>
      <c r="P79" s="2388"/>
      <c r="Q79" s="2387"/>
      <c r="R79" s="2429"/>
      <c r="S79" s="2708"/>
      <c r="T79" s="2748"/>
      <c r="U79" s="2429"/>
      <c r="V79" s="2429"/>
      <c r="W79" s="522" t="s">
        <v>542</v>
      </c>
      <c r="X79" s="523">
        <v>11200000</v>
      </c>
      <c r="Y79" s="523">
        <v>1400000</v>
      </c>
      <c r="Z79" s="523">
        <v>0</v>
      </c>
      <c r="AA79" s="468" t="s">
        <v>537</v>
      </c>
      <c r="AB79" s="2742"/>
      <c r="AC79" s="2742"/>
      <c r="AD79" s="2742"/>
      <c r="AE79" s="2742"/>
      <c r="AF79" s="2742"/>
      <c r="AG79" s="2742"/>
      <c r="AH79" s="2742"/>
      <c r="AI79" s="2742"/>
      <c r="AJ79" s="2742"/>
      <c r="AK79" s="2742"/>
      <c r="AL79" s="2742"/>
      <c r="AM79" s="2742"/>
      <c r="AN79" s="2742"/>
      <c r="AO79" s="2742"/>
      <c r="AP79" s="2742"/>
      <c r="AQ79" s="2742"/>
      <c r="AR79" s="2258"/>
      <c r="AS79" s="2258"/>
      <c r="AT79" s="2742"/>
      <c r="AU79" s="2742"/>
      <c r="AV79" s="2742"/>
      <c r="AW79" s="2742"/>
      <c r="AX79" s="2742"/>
      <c r="AY79" s="2742"/>
      <c r="AZ79" s="2742"/>
      <c r="BA79" s="2742"/>
      <c r="BB79" s="2742"/>
      <c r="BC79" s="2742"/>
      <c r="BD79" s="2742"/>
      <c r="BE79" s="2742"/>
      <c r="BF79" s="2742"/>
      <c r="BG79" s="2742"/>
      <c r="BH79" s="2742"/>
      <c r="BI79" s="2742"/>
      <c r="BJ79" s="2742"/>
      <c r="BK79" s="2745"/>
      <c r="BL79" s="2745"/>
      <c r="BM79" s="2707"/>
      <c r="BN79" s="2742"/>
      <c r="BO79" s="2739"/>
      <c r="BP79" s="2739"/>
      <c r="BQ79" s="2684"/>
      <c r="BR79" s="2687"/>
      <c r="BS79" s="2684"/>
      <c r="BT79" s="2687"/>
      <c r="BU79" s="2644"/>
    </row>
    <row r="80" spans="1:93" ht="42" customHeight="1" x14ac:dyDescent="0.25">
      <c r="A80" s="2757"/>
      <c r="B80" s="2758"/>
      <c r="C80" s="251"/>
      <c r="D80" s="102"/>
      <c r="E80" s="607"/>
      <c r="F80" s="608"/>
      <c r="G80" s="2665" t="s">
        <v>74</v>
      </c>
      <c r="H80" s="2671" t="s">
        <v>543</v>
      </c>
      <c r="I80" s="2735">
        <v>2402041</v>
      </c>
      <c r="J80" s="2671" t="s">
        <v>544</v>
      </c>
      <c r="K80" s="2665" t="s">
        <v>74</v>
      </c>
      <c r="L80" s="2649" t="s">
        <v>545</v>
      </c>
      <c r="M80" s="2665">
        <v>240204100</v>
      </c>
      <c r="N80" s="2649" t="s">
        <v>546</v>
      </c>
      <c r="O80" s="2392">
        <v>130</v>
      </c>
      <c r="P80" s="2392">
        <v>32.03</v>
      </c>
      <c r="Q80" s="2387"/>
      <c r="R80" s="2429"/>
      <c r="S80" s="2492">
        <f>SUM(X80:X107)/T77</f>
        <v>0.97891936003484259</v>
      </c>
      <c r="T80" s="2748"/>
      <c r="U80" s="2429"/>
      <c r="V80" s="2429"/>
      <c r="W80" s="2725" t="s">
        <v>547</v>
      </c>
      <c r="X80" s="523">
        <v>0</v>
      </c>
      <c r="Y80" s="523">
        <v>0</v>
      </c>
      <c r="Z80" s="523">
        <v>0</v>
      </c>
      <c r="AA80" s="468" t="s">
        <v>548</v>
      </c>
      <c r="AB80" s="2742"/>
      <c r="AC80" s="2742"/>
      <c r="AD80" s="2742"/>
      <c r="AE80" s="2742"/>
      <c r="AF80" s="2742"/>
      <c r="AG80" s="2742"/>
      <c r="AH80" s="2742"/>
      <c r="AI80" s="2742"/>
      <c r="AJ80" s="2742"/>
      <c r="AK80" s="2742"/>
      <c r="AL80" s="2742"/>
      <c r="AM80" s="2742"/>
      <c r="AN80" s="2742"/>
      <c r="AO80" s="2742"/>
      <c r="AP80" s="2742"/>
      <c r="AQ80" s="2742"/>
      <c r="AR80" s="2258"/>
      <c r="AS80" s="2258"/>
      <c r="AT80" s="2742"/>
      <c r="AU80" s="2742"/>
      <c r="AV80" s="2742"/>
      <c r="AW80" s="2742"/>
      <c r="AX80" s="2742"/>
      <c r="AY80" s="2742"/>
      <c r="AZ80" s="2742"/>
      <c r="BA80" s="2742"/>
      <c r="BB80" s="2742"/>
      <c r="BC80" s="2742"/>
      <c r="BD80" s="2742"/>
      <c r="BE80" s="2742"/>
      <c r="BF80" s="2742"/>
      <c r="BG80" s="2742"/>
      <c r="BH80" s="2742"/>
      <c r="BI80" s="2742"/>
      <c r="BJ80" s="2742"/>
      <c r="BK80" s="2745"/>
      <c r="BL80" s="2745"/>
      <c r="BM80" s="2707"/>
      <c r="BN80" s="2742"/>
      <c r="BO80" s="2739"/>
      <c r="BP80" s="2739"/>
      <c r="BQ80" s="2684"/>
      <c r="BR80" s="2687"/>
      <c r="BS80" s="2684"/>
      <c r="BT80" s="2687"/>
      <c r="BU80" s="2644"/>
    </row>
    <row r="81" spans="1:73" ht="42" customHeight="1" x14ac:dyDescent="0.25">
      <c r="A81" s="2757"/>
      <c r="B81" s="2758"/>
      <c r="C81" s="251"/>
      <c r="D81" s="102"/>
      <c r="E81" s="607"/>
      <c r="F81" s="608"/>
      <c r="G81" s="2666"/>
      <c r="H81" s="2672"/>
      <c r="I81" s="2736"/>
      <c r="J81" s="2672"/>
      <c r="K81" s="2666"/>
      <c r="L81" s="2650"/>
      <c r="M81" s="2666"/>
      <c r="N81" s="2650"/>
      <c r="O81" s="2387"/>
      <c r="P81" s="2387"/>
      <c r="Q81" s="2387"/>
      <c r="R81" s="2429"/>
      <c r="S81" s="2707"/>
      <c r="T81" s="2748"/>
      <c r="U81" s="2429"/>
      <c r="V81" s="2429"/>
      <c r="W81" s="2750"/>
      <c r="X81" s="524">
        <v>40000000</v>
      </c>
      <c r="Y81" s="524"/>
      <c r="Z81" s="524"/>
      <c r="AA81" s="525" t="s">
        <v>549</v>
      </c>
      <c r="AB81" s="2742"/>
      <c r="AC81" s="2742"/>
      <c r="AD81" s="2742"/>
      <c r="AE81" s="2742"/>
      <c r="AF81" s="2742"/>
      <c r="AG81" s="2742"/>
      <c r="AH81" s="2742"/>
      <c r="AI81" s="2742"/>
      <c r="AJ81" s="2742"/>
      <c r="AK81" s="2742"/>
      <c r="AL81" s="2742"/>
      <c r="AM81" s="2742"/>
      <c r="AN81" s="2742"/>
      <c r="AO81" s="2742"/>
      <c r="AP81" s="2742"/>
      <c r="AQ81" s="2742"/>
      <c r="AR81" s="2258"/>
      <c r="AS81" s="2258"/>
      <c r="AT81" s="2742"/>
      <c r="AU81" s="2742"/>
      <c r="AV81" s="2742"/>
      <c r="AW81" s="2742"/>
      <c r="AX81" s="2742"/>
      <c r="AY81" s="2742"/>
      <c r="AZ81" s="2742"/>
      <c r="BA81" s="2742"/>
      <c r="BB81" s="2742"/>
      <c r="BC81" s="2742"/>
      <c r="BD81" s="2742"/>
      <c r="BE81" s="2742"/>
      <c r="BF81" s="2742"/>
      <c r="BG81" s="2742"/>
      <c r="BH81" s="2742"/>
      <c r="BI81" s="2742"/>
      <c r="BJ81" s="2742"/>
      <c r="BK81" s="2745"/>
      <c r="BL81" s="2745"/>
      <c r="BM81" s="2707"/>
      <c r="BN81" s="2742"/>
      <c r="BO81" s="2739"/>
      <c r="BP81" s="2739"/>
      <c r="BQ81" s="2684"/>
      <c r="BR81" s="2687"/>
      <c r="BS81" s="2684"/>
      <c r="BT81" s="2687"/>
      <c r="BU81" s="2644"/>
    </row>
    <row r="82" spans="1:73" ht="42" customHeight="1" x14ac:dyDescent="0.25">
      <c r="A82" s="2757"/>
      <c r="B82" s="2758"/>
      <c r="C82" s="251"/>
      <c r="D82" s="102"/>
      <c r="E82" s="607"/>
      <c r="F82" s="608"/>
      <c r="G82" s="2666"/>
      <c r="H82" s="2672"/>
      <c r="I82" s="2736"/>
      <c r="J82" s="2672"/>
      <c r="K82" s="2666"/>
      <c r="L82" s="2650"/>
      <c r="M82" s="2666"/>
      <c r="N82" s="2650"/>
      <c r="O82" s="2387"/>
      <c r="P82" s="2387"/>
      <c r="Q82" s="2387"/>
      <c r="R82" s="2429"/>
      <c r="S82" s="2707"/>
      <c r="T82" s="2748"/>
      <c r="U82" s="2429"/>
      <c r="V82" s="2429"/>
      <c r="W82" s="2750"/>
      <c r="X82" s="524">
        <v>1682500000</v>
      </c>
      <c r="Y82" s="524"/>
      <c r="Z82" s="524"/>
      <c r="AA82" s="525" t="s">
        <v>550</v>
      </c>
      <c r="AB82" s="2742"/>
      <c r="AC82" s="2742"/>
      <c r="AD82" s="2742"/>
      <c r="AE82" s="2742"/>
      <c r="AF82" s="2742"/>
      <c r="AG82" s="2742"/>
      <c r="AH82" s="2742"/>
      <c r="AI82" s="2742"/>
      <c r="AJ82" s="2742"/>
      <c r="AK82" s="2742"/>
      <c r="AL82" s="2742"/>
      <c r="AM82" s="2742"/>
      <c r="AN82" s="2742"/>
      <c r="AO82" s="2742"/>
      <c r="AP82" s="2742"/>
      <c r="AQ82" s="2742"/>
      <c r="AR82" s="2258"/>
      <c r="AS82" s="2258"/>
      <c r="AT82" s="2742"/>
      <c r="AU82" s="2742"/>
      <c r="AV82" s="2742"/>
      <c r="AW82" s="2742"/>
      <c r="AX82" s="2742"/>
      <c r="AY82" s="2742"/>
      <c r="AZ82" s="2742"/>
      <c r="BA82" s="2742"/>
      <c r="BB82" s="2742"/>
      <c r="BC82" s="2742"/>
      <c r="BD82" s="2742"/>
      <c r="BE82" s="2742"/>
      <c r="BF82" s="2742"/>
      <c r="BG82" s="2742"/>
      <c r="BH82" s="2742"/>
      <c r="BI82" s="2742"/>
      <c r="BJ82" s="2742"/>
      <c r="BK82" s="2745"/>
      <c r="BL82" s="2745"/>
      <c r="BM82" s="2707"/>
      <c r="BN82" s="2742"/>
      <c r="BO82" s="2739"/>
      <c r="BP82" s="2739"/>
      <c r="BQ82" s="2684"/>
      <c r="BR82" s="2687"/>
      <c r="BS82" s="2684"/>
      <c r="BT82" s="2687"/>
      <c r="BU82" s="2644"/>
    </row>
    <row r="83" spans="1:73" ht="42" customHeight="1" x14ac:dyDescent="0.25">
      <c r="A83" s="2757"/>
      <c r="B83" s="2758"/>
      <c r="C83" s="251"/>
      <c r="D83" s="102"/>
      <c r="E83" s="607"/>
      <c r="F83" s="608"/>
      <c r="G83" s="2666"/>
      <c r="H83" s="2672"/>
      <c r="I83" s="2736"/>
      <c r="J83" s="2672"/>
      <c r="K83" s="2666"/>
      <c r="L83" s="2650"/>
      <c r="M83" s="2666"/>
      <c r="N83" s="2650"/>
      <c r="O83" s="2387"/>
      <c r="P83" s="2387"/>
      <c r="Q83" s="2387"/>
      <c r="R83" s="2429"/>
      <c r="S83" s="2707"/>
      <c r="T83" s="2748"/>
      <c r="U83" s="2429"/>
      <c r="V83" s="2429"/>
      <c r="W83" s="2750"/>
      <c r="X83" s="524">
        <v>15000000</v>
      </c>
      <c r="Y83" s="524"/>
      <c r="Z83" s="524"/>
      <c r="AA83" s="468" t="s">
        <v>551</v>
      </c>
      <c r="AB83" s="2742"/>
      <c r="AC83" s="2742"/>
      <c r="AD83" s="2742"/>
      <c r="AE83" s="2742"/>
      <c r="AF83" s="2742"/>
      <c r="AG83" s="2742"/>
      <c r="AH83" s="2742"/>
      <c r="AI83" s="2742"/>
      <c r="AJ83" s="2742"/>
      <c r="AK83" s="2742"/>
      <c r="AL83" s="2742"/>
      <c r="AM83" s="2742"/>
      <c r="AN83" s="2742"/>
      <c r="AO83" s="2742"/>
      <c r="AP83" s="2742"/>
      <c r="AQ83" s="2742"/>
      <c r="AR83" s="2258"/>
      <c r="AS83" s="2258"/>
      <c r="AT83" s="2742"/>
      <c r="AU83" s="2742"/>
      <c r="AV83" s="2742"/>
      <c r="AW83" s="2742"/>
      <c r="AX83" s="2742"/>
      <c r="AY83" s="2742"/>
      <c r="AZ83" s="2742"/>
      <c r="BA83" s="2742"/>
      <c r="BB83" s="2742"/>
      <c r="BC83" s="2742"/>
      <c r="BD83" s="2742"/>
      <c r="BE83" s="2742"/>
      <c r="BF83" s="2742"/>
      <c r="BG83" s="2742"/>
      <c r="BH83" s="2742"/>
      <c r="BI83" s="2742"/>
      <c r="BJ83" s="2742"/>
      <c r="BK83" s="2745"/>
      <c r="BL83" s="2745"/>
      <c r="BM83" s="2707"/>
      <c r="BN83" s="2742"/>
      <c r="BO83" s="2739"/>
      <c r="BP83" s="2739"/>
      <c r="BQ83" s="2684"/>
      <c r="BR83" s="2687"/>
      <c r="BS83" s="2684"/>
      <c r="BT83" s="2687"/>
      <c r="BU83" s="2644"/>
    </row>
    <row r="84" spans="1:73" ht="75" customHeight="1" x14ac:dyDescent="0.25">
      <c r="A84" s="2757"/>
      <c r="B84" s="2758"/>
      <c r="C84" s="251"/>
      <c r="D84" s="102"/>
      <c r="E84" s="607"/>
      <c r="F84" s="608"/>
      <c r="G84" s="2666"/>
      <c r="H84" s="2672"/>
      <c r="I84" s="2736"/>
      <c r="J84" s="2672"/>
      <c r="K84" s="2666"/>
      <c r="L84" s="2650"/>
      <c r="M84" s="2666"/>
      <c r="N84" s="2650"/>
      <c r="O84" s="2387"/>
      <c r="P84" s="2387"/>
      <c r="Q84" s="2387"/>
      <c r="R84" s="2429"/>
      <c r="S84" s="2707"/>
      <c r="T84" s="2748"/>
      <c r="U84" s="2429"/>
      <c r="V84" s="2429"/>
      <c r="W84" s="2750"/>
      <c r="X84" s="524">
        <v>2000000</v>
      </c>
      <c r="Y84" s="524"/>
      <c r="Z84" s="524"/>
      <c r="AA84" s="468" t="s">
        <v>552</v>
      </c>
      <c r="AB84" s="2742"/>
      <c r="AC84" s="2742"/>
      <c r="AD84" s="2742"/>
      <c r="AE84" s="2742"/>
      <c r="AF84" s="2742"/>
      <c r="AG84" s="2742"/>
      <c r="AH84" s="2742"/>
      <c r="AI84" s="2742"/>
      <c r="AJ84" s="2742"/>
      <c r="AK84" s="2742"/>
      <c r="AL84" s="2742"/>
      <c r="AM84" s="2742"/>
      <c r="AN84" s="2742"/>
      <c r="AO84" s="2742"/>
      <c r="AP84" s="2742"/>
      <c r="AQ84" s="2742"/>
      <c r="AR84" s="2258"/>
      <c r="AS84" s="2258"/>
      <c r="AT84" s="2742"/>
      <c r="AU84" s="2742"/>
      <c r="AV84" s="2742"/>
      <c r="AW84" s="2742"/>
      <c r="AX84" s="2742"/>
      <c r="AY84" s="2742"/>
      <c r="AZ84" s="2742"/>
      <c r="BA84" s="2742"/>
      <c r="BB84" s="2742"/>
      <c r="BC84" s="2742"/>
      <c r="BD84" s="2742"/>
      <c r="BE84" s="2742"/>
      <c r="BF84" s="2742"/>
      <c r="BG84" s="2742"/>
      <c r="BH84" s="2742"/>
      <c r="BI84" s="2742"/>
      <c r="BJ84" s="2742"/>
      <c r="BK84" s="2745"/>
      <c r="BL84" s="2745"/>
      <c r="BM84" s="2707"/>
      <c r="BN84" s="2742"/>
      <c r="BO84" s="2739"/>
      <c r="BP84" s="2739"/>
      <c r="BQ84" s="2684"/>
      <c r="BR84" s="2687"/>
      <c r="BS84" s="2684"/>
      <c r="BT84" s="2687"/>
      <c r="BU84" s="2644"/>
    </row>
    <row r="85" spans="1:73" ht="42" customHeight="1" x14ac:dyDescent="0.25">
      <c r="A85" s="2757"/>
      <c r="B85" s="2758"/>
      <c r="C85" s="251"/>
      <c r="D85" s="102"/>
      <c r="E85" s="607"/>
      <c r="F85" s="608"/>
      <c r="G85" s="2666"/>
      <c r="H85" s="2672"/>
      <c r="I85" s="2736"/>
      <c r="J85" s="2672"/>
      <c r="K85" s="2666"/>
      <c r="L85" s="2650"/>
      <c r="M85" s="2666"/>
      <c r="N85" s="2650"/>
      <c r="O85" s="2387"/>
      <c r="P85" s="2387"/>
      <c r="Q85" s="2387"/>
      <c r="R85" s="2429"/>
      <c r="S85" s="2707"/>
      <c r="T85" s="2748"/>
      <c r="U85" s="2429"/>
      <c r="V85" s="2429"/>
      <c r="W85" s="2750"/>
      <c r="X85" s="524">
        <v>2000000</v>
      </c>
      <c r="Y85" s="524"/>
      <c r="Z85" s="524"/>
      <c r="AA85" s="468" t="s">
        <v>553</v>
      </c>
      <c r="AB85" s="2742"/>
      <c r="AC85" s="2742"/>
      <c r="AD85" s="2742"/>
      <c r="AE85" s="2742"/>
      <c r="AF85" s="2742"/>
      <c r="AG85" s="2742"/>
      <c r="AH85" s="2742"/>
      <c r="AI85" s="2742"/>
      <c r="AJ85" s="2742"/>
      <c r="AK85" s="2742"/>
      <c r="AL85" s="2742"/>
      <c r="AM85" s="2742"/>
      <c r="AN85" s="2742"/>
      <c r="AO85" s="2742"/>
      <c r="AP85" s="2742"/>
      <c r="AQ85" s="2742"/>
      <c r="AR85" s="2258"/>
      <c r="AS85" s="2258"/>
      <c r="AT85" s="2742"/>
      <c r="AU85" s="2742"/>
      <c r="AV85" s="2742"/>
      <c r="AW85" s="2742"/>
      <c r="AX85" s="2742"/>
      <c r="AY85" s="2742"/>
      <c r="AZ85" s="2742"/>
      <c r="BA85" s="2742"/>
      <c r="BB85" s="2742"/>
      <c r="BC85" s="2742"/>
      <c r="BD85" s="2742"/>
      <c r="BE85" s="2742"/>
      <c r="BF85" s="2742"/>
      <c r="BG85" s="2742"/>
      <c r="BH85" s="2742"/>
      <c r="BI85" s="2742"/>
      <c r="BJ85" s="2742"/>
      <c r="BK85" s="2745"/>
      <c r="BL85" s="2745"/>
      <c r="BM85" s="2707"/>
      <c r="BN85" s="2742"/>
      <c r="BO85" s="2739"/>
      <c r="BP85" s="2739"/>
      <c r="BQ85" s="2684"/>
      <c r="BR85" s="2687"/>
      <c r="BS85" s="2684"/>
      <c r="BT85" s="2687"/>
      <c r="BU85" s="2644"/>
    </row>
    <row r="86" spans="1:73" ht="42" customHeight="1" x14ac:dyDescent="0.25">
      <c r="A86" s="2757"/>
      <c r="B86" s="2758"/>
      <c r="C86" s="251"/>
      <c r="D86" s="102"/>
      <c r="E86" s="607"/>
      <c r="F86" s="608"/>
      <c r="G86" s="2666"/>
      <c r="H86" s="2672"/>
      <c r="I86" s="2736"/>
      <c r="J86" s="2672"/>
      <c r="K86" s="2666"/>
      <c r="L86" s="2650"/>
      <c r="M86" s="2666"/>
      <c r="N86" s="2650"/>
      <c r="O86" s="2387"/>
      <c r="P86" s="2387"/>
      <c r="Q86" s="2387"/>
      <c r="R86" s="2429"/>
      <c r="S86" s="2707"/>
      <c r="T86" s="2748"/>
      <c r="U86" s="2429"/>
      <c r="V86" s="2429"/>
      <c r="W86" s="2726"/>
      <c r="X86" s="524">
        <v>1000000</v>
      </c>
      <c r="Y86" s="524"/>
      <c r="Z86" s="524"/>
      <c r="AA86" s="468" t="s">
        <v>554</v>
      </c>
      <c r="AB86" s="2742"/>
      <c r="AC86" s="2742"/>
      <c r="AD86" s="2742"/>
      <c r="AE86" s="2742"/>
      <c r="AF86" s="2742"/>
      <c r="AG86" s="2742"/>
      <c r="AH86" s="2742"/>
      <c r="AI86" s="2742"/>
      <c r="AJ86" s="2742"/>
      <c r="AK86" s="2742"/>
      <c r="AL86" s="2742"/>
      <c r="AM86" s="2742"/>
      <c r="AN86" s="2742"/>
      <c r="AO86" s="2742"/>
      <c r="AP86" s="2742"/>
      <c r="AQ86" s="2742"/>
      <c r="AR86" s="2258"/>
      <c r="AS86" s="2258"/>
      <c r="AT86" s="2742"/>
      <c r="AU86" s="2742"/>
      <c r="AV86" s="2742"/>
      <c r="AW86" s="2742"/>
      <c r="AX86" s="2742"/>
      <c r="AY86" s="2742"/>
      <c r="AZ86" s="2742"/>
      <c r="BA86" s="2742"/>
      <c r="BB86" s="2742"/>
      <c r="BC86" s="2742"/>
      <c r="BD86" s="2742"/>
      <c r="BE86" s="2742"/>
      <c r="BF86" s="2742"/>
      <c r="BG86" s="2742"/>
      <c r="BH86" s="2742"/>
      <c r="BI86" s="2742"/>
      <c r="BJ86" s="2742"/>
      <c r="BK86" s="2745"/>
      <c r="BL86" s="2745"/>
      <c r="BM86" s="2707"/>
      <c r="BN86" s="2742"/>
      <c r="BO86" s="2739"/>
      <c r="BP86" s="2739"/>
      <c r="BQ86" s="2684"/>
      <c r="BR86" s="2687"/>
      <c r="BS86" s="2684"/>
      <c r="BT86" s="2687"/>
      <c r="BU86" s="2644"/>
    </row>
    <row r="87" spans="1:73" ht="60" x14ac:dyDescent="0.25">
      <c r="A87" s="2757"/>
      <c r="B87" s="2758"/>
      <c r="C87" s="251"/>
      <c r="D87" s="102"/>
      <c r="E87" s="607"/>
      <c r="F87" s="608"/>
      <c r="G87" s="2666"/>
      <c r="H87" s="2672"/>
      <c r="I87" s="2736"/>
      <c r="J87" s="2672"/>
      <c r="K87" s="2666"/>
      <c r="L87" s="2650"/>
      <c r="M87" s="2666"/>
      <c r="N87" s="2650"/>
      <c r="O87" s="2387"/>
      <c r="P87" s="2387"/>
      <c r="Q87" s="2387"/>
      <c r="R87" s="2429"/>
      <c r="S87" s="2707"/>
      <c r="T87" s="2748"/>
      <c r="U87" s="2429"/>
      <c r="V87" s="2429"/>
      <c r="W87" s="522" t="s">
        <v>555</v>
      </c>
      <c r="X87" s="523">
        <f>40000000-25000000</f>
        <v>15000000</v>
      </c>
      <c r="Y87" s="523">
        <v>14400000</v>
      </c>
      <c r="Z87" s="523">
        <v>10800000</v>
      </c>
      <c r="AA87" s="468" t="s">
        <v>548</v>
      </c>
      <c r="AB87" s="2742"/>
      <c r="AC87" s="2742"/>
      <c r="AD87" s="2742"/>
      <c r="AE87" s="2742"/>
      <c r="AF87" s="2742"/>
      <c r="AG87" s="2742"/>
      <c r="AH87" s="2742"/>
      <c r="AI87" s="2742"/>
      <c r="AJ87" s="2742"/>
      <c r="AK87" s="2742"/>
      <c r="AL87" s="2742"/>
      <c r="AM87" s="2742"/>
      <c r="AN87" s="2742"/>
      <c r="AO87" s="2742"/>
      <c r="AP87" s="2742"/>
      <c r="AQ87" s="2742"/>
      <c r="AR87" s="2258"/>
      <c r="AS87" s="2258"/>
      <c r="AT87" s="2742"/>
      <c r="AU87" s="2742"/>
      <c r="AV87" s="2742"/>
      <c r="AW87" s="2742"/>
      <c r="AX87" s="2742"/>
      <c r="AY87" s="2742"/>
      <c r="AZ87" s="2742"/>
      <c r="BA87" s="2742"/>
      <c r="BB87" s="2742"/>
      <c r="BC87" s="2742"/>
      <c r="BD87" s="2742"/>
      <c r="BE87" s="2742"/>
      <c r="BF87" s="2742"/>
      <c r="BG87" s="2742"/>
      <c r="BH87" s="2742"/>
      <c r="BI87" s="2742"/>
      <c r="BJ87" s="2742"/>
      <c r="BK87" s="2745"/>
      <c r="BL87" s="2745"/>
      <c r="BM87" s="2707"/>
      <c r="BN87" s="2742"/>
      <c r="BO87" s="2739"/>
      <c r="BP87" s="2739"/>
      <c r="BQ87" s="2684"/>
      <c r="BR87" s="2687"/>
      <c r="BS87" s="2684"/>
      <c r="BT87" s="2687"/>
      <c r="BU87" s="2644"/>
    </row>
    <row r="88" spans="1:73" ht="105" customHeight="1" x14ac:dyDescent="0.25">
      <c r="A88" s="2757"/>
      <c r="B88" s="2758"/>
      <c r="C88" s="251"/>
      <c r="D88" s="102"/>
      <c r="E88" s="607"/>
      <c r="F88" s="608"/>
      <c r="G88" s="2666"/>
      <c r="H88" s="2672"/>
      <c r="I88" s="2736"/>
      <c r="J88" s="2672"/>
      <c r="K88" s="2666"/>
      <c r="L88" s="2650"/>
      <c r="M88" s="2666"/>
      <c r="N88" s="2650"/>
      <c r="O88" s="2387"/>
      <c r="P88" s="2387"/>
      <c r="Q88" s="2387"/>
      <c r="R88" s="2429"/>
      <c r="S88" s="2707"/>
      <c r="T88" s="2748"/>
      <c r="U88" s="2429"/>
      <c r="V88" s="2429"/>
      <c r="W88" s="2725" t="s">
        <v>556</v>
      </c>
      <c r="X88" s="523">
        <v>7200000</v>
      </c>
      <c r="Y88" s="523">
        <v>7200000</v>
      </c>
      <c r="Z88" s="523">
        <v>7200000</v>
      </c>
      <c r="AA88" s="468" t="s">
        <v>548</v>
      </c>
      <c r="AB88" s="2742"/>
      <c r="AC88" s="2742"/>
      <c r="AD88" s="2742"/>
      <c r="AE88" s="2742"/>
      <c r="AF88" s="2742"/>
      <c r="AG88" s="2742"/>
      <c r="AH88" s="2742"/>
      <c r="AI88" s="2742"/>
      <c r="AJ88" s="2742"/>
      <c r="AK88" s="2742"/>
      <c r="AL88" s="2742"/>
      <c r="AM88" s="2742"/>
      <c r="AN88" s="2742"/>
      <c r="AO88" s="2742"/>
      <c r="AP88" s="2742"/>
      <c r="AQ88" s="2742"/>
      <c r="AR88" s="2258"/>
      <c r="AS88" s="2258"/>
      <c r="AT88" s="2742"/>
      <c r="AU88" s="2742"/>
      <c r="AV88" s="2742"/>
      <c r="AW88" s="2742"/>
      <c r="AX88" s="2742"/>
      <c r="AY88" s="2742"/>
      <c r="AZ88" s="2742"/>
      <c r="BA88" s="2742"/>
      <c r="BB88" s="2742"/>
      <c r="BC88" s="2742"/>
      <c r="BD88" s="2742"/>
      <c r="BE88" s="2742"/>
      <c r="BF88" s="2742"/>
      <c r="BG88" s="2742"/>
      <c r="BH88" s="2742"/>
      <c r="BI88" s="2742"/>
      <c r="BJ88" s="2742"/>
      <c r="BK88" s="2745"/>
      <c r="BL88" s="2745"/>
      <c r="BM88" s="2707"/>
      <c r="BN88" s="2742"/>
      <c r="BO88" s="2739"/>
      <c r="BP88" s="2739"/>
      <c r="BQ88" s="2684"/>
      <c r="BR88" s="2687"/>
      <c r="BS88" s="2684"/>
      <c r="BT88" s="2687"/>
      <c r="BU88" s="2644"/>
    </row>
    <row r="89" spans="1:73" ht="39" customHeight="1" x14ac:dyDescent="0.25">
      <c r="A89" s="2757"/>
      <c r="B89" s="2758"/>
      <c r="C89" s="251"/>
      <c r="D89" s="102"/>
      <c r="E89" s="607"/>
      <c r="F89" s="608"/>
      <c r="G89" s="2666"/>
      <c r="H89" s="2672"/>
      <c r="I89" s="2736"/>
      <c r="J89" s="2672"/>
      <c r="K89" s="2666"/>
      <c r="L89" s="2650"/>
      <c r="M89" s="2666"/>
      <c r="N89" s="2650"/>
      <c r="O89" s="2387"/>
      <c r="P89" s="2387"/>
      <c r="Q89" s="2387"/>
      <c r="R89" s="2429"/>
      <c r="S89" s="2707"/>
      <c r="T89" s="2748"/>
      <c r="U89" s="2429"/>
      <c r="V89" s="2429"/>
      <c r="W89" s="2751"/>
      <c r="X89" s="523">
        <v>6000000</v>
      </c>
      <c r="Y89" s="523">
        <v>0</v>
      </c>
      <c r="Z89" s="523"/>
      <c r="AA89" s="468" t="s">
        <v>557</v>
      </c>
      <c r="AB89" s="2742"/>
      <c r="AC89" s="2742"/>
      <c r="AD89" s="2742"/>
      <c r="AE89" s="2742"/>
      <c r="AF89" s="2742"/>
      <c r="AG89" s="2742"/>
      <c r="AH89" s="2742"/>
      <c r="AI89" s="2742"/>
      <c r="AJ89" s="2742"/>
      <c r="AK89" s="2742"/>
      <c r="AL89" s="2742"/>
      <c r="AM89" s="2742"/>
      <c r="AN89" s="2742"/>
      <c r="AO89" s="2742"/>
      <c r="AP89" s="2742"/>
      <c r="AQ89" s="2742"/>
      <c r="AR89" s="2258"/>
      <c r="AS89" s="2258"/>
      <c r="AT89" s="2742"/>
      <c r="AU89" s="2742"/>
      <c r="AV89" s="2742"/>
      <c r="AW89" s="2742"/>
      <c r="AX89" s="2742"/>
      <c r="AY89" s="2742"/>
      <c r="AZ89" s="2742"/>
      <c r="BA89" s="2742"/>
      <c r="BB89" s="2742"/>
      <c r="BC89" s="2742"/>
      <c r="BD89" s="2742"/>
      <c r="BE89" s="2742"/>
      <c r="BF89" s="2742"/>
      <c r="BG89" s="2742"/>
      <c r="BH89" s="2742"/>
      <c r="BI89" s="2742"/>
      <c r="BJ89" s="2742"/>
      <c r="BK89" s="2745"/>
      <c r="BL89" s="2745"/>
      <c r="BM89" s="2707"/>
      <c r="BN89" s="2742"/>
      <c r="BO89" s="2739"/>
      <c r="BP89" s="2739"/>
      <c r="BQ89" s="2684"/>
      <c r="BR89" s="2687"/>
      <c r="BS89" s="2684"/>
      <c r="BT89" s="2687"/>
      <c r="BU89" s="2644"/>
    </row>
    <row r="90" spans="1:73" ht="50.25" customHeight="1" x14ac:dyDescent="0.25">
      <c r="A90" s="2757"/>
      <c r="B90" s="2758"/>
      <c r="C90" s="251"/>
      <c r="D90" s="102"/>
      <c r="E90" s="607"/>
      <c r="F90" s="608"/>
      <c r="G90" s="2666"/>
      <c r="H90" s="2672"/>
      <c r="I90" s="2736"/>
      <c r="J90" s="2672"/>
      <c r="K90" s="2666"/>
      <c r="L90" s="2650"/>
      <c r="M90" s="2666"/>
      <c r="N90" s="2650"/>
      <c r="O90" s="2387"/>
      <c r="P90" s="2387"/>
      <c r="Q90" s="2387"/>
      <c r="R90" s="2429"/>
      <c r="S90" s="2707"/>
      <c r="T90" s="2748"/>
      <c r="U90" s="2429"/>
      <c r="V90" s="2429"/>
      <c r="W90" s="2752" t="s">
        <v>558</v>
      </c>
      <c r="X90" s="523">
        <v>10800000</v>
      </c>
      <c r="Y90" s="523">
        <v>10800000</v>
      </c>
      <c r="Z90" s="523">
        <v>10800000</v>
      </c>
      <c r="AA90" s="468" t="s">
        <v>548</v>
      </c>
      <c r="AB90" s="2742"/>
      <c r="AC90" s="2742"/>
      <c r="AD90" s="2742"/>
      <c r="AE90" s="2742"/>
      <c r="AF90" s="2742"/>
      <c r="AG90" s="2742"/>
      <c r="AH90" s="2742"/>
      <c r="AI90" s="2742"/>
      <c r="AJ90" s="2742"/>
      <c r="AK90" s="2742"/>
      <c r="AL90" s="2742"/>
      <c r="AM90" s="2742"/>
      <c r="AN90" s="2742"/>
      <c r="AO90" s="2742"/>
      <c r="AP90" s="2742"/>
      <c r="AQ90" s="2742"/>
      <c r="AR90" s="2258"/>
      <c r="AS90" s="2258"/>
      <c r="AT90" s="2742"/>
      <c r="AU90" s="2742"/>
      <c r="AV90" s="2742"/>
      <c r="AW90" s="2742"/>
      <c r="AX90" s="2742"/>
      <c r="AY90" s="2742"/>
      <c r="AZ90" s="2742"/>
      <c r="BA90" s="2742"/>
      <c r="BB90" s="2742"/>
      <c r="BC90" s="2742"/>
      <c r="BD90" s="2742"/>
      <c r="BE90" s="2742"/>
      <c r="BF90" s="2742"/>
      <c r="BG90" s="2742"/>
      <c r="BH90" s="2742"/>
      <c r="BI90" s="2742"/>
      <c r="BJ90" s="2742"/>
      <c r="BK90" s="2745"/>
      <c r="BL90" s="2745"/>
      <c r="BM90" s="2707"/>
      <c r="BN90" s="2742"/>
      <c r="BO90" s="2739"/>
      <c r="BP90" s="2739"/>
      <c r="BQ90" s="2684"/>
      <c r="BR90" s="2687"/>
      <c r="BS90" s="2684"/>
      <c r="BT90" s="2687"/>
      <c r="BU90" s="2644"/>
    </row>
    <row r="91" spans="1:73" ht="48" customHeight="1" x14ac:dyDescent="0.25">
      <c r="A91" s="2757"/>
      <c r="B91" s="2758"/>
      <c r="C91" s="251"/>
      <c r="D91" s="102"/>
      <c r="E91" s="607"/>
      <c r="F91" s="608"/>
      <c r="G91" s="2666"/>
      <c r="H91" s="2672"/>
      <c r="I91" s="2736"/>
      <c r="J91" s="2672"/>
      <c r="K91" s="2666"/>
      <c r="L91" s="2650"/>
      <c r="M91" s="2666"/>
      <c r="N91" s="2650"/>
      <c r="O91" s="2387"/>
      <c r="P91" s="2387"/>
      <c r="Q91" s="2387"/>
      <c r="R91" s="2429"/>
      <c r="S91" s="2707"/>
      <c r="T91" s="2748"/>
      <c r="U91" s="2429"/>
      <c r="V91" s="2429"/>
      <c r="W91" s="2751"/>
      <c r="X91" s="523">
        <v>2200000</v>
      </c>
      <c r="Y91" s="523">
        <v>200000</v>
      </c>
      <c r="Z91" s="523"/>
      <c r="AA91" s="468" t="s">
        <v>557</v>
      </c>
      <c r="AB91" s="2742"/>
      <c r="AC91" s="2742"/>
      <c r="AD91" s="2742"/>
      <c r="AE91" s="2742"/>
      <c r="AF91" s="2742"/>
      <c r="AG91" s="2742"/>
      <c r="AH91" s="2742"/>
      <c r="AI91" s="2742"/>
      <c r="AJ91" s="2742"/>
      <c r="AK91" s="2742"/>
      <c r="AL91" s="2742"/>
      <c r="AM91" s="2742"/>
      <c r="AN91" s="2742"/>
      <c r="AO91" s="2742"/>
      <c r="AP91" s="2742"/>
      <c r="AQ91" s="2742"/>
      <c r="AR91" s="2258"/>
      <c r="AS91" s="2258"/>
      <c r="AT91" s="2742"/>
      <c r="AU91" s="2742"/>
      <c r="AV91" s="2742"/>
      <c r="AW91" s="2742"/>
      <c r="AX91" s="2742"/>
      <c r="AY91" s="2742"/>
      <c r="AZ91" s="2742"/>
      <c r="BA91" s="2742"/>
      <c r="BB91" s="2742"/>
      <c r="BC91" s="2742"/>
      <c r="BD91" s="2742"/>
      <c r="BE91" s="2742"/>
      <c r="BF91" s="2742"/>
      <c r="BG91" s="2742"/>
      <c r="BH91" s="2742"/>
      <c r="BI91" s="2742"/>
      <c r="BJ91" s="2742"/>
      <c r="BK91" s="2745"/>
      <c r="BL91" s="2745"/>
      <c r="BM91" s="2707"/>
      <c r="BN91" s="2742"/>
      <c r="BO91" s="2739"/>
      <c r="BP91" s="2739"/>
      <c r="BQ91" s="2684"/>
      <c r="BR91" s="2687"/>
      <c r="BS91" s="2684"/>
      <c r="BT91" s="2687"/>
      <c r="BU91" s="2644"/>
    </row>
    <row r="92" spans="1:73" ht="67.5" customHeight="1" x14ac:dyDescent="0.25">
      <c r="A92" s="2757"/>
      <c r="B92" s="2758"/>
      <c r="C92" s="251"/>
      <c r="D92" s="102"/>
      <c r="E92" s="607"/>
      <c r="F92" s="608"/>
      <c r="G92" s="2666"/>
      <c r="H92" s="2672"/>
      <c r="I92" s="2736"/>
      <c r="J92" s="2672"/>
      <c r="K92" s="2666"/>
      <c r="L92" s="2650"/>
      <c r="M92" s="2666"/>
      <c r="N92" s="2650"/>
      <c r="O92" s="2387"/>
      <c r="P92" s="2387"/>
      <c r="Q92" s="2387"/>
      <c r="R92" s="2429"/>
      <c r="S92" s="2707"/>
      <c r="T92" s="2748"/>
      <c r="U92" s="2429"/>
      <c r="V92" s="2429"/>
      <c r="W92" s="2752" t="s">
        <v>559</v>
      </c>
      <c r="X92" s="523">
        <f>40000000+1000000</f>
        <v>41000000</v>
      </c>
      <c r="Y92" s="523">
        <v>32600000</v>
      </c>
      <c r="Z92" s="523">
        <v>25700000</v>
      </c>
      <c r="AA92" s="468" t="s">
        <v>548</v>
      </c>
      <c r="AB92" s="2742"/>
      <c r="AC92" s="2742"/>
      <c r="AD92" s="2742"/>
      <c r="AE92" s="2742"/>
      <c r="AF92" s="2742"/>
      <c r="AG92" s="2742"/>
      <c r="AH92" s="2742"/>
      <c r="AI92" s="2742"/>
      <c r="AJ92" s="2742"/>
      <c r="AK92" s="2742"/>
      <c r="AL92" s="2742"/>
      <c r="AM92" s="2742"/>
      <c r="AN92" s="2742"/>
      <c r="AO92" s="2742"/>
      <c r="AP92" s="2742"/>
      <c r="AQ92" s="2742"/>
      <c r="AR92" s="2258"/>
      <c r="AS92" s="2258"/>
      <c r="AT92" s="2742"/>
      <c r="AU92" s="2742"/>
      <c r="AV92" s="2742"/>
      <c r="AW92" s="2742"/>
      <c r="AX92" s="2742"/>
      <c r="AY92" s="2742"/>
      <c r="AZ92" s="2742"/>
      <c r="BA92" s="2742"/>
      <c r="BB92" s="2742"/>
      <c r="BC92" s="2742"/>
      <c r="BD92" s="2742"/>
      <c r="BE92" s="2742"/>
      <c r="BF92" s="2742"/>
      <c r="BG92" s="2742"/>
      <c r="BH92" s="2742"/>
      <c r="BI92" s="2742"/>
      <c r="BJ92" s="2742"/>
      <c r="BK92" s="2745"/>
      <c r="BL92" s="2745"/>
      <c r="BM92" s="2707"/>
      <c r="BN92" s="2742"/>
      <c r="BO92" s="2739"/>
      <c r="BP92" s="2739"/>
      <c r="BQ92" s="2684"/>
      <c r="BR92" s="2687"/>
      <c r="BS92" s="2684"/>
      <c r="BT92" s="2687"/>
      <c r="BU92" s="2644"/>
    </row>
    <row r="93" spans="1:73" ht="66" customHeight="1" x14ac:dyDescent="0.25">
      <c r="A93" s="2757"/>
      <c r="B93" s="2758"/>
      <c r="C93" s="251"/>
      <c r="D93" s="102"/>
      <c r="E93" s="607"/>
      <c r="F93" s="608"/>
      <c r="G93" s="2666"/>
      <c r="H93" s="2672"/>
      <c r="I93" s="2736"/>
      <c r="J93" s="2672"/>
      <c r="K93" s="2666"/>
      <c r="L93" s="2650"/>
      <c r="M93" s="2666"/>
      <c r="N93" s="2650"/>
      <c r="O93" s="2387"/>
      <c r="P93" s="2387"/>
      <c r="Q93" s="2387"/>
      <c r="R93" s="2429"/>
      <c r="S93" s="2707"/>
      <c r="T93" s="2748"/>
      <c r="U93" s="2429"/>
      <c r="V93" s="2429"/>
      <c r="W93" s="2751"/>
      <c r="X93" s="523">
        <v>33000000</v>
      </c>
      <c r="Y93" s="523"/>
      <c r="Z93" s="523"/>
      <c r="AA93" s="525" t="s">
        <v>560</v>
      </c>
      <c r="AB93" s="2742"/>
      <c r="AC93" s="2742"/>
      <c r="AD93" s="2742"/>
      <c r="AE93" s="2742"/>
      <c r="AF93" s="2742"/>
      <c r="AG93" s="2742"/>
      <c r="AH93" s="2742"/>
      <c r="AI93" s="2742"/>
      <c r="AJ93" s="2742"/>
      <c r="AK93" s="2742"/>
      <c r="AL93" s="2742"/>
      <c r="AM93" s="2742"/>
      <c r="AN93" s="2742"/>
      <c r="AO93" s="2742"/>
      <c r="AP93" s="2742"/>
      <c r="AQ93" s="2742"/>
      <c r="AR93" s="2258"/>
      <c r="AS93" s="2258"/>
      <c r="AT93" s="2742"/>
      <c r="AU93" s="2742"/>
      <c r="AV93" s="2742"/>
      <c r="AW93" s="2742"/>
      <c r="AX93" s="2742"/>
      <c r="AY93" s="2742"/>
      <c r="AZ93" s="2742"/>
      <c r="BA93" s="2742"/>
      <c r="BB93" s="2742"/>
      <c r="BC93" s="2742"/>
      <c r="BD93" s="2742"/>
      <c r="BE93" s="2742"/>
      <c r="BF93" s="2742"/>
      <c r="BG93" s="2742"/>
      <c r="BH93" s="2742"/>
      <c r="BI93" s="2742"/>
      <c r="BJ93" s="2742"/>
      <c r="BK93" s="2745"/>
      <c r="BL93" s="2745"/>
      <c r="BM93" s="2707"/>
      <c r="BN93" s="2742"/>
      <c r="BO93" s="2739"/>
      <c r="BP93" s="2739"/>
      <c r="BQ93" s="2684"/>
      <c r="BR93" s="2687"/>
      <c r="BS93" s="2684"/>
      <c r="BT93" s="2687"/>
      <c r="BU93" s="2644"/>
    </row>
    <row r="94" spans="1:73" ht="80.25" customHeight="1" x14ac:dyDescent="0.25">
      <c r="A94" s="2757"/>
      <c r="B94" s="2758"/>
      <c r="C94" s="251"/>
      <c r="D94" s="102"/>
      <c r="E94" s="607"/>
      <c r="F94" s="608"/>
      <c r="G94" s="2666"/>
      <c r="H94" s="2672"/>
      <c r="I94" s="2736"/>
      <c r="J94" s="2672"/>
      <c r="K94" s="2666"/>
      <c r="L94" s="2650"/>
      <c r="M94" s="2666"/>
      <c r="N94" s="2650"/>
      <c r="O94" s="2387"/>
      <c r="P94" s="2387"/>
      <c r="Q94" s="2387"/>
      <c r="R94" s="2429"/>
      <c r="S94" s="2707"/>
      <c r="T94" s="2748"/>
      <c r="U94" s="2429"/>
      <c r="V94" s="2429"/>
      <c r="W94" s="2752" t="s">
        <v>561</v>
      </c>
      <c r="X94" s="523">
        <v>17200000</v>
      </c>
      <c r="Y94" s="523">
        <v>17200000</v>
      </c>
      <c r="Z94" s="523">
        <v>17200000</v>
      </c>
      <c r="AA94" s="468" t="s">
        <v>548</v>
      </c>
      <c r="AB94" s="2742"/>
      <c r="AC94" s="2742"/>
      <c r="AD94" s="2742"/>
      <c r="AE94" s="2742"/>
      <c r="AF94" s="2742"/>
      <c r="AG94" s="2742"/>
      <c r="AH94" s="2742"/>
      <c r="AI94" s="2742"/>
      <c r="AJ94" s="2742"/>
      <c r="AK94" s="2742"/>
      <c r="AL94" s="2742"/>
      <c r="AM94" s="2742"/>
      <c r="AN94" s="2742"/>
      <c r="AO94" s="2742"/>
      <c r="AP94" s="2742"/>
      <c r="AQ94" s="2742"/>
      <c r="AR94" s="2258"/>
      <c r="AS94" s="2258"/>
      <c r="AT94" s="2742"/>
      <c r="AU94" s="2742"/>
      <c r="AV94" s="2742"/>
      <c r="AW94" s="2742"/>
      <c r="AX94" s="2742"/>
      <c r="AY94" s="2742"/>
      <c r="AZ94" s="2742"/>
      <c r="BA94" s="2742"/>
      <c r="BB94" s="2742"/>
      <c r="BC94" s="2742"/>
      <c r="BD94" s="2742"/>
      <c r="BE94" s="2742"/>
      <c r="BF94" s="2742"/>
      <c r="BG94" s="2742"/>
      <c r="BH94" s="2742"/>
      <c r="BI94" s="2742"/>
      <c r="BJ94" s="2742"/>
      <c r="BK94" s="2745"/>
      <c r="BL94" s="2745"/>
      <c r="BM94" s="2707"/>
      <c r="BN94" s="2742"/>
      <c r="BO94" s="2739"/>
      <c r="BP94" s="2739"/>
      <c r="BQ94" s="2684"/>
      <c r="BR94" s="2687"/>
      <c r="BS94" s="2684"/>
      <c r="BT94" s="2687"/>
      <c r="BU94" s="2644"/>
    </row>
    <row r="95" spans="1:73" ht="50.25" customHeight="1" x14ac:dyDescent="0.25">
      <c r="A95" s="2757"/>
      <c r="B95" s="2758"/>
      <c r="C95" s="251"/>
      <c r="D95" s="102"/>
      <c r="E95" s="607"/>
      <c r="F95" s="608"/>
      <c r="G95" s="2666"/>
      <c r="H95" s="2672"/>
      <c r="I95" s="2736"/>
      <c r="J95" s="2672"/>
      <c r="K95" s="2666"/>
      <c r="L95" s="2650"/>
      <c r="M95" s="2666"/>
      <c r="N95" s="2650"/>
      <c r="O95" s="2387"/>
      <c r="P95" s="2387"/>
      <c r="Q95" s="2387"/>
      <c r="R95" s="2429"/>
      <c r="S95" s="2707"/>
      <c r="T95" s="2748"/>
      <c r="U95" s="2429"/>
      <c r="V95" s="2429"/>
      <c r="W95" s="2751"/>
      <c r="X95" s="523">
        <v>800000</v>
      </c>
      <c r="Y95" s="523">
        <v>100000</v>
      </c>
      <c r="Z95" s="523"/>
      <c r="AA95" s="468" t="s">
        <v>557</v>
      </c>
      <c r="AB95" s="2742"/>
      <c r="AC95" s="2742"/>
      <c r="AD95" s="2742"/>
      <c r="AE95" s="2742"/>
      <c r="AF95" s="2742"/>
      <c r="AG95" s="2742"/>
      <c r="AH95" s="2742"/>
      <c r="AI95" s="2742"/>
      <c r="AJ95" s="2742"/>
      <c r="AK95" s="2742"/>
      <c r="AL95" s="2742"/>
      <c r="AM95" s="2742"/>
      <c r="AN95" s="2742"/>
      <c r="AO95" s="2742"/>
      <c r="AP95" s="2742"/>
      <c r="AQ95" s="2742"/>
      <c r="AR95" s="2258"/>
      <c r="AS95" s="2258"/>
      <c r="AT95" s="2742"/>
      <c r="AU95" s="2742"/>
      <c r="AV95" s="2742"/>
      <c r="AW95" s="2742"/>
      <c r="AX95" s="2742"/>
      <c r="AY95" s="2742"/>
      <c r="AZ95" s="2742"/>
      <c r="BA95" s="2742"/>
      <c r="BB95" s="2742"/>
      <c r="BC95" s="2742"/>
      <c r="BD95" s="2742"/>
      <c r="BE95" s="2742"/>
      <c r="BF95" s="2742"/>
      <c r="BG95" s="2742"/>
      <c r="BH95" s="2742"/>
      <c r="BI95" s="2742"/>
      <c r="BJ95" s="2742"/>
      <c r="BK95" s="2745"/>
      <c r="BL95" s="2745"/>
      <c r="BM95" s="2707"/>
      <c r="BN95" s="2742"/>
      <c r="BO95" s="2739"/>
      <c r="BP95" s="2739"/>
      <c r="BQ95" s="2684"/>
      <c r="BR95" s="2687"/>
      <c r="BS95" s="2684"/>
      <c r="BT95" s="2687"/>
      <c r="BU95" s="2644"/>
    </row>
    <row r="96" spans="1:73" ht="90" customHeight="1" x14ac:dyDescent="0.25">
      <c r="A96" s="2757"/>
      <c r="B96" s="2758"/>
      <c r="C96" s="251"/>
      <c r="D96" s="102"/>
      <c r="E96" s="607"/>
      <c r="F96" s="608"/>
      <c r="G96" s="2666"/>
      <c r="H96" s="2672"/>
      <c r="I96" s="2736"/>
      <c r="J96" s="2672"/>
      <c r="K96" s="2666"/>
      <c r="L96" s="2650"/>
      <c r="M96" s="2666"/>
      <c r="N96" s="2650"/>
      <c r="O96" s="2387"/>
      <c r="P96" s="2387"/>
      <c r="Q96" s="2387"/>
      <c r="R96" s="2429"/>
      <c r="S96" s="2707"/>
      <c r="T96" s="2748"/>
      <c r="U96" s="2429"/>
      <c r="V96" s="2429"/>
      <c r="W96" s="2752" t="s">
        <v>562</v>
      </c>
      <c r="X96" s="523">
        <v>33000000</v>
      </c>
      <c r="Y96" s="523">
        <v>14881500</v>
      </c>
      <c r="Z96" s="523">
        <v>14881500</v>
      </c>
      <c r="AA96" s="468" t="s">
        <v>548</v>
      </c>
      <c r="AB96" s="2742"/>
      <c r="AC96" s="2742"/>
      <c r="AD96" s="2742"/>
      <c r="AE96" s="2742"/>
      <c r="AF96" s="2742"/>
      <c r="AG96" s="2742"/>
      <c r="AH96" s="2742"/>
      <c r="AI96" s="2742"/>
      <c r="AJ96" s="2742"/>
      <c r="AK96" s="2742"/>
      <c r="AL96" s="2742"/>
      <c r="AM96" s="2742"/>
      <c r="AN96" s="2742"/>
      <c r="AO96" s="2742"/>
      <c r="AP96" s="2742"/>
      <c r="AQ96" s="2742"/>
      <c r="AR96" s="2258"/>
      <c r="AS96" s="2258"/>
      <c r="AT96" s="2742"/>
      <c r="AU96" s="2742"/>
      <c r="AV96" s="2742"/>
      <c r="AW96" s="2742"/>
      <c r="AX96" s="2742"/>
      <c r="AY96" s="2742"/>
      <c r="AZ96" s="2742"/>
      <c r="BA96" s="2742"/>
      <c r="BB96" s="2742"/>
      <c r="BC96" s="2742"/>
      <c r="BD96" s="2742"/>
      <c r="BE96" s="2742"/>
      <c r="BF96" s="2742"/>
      <c r="BG96" s="2742"/>
      <c r="BH96" s="2742"/>
      <c r="BI96" s="2742"/>
      <c r="BJ96" s="2742"/>
      <c r="BK96" s="2745"/>
      <c r="BL96" s="2745"/>
      <c r="BM96" s="2707"/>
      <c r="BN96" s="2742"/>
      <c r="BO96" s="2739"/>
      <c r="BP96" s="2739"/>
      <c r="BQ96" s="2684"/>
      <c r="BR96" s="2687"/>
      <c r="BS96" s="2684"/>
      <c r="BT96" s="2687"/>
      <c r="BU96" s="2644"/>
    </row>
    <row r="97" spans="1:73" ht="58.5" customHeight="1" x14ac:dyDescent="0.25">
      <c r="A97" s="2757"/>
      <c r="B97" s="2758"/>
      <c r="C97" s="251"/>
      <c r="D97" s="102"/>
      <c r="E97" s="607"/>
      <c r="F97" s="608"/>
      <c r="G97" s="2666"/>
      <c r="H97" s="2672"/>
      <c r="I97" s="2736"/>
      <c r="J97" s="2672"/>
      <c r="K97" s="2666"/>
      <c r="L97" s="2650"/>
      <c r="M97" s="2666"/>
      <c r="N97" s="2650"/>
      <c r="O97" s="2387"/>
      <c r="P97" s="2387"/>
      <c r="Q97" s="2387"/>
      <c r="R97" s="2429"/>
      <c r="S97" s="2707"/>
      <c r="T97" s="2748"/>
      <c r="U97" s="2429"/>
      <c r="V97" s="2429"/>
      <c r="W97" s="2751"/>
      <c r="X97" s="523">
        <v>740200000</v>
      </c>
      <c r="Y97" s="523"/>
      <c r="Z97" s="523"/>
      <c r="AA97" s="525" t="s">
        <v>560</v>
      </c>
      <c r="AB97" s="2742"/>
      <c r="AC97" s="2742"/>
      <c r="AD97" s="2742"/>
      <c r="AE97" s="2742"/>
      <c r="AF97" s="2742"/>
      <c r="AG97" s="2742"/>
      <c r="AH97" s="2742"/>
      <c r="AI97" s="2742"/>
      <c r="AJ97" s="2742"/>
      <c r="AK97" s="2742"/>
      <c r="AL97" s="2742"/>
      <c r="AM97" s="2742"/>
      <c r="AN97" s="2742"/>
      <c r="AO97" s="2742"/>
      <c r="AP97" s="2742"/>
      <c r="AQ97" s="2742"/>
      <c r="AR97" s="2258"/>
      <c r="AS97" s="2258"/>
      <c r="AT97" s="2742"/>
      <c r="AU97" s="2742"/>
      <c r="AV97" s="2742"/>
      <c r="AW97" s="2742"/>
      <c r="AX97" s="2742"/>
      <c r="AY97" s="2742"/>
      <c r="AZ97" s="2742"/>
      <c r="BA97" s="2742"/>
      <c r="BB97" s="2742"/>
      <c r="BC97" s="2742"/>
      <c r="BD97" s="2742"/>
      <c r="BE97" s="2742"/>
      <c r="BF97" s="2742"/>
      <c r="BG97" s="2742"/>
      <c r="BH97" s="2742"/>
      <c r="BI97" s="2742"/>
      <c r="BJ97" s="2742"/>
      <c r="BK97" s="2745"/>
      <c r="BL97" s="2745"/>
      <c r="BM97" s="2707"/>
      <c r="BN97" s="2742"/>
      <c r="BO97" s="2739"/>
      <c r="BP97" s="2739"/>
      <c r="BQ97" s="2684"/>
      <c r="BR97" s="2687"/>
      <c r="BS97" s="2684"/>
      <c r="BT97" s="2687"/>
      <c r="BU97" s="2644"/>
    </row>
    <row r="98" spans="1:73" ht="39.75" customHeight="1" x14ac:dyDescent="0.25">
      <c r="A98" s="2757"/>
      <c r="B98" s="2758"/>
      <c r="C98" s="251"/>
      <c r="D98" s="102"/>
      <c r="E98" s="607"/>
      <c r="F98" s="608"/>
      <c r="G98" s="2666"/>
      <c r="H98" s="2672"/>
      <c r="I98" s="2736"/>
      <c r="J98" s="2672"/>
      <c r="K98" s="2666"/>
      <c r="L98" s="2650"/>
      <c r="M98" s="2666"/>
      <c r="N98" s="2650"/>
      <c r="O98" s="2387"/>
      <c r="P98" s="2387"/>
      <c r="Q98" s="2387"/>
      <c r="R98" s="2429"/>
      <c r="S98" s="2707"/>
      <c r="T98" s="2748"/>
      <c r="U98" s="2429"/>
      <c r="V98" s="2429"/>
      <c r="W98" s="2752" t="s">
        <v>563</v>
      </c>
      <c r="X98" s="523">
        <v>33000000</v>
      </c>
      <c r="Y98" s="523">
        <v>25500000</v>
      </c>
      <c r="Z98" s="523">
        <v>19600000</v>
      </c>
      <c r="AA98" s="468" t="s">
        <v>548</v>
      </c>
      <c r="AB98" s="2742"/>
      <c r="AC98" s="2742"/>
      <c r="AD98" s="2742"/>
      <c r="AE98" s="2742"/>
      <c r="AF98" s="2742"/>
      <c r="AG98" s="2742"/>
      <c r="AH98" s="2742"/>
      <c r="AI98" s="2742"/>
      <c r="AJ98" s="2742"/>
      <c r="AK98" s="2742"/>
      <c r="AL98" s="2742"/>
      <c r="AM98" s="2742"/>
      <c r="AN98" s="2742"/>
      <c r="AO98" s="2742"/>
      <c r="AP98" s="2742"/>
      <c r="AQ98" s="2742"/>
      <c r="AR98" s="2258"/>
      <c r="AS98" s="2258"/>
      <c r="AT98" s="2742"/>
      <c r="AU98" s="2742"/>
      <c r="AV98" s="2742"/>
      <c r="AW98" s="2742"/>
      <c r="AX98" s="2742"/>
      <c r="AY98" s="2742"/>
      <c r="AZ98" s="2742"/>
      <c r="BA98" s="2742"/>
      <c r="BB98" s="2742"/>
      <c r="BC98" s="2742"/>
      <c r="BD98" s="2742"/>
      <c r="BE98" s="2742"/>
      <c r="BF98" s="2742"/>
      <c r="BG98" s="2742"/>
      <c r="BH98" s="2742"/>
      <c r="BI98" s="2742"/>
      <c r="BJ98" s="2742"/>
      <c r="BK98" s="2745"/>
      <c r="BL98" s="2745"/>
      <c r="BM98" s="2707"/>
      <c r="BN98" s="2742"/>
      <c r="BO98" s="2739"/>
      <c r="BP98" s="2739"/>
      <c r="BQ98" s="2684"/>
      <c r="BR98" s="2687"/>
      <c r="BS98" s="2684"/>
      <c r="BT98" s="2687"/>
      <c r="BU98" s="2644"/>
    </row>
    <row r="99" spans="1:73" ht="36" customHeight="1" x14ac:dyDescent="0.25">
      <c r="A99" s="2757"/>
      <c r="B99" s="2758"/>
      <c r="C99" s="251"/>
      <c r="D99" s="102"/>
      <c r="E99" s="607"/>
      <c r="F99" s="608"/>
      <c r="G99" s="2666"/>
      <c r="H99" s="2672"/>
      <c r="I99" s="2736"/>
      <c r="J99" s="2672"/>
      <c r="K99" s="2666"/>
      <c r="L99" s="2650"/>
      <c r="M99" s="2666"/>
      <c r="N99" s="2650"/>
      <c r="O99" s="2387"/>
      <c r="P99" s="2387"/>
      <c r="Q99" s="2387"/>
      <c r="R99" s="2429"/>
      <c r="S99" s="2707"/>
      <c r="T99" s="2748"/>
      <c r="U99" s="2429"/>
      <c r="V99" s="2429"/>
      <c r="W99" s="2751"/>
      <c r="X99" s="523">
        <v>44000000</v>
      </c>
      <c r="Y99" s="523"/>
      <c r="Z99" s="523"/>
      <c r="AA99" s="525" t="s">
        <v>560</v>
      </c>
      <c r="AB99" s="2742"/>
      <c r="AC99" s="2742"/>
      <c r="AD99" s="2742"/>
      <c r="AE99" s="2742"/>
      <c r="AF99" s="2742"/>
      <c r="AG99" s="2742"/>
      <c r="AH99" s="2742"/>
      <c r="AI99" s="2742"/>
      <c r="AJ99" s="2742"/>
      <c r="AK99" s="2742"/>
      <c r="AL99" s="2742"/>
      <c r="AM99" s="2742"/>
      <c r="AN99" s="2742"/>
      <c r="AO99" s="2742"/>
      <c r="AP99" s="2742"/>
      <c r="AQ99" s="2742"/>
      <c r="AR99" s="2258"/>
      <c r="AS99" s="2258"/>
      <c r="AT99" s="2742"/>
      <c r="AU99" s="2742"/>
      <c r="AV99" s="2742"/>
      <c r="AW99" s="2742"/>
      <c r="AX99" s="2742"/>
      <c r="AY99" s="2742"/>
      <c r="AZ99" s="2742"/>
      <c r="BA99" s="2742"/>
      <c r="BB99" s="2742"/>
      <c r="BC99" s="2742"/>
      <c r="BD99" s="2742"/>
      <c r="BE99" s="2742"/>
      <c r="BF99" s="2742"/>
      <c r="BG99" s="2742"/>
      <c r="BH99" s="2742"/>
      <c r="BI99" s="2742"/>
      <c r="BJ99" s="2742"/>
      <c r="BK99" s="2745"/>
      <c r="BL99" s="2745"/>
      <c r="BM99" s="2707"/>
      <c r="BN99" s="2742"/>
      <c r="BO99" s="2739"/>
      <c r="BP99" s="2739"/>
      <c r="BQ99" s="2684"/>
      <c r="BR99" s="2687"/>
      <c r="BS99" s="2684"/>
      <c r="BT99" s="2687"/>
      <c r="BU99" s="2644"/>
    </row>
    <row r="100" spans="1:73" ht="75" x14ac:dyDescent="0.25">
      <c r="A100" s="2757"/>
      <c r="B100" s="2758"/>
      <c r="C100" s="251"/>
      <c r="D100" s="102"/>
      <c r="E100" s="607"/>
      <c r="F100" s="608"/>
      <c r="G100" s="2666"/>
      <c r="H100" s="2672"/>
      <c r="I100" s="2736"/>
      <c r="J100" s="2672"/>
      <c r="K100" s="2666"/>
      <c r="L100" s="2650"/>
      <c r="M100" s="2666"/>
      <c r="N100" s="2650"/>
      <c r="O100" s="2387"/>
      <c r="P100" s="2387"/>
      <c r="Q100" s="2387"/>
      <c r="R100" s="2429"/>
      <c r="S100" s="2707"/>
      <c r="T100" s="2748"/>
      <c r="U100" s="2429"/>
      <c r="V100" s="2429"/>
      <c r="W100" s="526" t="s">
        <v>564</v>
      </c>
      <c r="X100" s="523">
        <v>27800000</v>
      </c>
      <c r="Y100" s="523">
        <v>22600000</v>
      </c>
      <c r="Z100" s="523">
        <v>18200000</v>
      </c>
      <c r="AA100" s="468" t="s">
        <v>548</v>
      </c>
      <c r="AB100" s="2742"/>
      <c r="AC100" s="2742"/>
      <c r="AD100" s="2742"/>
      <c r="AE100" s="2742"/>
      <c r="AF100" s="2742"/>
      <c r="AG100" s="2742"/>
      <c r="AH100" s="2742"/>
      <c r="AI100" s="2742"/>
      <c r="AJ100" s="2742"/>
      <c r="AK100" s="2742"/>
      <c r="AL100" s="2742"/>
      <c r="AM100" s="2742"/>
      <c r="AN100" s="2742"/>
      <c r="AO100" s="2742"/>
      <c r="AP100" s="2742"/>
      <c r="AQ100" s="2742"/>
      <c r="AR100" s="2258"/>
      <c r="AS100" s="2258"/>
      <c r="AT100" s="2742"/>
      <c r="AU100" s="2742"/>
      <c r="AV100" s="2742"/>
      <c r="AW100" s="2742"/>
      <c r="AX100" s="2742"/>
      <c r="AY100" s="2742"/>
      <c r="AZ100" s="2742"/>
      <c r="BA100" s="2742"/>
      <c r="BB100" s="2742"/>
      <c r="BC100" s="2742"/>
      <c r="BD100" s="2742"/>
      <c r="BE100" s="2742"/>
      <c r="BF100" s="2742"/>
      <c r="BG100" s="2742"/>
      <c r="BH100" s="2742"/>
      <c r="BI100" s="2742"/>
      <c r="BJ100" s="2742"/>
      <c r="BK100" s="2745"/>
      <c r="BL100" s="2745"/>
      <c r="BM100" s="2707"/>
      <c r="BN100" s="2742"/>
      <c r="BO100" s="2739"/>
      <c r="BP100" s="2739"/>
      <c r="BQ100" s="2684"/>
      <c r="BR100" s="2687"/>
      <c r="BS100" s="2684"/>
      <c r="BT100" s="2687"/>
      <c r="BU100" s="2644"/>
    </row>
    <row r="101" spans="1:73" ht="45" customHeight="1" x14ac:dyDescent="0.25">
      <c r="A101" s="2757"/>
      <c r="B101" s="2758"/>
      <c r="C101" s="251"/>
      <c r="D101" s="102"/>
      <c r="E101" s="607"/>
      <c r="F101" s="608"/>
      <c r="G101" s="2666"/>
      <c r="H101" s="2672"/>
      <c r="I101" s="2736"/>
      <c r="J101" s="2672"/>
      <c r="K101" s="2666"/>
      <c r="L101" s="2650"/>
      <c r="M101" s="2666"/>
      <c r="N101" s="2650"/>
      <c r="O101" s="2387"/>
      <c r="P101" s="2387"/>
      <c r="Q101" s="2387"/>
      <c r="R101" s="2429"/>
      <c r="S101" s="2707"/>
      <c r="T101" s="2748"/>
      <c r="U101" s="2429"/>
      <c r="V101" s="2429"/>
      <c r="W101" s="2725" t="s">
        <v>565</v>
      </c>
      <c r="X101" s="524">
        <v>15000000</v>
      </c>
      <c r="Y101" s="524">
        <v>15000000</v>
      </c>
      <c r="Z101" s="524">
        <v>0</v>
      </c>
      <c r="AA101" s="468" t="s">
        <v>566</v>
      </c>
      <c r="AB101" s="2742"/>
      <c r="AC101" s="2742"/>
      <c r="AD101" s="2742"/>
      <c r="AE101" s="2742"/>
      <c r="AF101" s="2742"/>
      <c r="AG101" s="2742"/>
      <c r="AH101" s="2742"/>
      <c r="AI101" s="2742"/>
      <c r="AJ101" s="2742"/>
      <c r="AK101" s="2742"/>
      <c r="AL101" s="2742"/>
      <c r="AM101" s="2742"/>
      <c r="AN101" s="2742"/>
      <c r="AO101" s="2742"/>
      <c r="AP101" s="2742"/>
      <c r="AQ101" s="2742"/>
      <c r="AR101" s="2258"/>
      <c r="AS101" s="2258"/>
      <c r="AT101" s="2742"/>
      <c r="AU101" s="2742"/>
      <c r="AV101" s="2742"/>
      <c r="AW101" s="2742"/>
      <c r="AX101" s="2742"/>
      <c r="AY101" s="2742"/>
      <c r="AZ101" s="2742"/>
      <c r="BA101" s="2742"/>
      <c r="BB101" s="2742"/>
      <c r="BC101" s="2742"/>
      <c r="BD101" s="2742"/>
      <c r="BE101" s="2742"/>
      <c r="BF101" s="2742"/>
      <c r="BG101" s="2742"/>
      <c r="BH101" s="2742"/>
      <c r="BI101" s="2742"/>
      <c r="BJ101" s="2742"/>
      <c r="BK101" s="2745"/>
      <c r="BL101" s="2745"/>
      <c r="BM101" s="2707"/>
      <c r="BN101" s="2742"/>
      <c r="BO101" s="2739"/>
      <c r="BP101" s="2739"/>
      <c r="BQ101" s="2684"/>
      <c r="BR101" s="2687"/>
      <c r="BS101" s="2684"/>
      <c r="BT101" s="2687"/>
      <c r="BU101" s="2644"/>
    </row>
    <row r="102" spans="1:73" ht="38.25" customHeight="1" x14ac:dyDescent="0.25">
      <c r="A102" s="2757"/>
      <c r="B102" s="2758"/>
      <c r="C102" s="251"/>
      <c r="D102" s="102"/>
      <c r="E102" s="607"/>
      <c r="F102" s="608"/>
      <c r="G102" s="2666"/>
      <c r="H102" s="2672"/>
      <c r="I102" s="2736"/>
      <c r="J102" s="2672"/>
      <c r="K102" s="2666"/>
      <c r="L102" s="2650"/>
      <c r="M102" s="2666"/>
      <c r="N102" s="2650"/>
      <c r="O102" s="2387"/>
      <c r="P102" s="2387"/>
      <c r="Q102" s="2387"/>
      <c r="R102" s="2429"/>
      <c r="S102" s="2707"/>
      <c r="T102" s="2748"/>
      <c r="U102" s="2429"/>
      <c r="V102" s="2429"/>
      <c r="W102" s="2726"/>
      <c r="X102" s="524">
        <v>1255116000</v>
      </c>
      <c r="Y102" s="524"/>
      <c r="Z102" s="524"/>
      <c r="AA102" s="525" t="s">
        <v>567</v>
      </c>
      <c r="AB102" s="2742"/>
      <c r="AC102" s="2742"/>
      <c r="AD102" s="2742"/>
      <c r="AE102" s="2742"/>
      <c r="AF102" s="2742"/>
      <c r="AG102" s="2742"/>
      <c r="AH102" s="2742"/>
      <c r="AI102" s="2742"/>
      <c r="AJ102" s="2742"/>
      <c r="AK102" s="2742"/>
      <c r="AL102" s="2742"/>
      <c r="AM102" s="2742"/>
      <c r="AN102" s="2742"/>
      <c r="AO102" s="2742"/>
      <c r="AP102" s="2742"/>
      <c r="AQ102" s="2742"/>
      <c r="AR102" s="2258"/>
      <c r="AS102" s="2258"/>
      <c r="AT102" s="2742"/>
      <c r="AU102" s="2742"/>
      <c r="AV102" s="2742"/>
      <c r="AW102" s="2742"/>
      <c r="AX102" s="2742"/>
      <c r="AY102" s="2742"/>
      <c r="AZ102" s="2742"/>
      <c r="BA102" s="2742"/>
      <c r="BB102" s="2742"/>
      <c r="BC102" s="2742"/>
      <c r="BD102" s="2742"/>
      <c r="BE102" s="2742"/>
      <c r="BF102" s="2742"/>
      <c r="BG102" s="2742"/>
      <c r="BH102" s="2742"/>
      <c r="BI102" s="2742"/>
      <c r="BJ102" s="2742"/>
      <c r="BK102" s="2745"/>
      <c r="BL102" s="2745"/>
      <c r="BM102" s="2707"/>
      <c r="BN102" s="2742"/>
      <c r="BO102" s="2739"/>
      <c r="BP102" s="2739"/>
      <c r="BQ102" s="2684"/>
      <c r="BR102" s="2687"/>
      <c r="BS102" s="2684"/>
      <c r="BT102" s="2687"/>
      <c r="BU102" s="2644"/>
    </row>
    <row r="103" spans="1:73" ht="53.25" customHeight="1" x14ac:dyDescent="0.25">
      <c r="A103" s="2757"/>
      <c r="B103" s="2758"/>
      <c r="C103" s="251"/>
      <c r="D103" s="102"/>
      <c r="E103" s="607"/>
      <c r="F103" s="608"/>
      <c r="G103" s="2666"/>
      <c r="H103" s="2672"/>
      <c r="I103" s="2736"/>
      <c r="J103" s="2672"/>
      <c r="K103" s="2666"/>
      <c r="L103" s="2650"/>
      <c r="M103" s="2666"/>
      <c r="N103" s="2650"/>
      <c r="O103" s="2387"/>
      <c r="P103" s="2387"/>
      <c r="Q103" s="2387"/>
      <c r="R103" s="2429"/>
      <c r="S103" s="2707"/>
      <c r="T103" s="2748"/>
      <c r="U103" s="2429"/>
      <c r="V103" s="2429"/>
      <c r="W103" s="2725" t="s">
        <v>568</v>
      </c>
      <c r="X103" s="524">
        <v>20000000</v>
      </c>
      <c r="Y103" s="524">
        <v>0</v>
      </c>
      <c r="Z103" s="524">
        <v>0</v>
      </c>
      <c r="AA103" s="468" t="s">
        <v>569</v>
      </c>
      <c r="AB103" s="2742"/>
      <c r="AC103" s="2742"/>
      <c r="AD103" s="2742"/>
      <c r="AE103" s="2742"/>
      <c r="AF103" s="2742"/>
      <c r="AG103" s="2742"/>
      <c r="AH103" s="2742"/>
      <c r="AI103" s="2742"/>
      <c r="AJ103" s="2742"/>
      <c r="AK103" s="2742"/>
      <c r="AL103" s="2742"/>
      <c r="AM103" s="2742"/>
      <c r="AN103" s="2742"/>
      <c r="AO103" s="2742"/>
      <c r="AP103" s="2742"/>
      <c r="AQ103" s="2742"/>
      <c r="AR103" s="2258"/>
      <c r="AS103" s="2258"/>
      <c r="AT103" s="2742"/>
      <c r="AU103" s="2742"/>
      <c r="AV103" s="2742"/>
      <c r="AW103" s="2742"/>
      <c r="AX103" s="2742"/>
      <c r="AY103" s="2742"/>
      <c r="AZ103" s="2742"/>
      <c r="BA103" s="2742"/>
      <c r="BB103" s="2742"/>
      <c r="BC103" s="2742"/>
      <c r="BD103" s="2742"/>
      <c r="BE103" s="2742"/>
      <c r="BF103" s="2742"/>
      <c r="BG103" s="2742"/>
      <c r="BH103" s="2742"/>
      <c r="BI103" s="2742"/>
      <c r="BJ103" s="2742"/>
      <c r="BK103" s="2745"/>
      <c r="BL103" s="2745"/>
      <c r="BM103" s="2707"/>
      <c r="BN103" s="2742"/>
      <c r="BO103" s="2739"/>
      <c r="BP103" s="2739"/>
      <c r="BQ103" s="2684"/>
      <c r="BR103" s="2687"/>
      <c r="BS103" s="2684"/>
      <c r="BT103" s="2687"/>
      <c r="BU103" s="2644"/>
    </row>
    <row r="104" spans="1:73" ht="57.75" customHeight="1" x14ac:dyDescent="0.25">
      <c r="A104" s="2757"/>
      <c r="B104" s="2758"/>
      <c r="C104" s="251"/>
      <c r="D104" s="102"/>
      <c r="E104" s="607"/>
      <c r="F104" s="608"/>
      <c r="G104" s="2666"/>
      <c r="H104" s="2672"/>
      <c r="I104" s="2736"/>
      <c r="J104" s="2672"/>
      <c r="K104" s="2666"/>
      <c r="L104" s="2650"/>
      <c r="M104" s="2666"/>
      <c r="N104" s="2650"/>
      <c r="O104" s="2387"/>
      <c r="P104" s="2387"/>
      <c r="Q104" s="2387"/>
      <c r="R104" s="2429"/>
      <c r="S104" s="2707"/>
      <c r="T104" s="2748"/>
      <c r="U104" s="2429"/>
      <c r="V104" s="2429"/>
      <c r="W104" s="2726"/>
      <c r="X104" s="524">
        <v>44800000</v>
      </c>
      <c r="Y104" s="524"/>
      <c r="Z104" s="524"/>
      <c r="AA104" s="525" t="s">
        <v>570</v>
      </c>
      <c r="AB104" s="2742"/>
      <c r="AC104" s="2742"/>
      <c r="AD104" s="2742"/>
      <c r="AE104" s="2742"/>
      <c r="AF104" s="2742"/>
      <c r="AG104" s="2742"/>
      <c r="AH104" s="2742"/>
      <c r="AI104" s="2742"/>
      <c r="AJ104" s="2742"/>
      <c r="AK104" s="2742"/>
      <c r="AL104" s="2742"/>
      <c r="AM104" s="2742"/>
      <c r="AN104" s="2742"/>
      <c r="AO104" s="2742"/>
      <c r="AP104" s="2742"/>
      <c r="AQ104" s="2742"/>
      <c r="AR104" s="2258"/>
      <c r="AS104" s="2258"/>
      <c r="AT104" s="2742"/>
      <c r="AU104" s="2742"/>
      <c r="AV104" s="2742"/>
      <c r="AW104" s="2742"/>
      <c r="AX104" s="2742"/>
      <c r="AY104" s="2742"/>
      <c r="AZ104" s="2742"/>
      <c r="BA104" s="2742"/>
      <c r="BB104" s="2742"/>
      <c r="BC104" s="2742"/>
      <c r="BD104" s="2742"/>
      <c r="BE104" s="2742"/>
      <c r="BF104" s="2742"/>
      <c r="BG104" s="2742"/>
      <c r="BH104" s="2742"/>
      <c r="BI104" s="2742"/>
      <c r="BJ104" s="2742"/>
      <c r="BK104" s="2745"/>
      <c r="BL104" s="2745"/>
      <c r="BM104" s="2707"/>
      <c r="BN104" s="2742"/>
      <c r="BO104" s="2739"/>
      <c r="BP104" s="2739"/>
      <c r="BQ104" s="2684"/>
      <c r="BR104" s="2687"/>
      <c r="BS104" s="2684"/>
      <c r="BT104" s="2687"/>
      <c r="BU104" s="2644"/>
    </row>
    <row r="105" spans="1:73" ht="60" x14ac:dyDescent="0.25">
      <c r="A105" s="2757"/>
      <c r="B105" s="2758"/>
      <c r="C105" s="251"/>
      <c r="D105" s="102"/>
      <c r="E105" s="607"/>
      <c r="F105" s="608"/>
      <c r="G105" s="2666"/>
      <c r="H105" s="2672"/>
      <c r="I105" s="2736"/>
      <c r="J105" s="2672"/>
      <c r="K105" s="2666"/>
      <c r="L105" s="2650"/>
      <c r="M105" s="2666"/>
      <c r="N105" s="2650"/>
      <c r="O105" s="2387"/>
      <c r="P105" s="2387"/>
      <c r="Q105" s="2387"/>
      <c r="R105" s="2429"/>
      <c r="S105" s="2707"/>
      <c r="T105" s="2748"/>
      <c r="U105" s="2429"/>
      <c r="V105" s="2429"/>
      <c r="W105" s="522" t="s">
        <v>571</v>
      </c>
      <c r="X105" s="524">
        <v>1000000</v>
      </c>
      <c r="Y105" s="524">
        <v>0</v>
      </c>
      <c r="Z105" s="524">
        <v>0</v>
      </c>
      <c r="AA105" s="468" t="s">
        <v>572</v>
      </c>
      <c r="AB105" s="2742"/>
      <c r="AC105" s="2742"/>
      <c r="AD105" s="2742"/>
      <c r="AE105" s="2742"/>
      <c r="AF105" s="2742"/>
      <c r="AG105" s="2742"/>
      <c r="AH105" s="2742"/>
      <c r="AI105" s="2742"/>
      <c r="AJ105" s="2742"/>
      <c r="AK105" s="2742"/>
      <c r="AL105" s="2742"/>
      <c r="AM105" s="2742"/>
      <c r="AN105" s="2742"/>
      <c r="AO105" s="2742"/>
      <c r="AP105" s="2742"/>
      <c r="AQ105" s="2742"/>
      <c r="AR105" s="2258"/>
      <c r="AS105" s="2258"/>
      <c r="AT105" s="2742"/>
      <c r="AU105" s="2742"/>
      <c r="AV105" s="2742"/>
      <c r="AW105" s="2742"/>
      <c r="AX105" s="2742"/>
      <c r="AY105" s="2742"/>
      <c r="AZ105" s="2742"/>
      <c r="BA105" s="2742"/>
      <c r="BB105" s="2742"/>
      <c r="BC105" s="2742"/>
      <c r="BD105" s="2742"/>
      <c r="BE105" s="2742"/>
      <c r="BF105" s="2742"/>
      <c r="BG105" s="2742"/>
      <c r="BH105" s="2742"/>
      <c r="BI105" s="2742"/>
      <c r="BJ105" s="2742"/>
      <c r="BK105" s="2745"/>
      <c r="BL105" s="2745"/>
      <c r="BM105" s="2707"/>
      <c r="BN105" s="2742"/>
      <c r="BO105" s="2739"/>
      <c r="BP105" s="2739"/>
      <c r="BQ105" s="2684"/>
      <c r="BR105" s="2687"/>
      <c r="BS105" s="2684"/>
      <c r="BT105" s="2687"/>
      <c r="BU105" s="2644"/>
    </row>
    <row r="106" spans="1:73" ht="53.25" customHeight="1" x14ac:dyDescent="0.25">
      <c r="A106" s="2757"/>
      <c r="B106" s="2758"/>
      <c r="C106" s="251"/>
      <c r="D106" s="102"/>
      <c r="E106" s="607"/>
      <c r="F106" s="608"/>
      <c r="G106" s="2666"/>
      <c r="H106" s="2672"/>
      <c r="I106" s="2736"/>
      <c r="J106" s="2672"/>
      <c r="K106" s="2666"/>
      <c r="L106" s="2650"/>
      <c r="M106" s="2666"/>
      <c r="N106" s="2650"/>
      <c r="O106" s="2387"/>
      <c r="P106" s="2387"/>
      <c r="Q106" s="2387"/>
      <c r="R106" s="2429"/>
      <c r="S106" s="2707"/>
      <c r="T106" s="2748"/>
      <c r="U106" s="2429"/>
      <c r="V106" s="2429"/>
      <c r="W106" s="527" t="s">
        <v>573</v>
      </c>
      <c r="X106" s="524">
        <v>160384000</v>
      </c>
      <c r="Y106" s="524"/>
      <c r="Z106" s="524"/>
      <c r="AA106" s="525" t="s">
        <v>574</v>
      </c>
      <c r="AB106" s="2742"/>
      <c r="AC106" s="2742"/>
      <c r="AD106" s="2742"/>
      <c r="AE106" s="2742"/>
      <c r="AF106" s="2742"/>
      <c r="AG106" s="2742"/>
      <c r="AH106" s="2742"/>
      <c r="AI106" s="2742"/>
      <c r="AJ106" s="2742"/>
      <c r="AK106" s="2742"/>
      <c r="AL106" s="2742"/>
      <c r="AM106" s="2742"/>
      <c r="AN106" s="2742"/>
      <c r="AO106" s="2742"/>
      <c r="AP106" s="2742"/>
      <c r="AQ106" s="2742"/>
      <c r="AR106" s="2258"/>
      <c r="AS106" s="2258"/>
      <c r="AT106" s="2742"/>
      <c r="AU106" s="2742"/>
      <c r="AV106" s="2742"/>
      <c r="AW106" s="2742"/>
      <c r="AX106" s="2742"/>
      <c r="AY106" s="2742"/>
      <c r="AZ106" s="2742"/>
      <c r="BA106" s="2742"/>
      <c r="BB106" s="2742"/>
      <c r="BC106" s="2742"/>
      <c r="BD106" s="2742"/>
      <c r="BE106" s="2742"/>
      <c r="BF106" s="2742"/>
      <c r="BG106" s="2742"/>
      <c r="BH106" s="2742"/>
      <c r="BI106" s="2742"/>
      <c r="BJ106" s="2742"/>
      <c r="BK106" s="2745"/>
      <c r="BL106" s="2745"/>
      <c r="BM106" s="2707"/>
      <c r="BN106" s="2742"/>
      <c r="BO106" s="2739"/>
      <c r="BP106" s="2739"/>
      <c r="BQ106" s="2684"/>
      <c r="BR106" s="2687"/>
      <c r="BS106" s="2684"/>
      <c r="BT106" s="2687"/>
      <c r="BU106" s="2644"/>
    </row>
    <row r="107" spans="1:73" ht="30" x14ac:dyDescent="0.25">
      <c r="A107" s="2757"/>
      <c r="B107" s="2758"/>
      <c r="C107" s="251"/>
      <c r="D107" s="102"/>
      <c r="E107" s="607"/>
      <c r="F107" s="608"/>
      <c r="G107" s="2667"/>
      <c r="H107" s="2673"/>
      <c r="I107" s="2737"/>
      <c r="J107" s="2673"/>
      <c r="K107" s="2667"/>
      <c r="L107" s="2651"/>
      <c r="M107" s="2667"/>
      <c r="N107" s="2651"/>
      <c r="O107" s="2388"/>
      <c r="P107" s="2388"/>
      <c r="Q107" s="2388"/>
      <c r="R107" s="2430"/>
      <c r="S107" s="2708"/>
      <c r="T107" s="2749"/>
      <c r="U107" s="2430"/>
      <c r="V107" s="2430"/>
      <c r="W107" s="528" t="s">
        <v>575</v>
      </c>
      <c r="X107" s="524">
        <v>393689004</v>
      </c>
      <c r="Y107" s="524"/>
      <c r="Z107" s="524"/>
      <c r="AA107" s="468" t="s">
        <v>576</v>
      </c>
      <c r="AB107" s="2743"/>
      <c r="AC107" s="2743"/>
      <c r="AD107" s="2743"/>
      <c r="AE107" s="2743"/>
      <c r="AF107" s="2743"/>
      <c r="AG107" s="2743"/>
      <c r="AH107" s="2743"/>
      <c r="AI107" s="2743"/>
      <c r="AJ107" s="2743"/>
      <c r="AK107" s="2743"/>
      <c r="AL107" s="2743"/>
      <c r="AM107" s="2743"/>
      <c r="AN107" s="2743"/>
      <c r="AO107" s="2743"/>
      <c r="AP107" s="2743"/>
      <c r="AQ107" s="2743"/>
      <c r="AR107" s="2258"/>
      <c r="AS107" s="2258"/>
      <c r="AT107" s="2743"/>
      <c r="AU107" s="2743"/>
      <c r="AV107" s="2743"/>
      <c r="AW107" s="2743"/>
      <c r="AX107" s="2743"/>
      <c r="AY107" s="2743"/>
      <c r="AZ107" s="2743"/>
      <c r="BA107" s="2743"/>
      <c r="BB107" s="2743"/>
      <c r="BC107" s="2743"/>
      <c r="BD107" s="2743"/>
      <c r="BE107" s="2743"/>
      <c r="BF107" s="2743"/>
      <c r="BG107" s="2743"/>
      <c r="BH107" s="2743"/>
      <c r="BI107" s="2743"/>
      <c r="BJ107" s="2743"/>
      <c r="BK107" s="2746"/>
      <c r="BL107" s="2746"/>
      <c r="BM107" s="2708"/>
      <c r="BN107" s="2743"/>
      <c r="BO107" s="2740"/>
      <c r="BP107" s="2740"/>
      <c r="BQ107" s="2685"/>
      <c r="BR107" s="2688"/>
      <c r="BS107" s="2685"/>
      <c r="BT107" s="2688"/>
      <c r="BU107" s="2645"/>
    </row>
    <row r="108" spans="1:73" ht="210" x14ac:dyDescent="0.25">
      <c r="A108" s="2757"/>
      <c r="B108" s="2758"/>
      <c r="C108" s="257"/>
      <c r="D108" s="604"/>
      <c r="E108" s="609"/>
      <c r="F108" s="610"/>
      <c r="G108" s="245" t="s">
        <v>74</v>
      </c>
      <c r="H108" s="504" t="s">
        <v>577</v>
      </c>
      <c r="I108" s="245">
        <v>2402118</v>
      </c>
      <c r="J108" s="504" t="s">
        <v>578</v>
      </c>
      <c r="K108" s="529" t="s">
        <v>74</v>
      </c>
      <c r="L108" s="511" t="s">
        <v>579</v>
      </c>
      <c r="M108" s="245">
        <v>240211800</v>
      </c>
      <c r="N108" s="511" t="s">
        <v>580</v>
      </c>
      <c r="O108" s="472">
        <v>6</v>
      </c>
      <c r="P108" s="472">
        <v>0</v>
      </c>
      <c r="Q108" s="68" t="s">
        <v>581</v>
      </c>
      <c r="R108" s="201" t="s">
        <v>582</v>
      </c>
      <c r="S108" s="530">
        <f>SUM(X108)/T108</f>
        <v>1</v>
      </c>
      <c r="T108" s="531">
        <f>SUM(X108)</f>
        <v>40000000</v>
      </c>
      <c r="U108" s="74" t="s">
        <v>583</v>
      </c>
      <c r="V108" s="74" t="s">
        <v>584</v>
      </c>
      <c r="W108" s="208" t="s">
        <v>585</v>
      </c>
      <c r="X108" s="532">
        <v>40000000</v>
      </c>
      <c r="Y108" s="532">
        <v>9000000</v>
      </c>
      <c r="Z108" s="532">
        <v>5500000</v>
      </c>
      <c r="AA108" s="468" t="s">
        <v>586</v>
      </c>
      <c r="AB108" s="67">
        <v>20</v>
      </c>
      <c r="AC108" s="201" t="s">
        <v>187</v>
      </c>
      <c r="AD108" s="508">
        <v>295972</v>
      </c>
      <c r="AE108" s="508"/>
      <c r="AF108" s="508">
        <v>285580</v>
      </c>
      <c r="AG108" s="508"/>
      <c r="AH108" s="508">
        <v>135545</v>
      </c>
      <c r="AI108" s="508"/>
      <c r="AJ108" s="508">
        <v>44254</v>
      </c>
      <c r="AK108" s="508"/>
      <c r="AL108" s="508">
        <v>309146</v>
      </c>
      <c r="AM108" s="508"/>
      <c r="AN108" s="508">
        <v>92607</v>
      </c>
      <c r="AO108" s="508"/>
      <c r="AP108" s="508">
        <v>2145</v>
      </c>
      <c r="AQ108" s="508"/>
      <c r="AR108" s="508">
        <v>12718</v>
      </c>
      <c r="AS108" s="508"/>
      <c r="AT108" s="508">
        <v>26</v>
      </c>
      <c r="AU108" s="508"/>
      <c r="AV108" s="508">
        <v>37</v>
      </c>
      <c r="AW108" s="508"/>
      <c r="AX108" s="508">
        <v>0</v>
      </c>
      <c r="AY108" s="508"/>
      <c r="AZ108" s="508">
        <v>0</v>
      </c>
      <c r="BA108" s="508"/>
      <c r="BB108" s="508">
        <v>44350</v>
      </c>
      <c r="BC108" s="508"/>
      <c r="BD108" s="508">
        <v>21944</v>
      </c>
      <c r="BE108" s="508"/>
      <c r="BF108" s="508">
        <v>75687</v>
      </c>
      <c r="BG108" s="508"/>
      <c r="BH108" s="508">
        <v>581552</v>
      </c>
      <c r="BI108" s="508"/>
      <c r="BJ108" s="68">
        <v>1</v>
      </c>
      <c r="BK108" s="533">
        <f>+Y108</f>
        <v>9000000</v>
      </c>
      <c r="BL108" s="533">
        <f>+Z108</f>
        <v>5500000</v>
      </c>
      <c r="BM108" s="534">
        <f>+BL108/BK108</f>
        <v>0.61111111111111116</v>
      </c>
      <c r="BN108" s="508">
        <v>20</v>
      </c>
      <c r="BO108" s="252" t="s">
        <v>187</v>
      </c>
      <c r="BP108" s="252" t="s">
        <v>540</v>
      </c>
      <c r="BQ108" s="535">
        <v>44197</v>
      </c>
      <c r="BR108" s="536">
        <v>44258</v>
      </c>
      <c r="BS108" s="535">
        <v>44561</v>
      </c>
      <c r="BT108" s="536">
        <v>44470</v>
      </c>
      <c r="BU108" s="537" t="s">
        <v>423</v>
      </c>
    </row>
    <row r="109" spans="1:73" ht="15.75" x14ac:dyDescent="0.25">
      <c r="A109" s="2757"/>
      <c r="B109" s="2758"/>
      <c r="C109" s="474">
        <v>32</v>
      </c>
      <c r="D109" s="2656" t="s">
        <v>587</v>
      </c>
      <c r="E109" s="2656"/>
      <c r="F109" s="2656"/>
      <c r="G109" s="2656"/>
      <c r="H109" s="2656"/>
      <c r="I109" s="2656"/>
      <c r="J109" s="2656"/>
      <c r="K109" s="2656"/>
      <c r="L109" s="506"/>
      <c r="M109" s="538"/>
      <c r="N109" s="506"/>
      <c r="O109" s="539"/>
      <c r="P109" s="539"/>
      <c r="Q109" s="477"/>
      <c r="R109" s="478"/>
      <c r="S109" s="479"/>
      <c r="T109" s="500"/>
      <c r="U109" s="478"/>
      <c r="V109" s="478"/>
      <c r="W109" s="478"/>
      <c r="X109" s="501"/>
      <c r="Y109" s="501"/>
      <c r="Z109" s="501"/>
      <c r="AA109" s="540"/>
      <c r="AB109" s="485"/>
      <c r="AC109" s="478"/>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477"/>
      <c r="BA109" s="477"/>
      <c r="BB109" s="477"/>
      <c r="BC109" s="477"/>
      <c r="BD109" s="477"/>
      <c r="BE109" s="477"/>
      <c r="BF109" s="477"/>
      <c r="BG109" s="477"/>
      <c r="BH109" s="477"/>
      <c r="BI109" s="477"/>
      <c r="BJ109" s="477"/>
      <c r="BK109" s="501"/>
      <c r="BL109" s="501"/>
      <c r="BM109" s="479"/>
      <c r="BN109" s="477"/>
      <c r="BO109" s="478"/>
      <c r="BP109" s="478"/>
      <c r="BQ109" s="489"/>
      <c r="BR109" s="489"/>
      <c r="BS109" s="489"/>
      <c r="BT109" s="489"/>
      <c r="BU109" s="481"/>
    </row>
    <row r="110" spans="1:73" s="2" customFormat="1" ht="15.75" x14ac:dyDescent="0.25">
      <c r="A110" s="2757"/>
      <c r="B110" s="2758"/>
      <c r="C110" s="602"/>
      <c r="D110" s="603"/>
      <c r="E110" s="521">
        <v>3205</v>
      </c>
      <c r="F110" s="2657" t="s">
        <v>588</v>
      </c>
      <c r="G110" s="2657"/>
      <c r="H110" s="2657"/>
      <c r="I110" s="2657"/>
      <c r="J110" s="2657"/>
      <c r="K110" s="2657"/>
      <c r="L110" s="2657"/>
      <c r="M110" s="188"/>
      <c r="N110" s="323"/>
      <c r="O110" s="188"/>
      <c r="P110" s="188"/>
      <c r="Q110" s="188"/>
      <c r="R110" s="323"/>
      <c r="S110" s="186"/>
      <c r="T110" s="322"/>
      <c r="U110" s="323"/>
      <c r="V110" s="323"/>
      <c r="W110" s="323"/>
      <c r="X110" s="490"/>
      <c r="Y110" s="490"/>
      <c r="Z110" s="490"/>
      <c r="AA110" s="57"/>
      <c r="AB110" s="192"/>
      <c r="AC110" s="323"/>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491"/>
      <c r="BL110" s="491"/>
      <c r="BM110" s="492"/>
      <c r="BN110" s="188"/>
      <c r="BO110" s="323"/>
      <c r="BP110" s="323"/>
      <c r="BQ110" s="188"/>
      <c r="BR110" s="188"/>
      <c r="BS110" s="188"/>
      <c r="BT110" s="188"/>
      <c r="BU110" s="323"/>
    </row>
    <row r="111" spans="1:73" s="541" customFormat="1" ht="66.75" customHeight="1" x14ac:dyDescent="0.25">
      <c r="A111" s="2757"/>
      <c r="B111" s="2758"/>
      <c r="C111" s="611"/>
      <c r="D111" s="612"/>
      <c r="E111" s="2689"/>
      <c r="F111" s="2732"/>
      <c r="G111" s="2646">
        <v>3205010</v>
      </c>
      <c r="H111" s="2425" t="s">
        <v>589</v>
      </c>
      <c r="I111" s="2646">
        <v>3205010</v>
      </c>
      <c r="J111" s="2425" t="s">
        <v>589</v>
      </c>
      <c r="K111" s="2646" t="s">
        <v>590</v>
      </c>
      <c r="L111" s="2425" t="s">
        <v>591</v>
      </c>
      <c r="M111" s="2646" t="s">
        <v>590</v>
      </c>
      <c r="N111" s="2425" t="s">
        <v>591</v>
      </c>
      <c r="O111" s="2392">
        <v>2</v>
      </c>
      <c r="P111" s="2392">
        <v>19</v>
      </c>
      <c r="Q111" s="2392" t="s">
        <v>592</v>
      </c>
      <c r="R111" s="2428" t="s">
        <v>593</v>
      </c>
      <c r="S111" s="2492">
        <f>SUM(X111:X125)/T111</f>
        <v>1</v>
      </c>
      <c r="T111" s="2709">
        <f>SUM(X111:X125)</f>
        <v>1418800000</v>
      </c>
      <c r="U111" s="2428" t="s">
        <v>594</v>
      </c>
      <c r="V111" s="2428" t="s">
        <v>595</v>
      </c>
      <c r="W111" s="2725" t="s">
        <v>596</v>
      </c>
      <c r="X111" s="72">
        <v>11200000</v>
      </c>
      <c r="Y111" s="72">
        <v>11200000</v>
      </c>
      <c r="Z111" s="72">
        <v>11200000</v>
      </c>
      <c r="AA111" s="468" t="s">
        <v>597</v>
      </c>
      <c r="AB111" s="2729" t="s">
        <v>438</v>
      </c>
      <c r="AC111" s="2297" t="s">
        <v>439</v>
      </c>
      <c r="AD111" s="2297">
        <v>295972</v>
      </c>
      <c r="AE111" s="2297"/>
      <c r="AF111" s="2297">
        <v>285580</v>
      </c>
      <c r="AG111" s="2297"/>
      <c r="AH111" s="2297">
        <v>135545</v>
      </c>
      <c r="AI111" s="2297"/>
      <c r="AJ111" s="2297">
        <v>44254</v>
      </c>
      <c r="AK111" s="2297"/>
      <c r="AL111" s="2297">
        <v>309146</v>
      </c>
      <c r="AM111" s="2297"/>
      <c r="AN111" s="2297">
        <v>92607</v>
      </c>
      <c r="AO111" s="2297"/>
      <c r="AP111" s="2297">
        <v>2145</v>
      </c>
      <c r="AQ111" s="2297"/>
      <c r="AR111" s="2297">
        <v>12718</v>
      </c>
      <c r="AS111" s="2297"/>
      <c r="AT111" s="2297">
        <v>26</v>
      </c>
      <c r="AU111" s="2297"/>
      <c r="AV111" s="2297">
        <v>37</v>
      </c>
      <c r="AW111" s="2297"/>
      <c r="AX111" s="2297">
        <v>0</v>
      </c>
      <c r="AY111" s="2297"/>
      <c r="AZ111" s="2297">
        <v>0</v>
      </c>
      <c r="BA111" s="2297"/>
      <c r="BB111" s="2297">
        <v>44350</v>
      </c>
      <c r="BC111" s="2297"/>
      <c r="BD111" s="2297">
        <v>21944</v>
      </c>
      <c r="BE111" s="2297"/>
      <c r="BF111" s="2297">
        <v>75687</v>
      </c>
      <c r="BG111" s="2297"/>
      <c r="BH111" s="2297">
        <v>581552</v>
      </c>
      <c r="BI111" s="2297"/>
      <c r="BJ111" s="2392">
        <v>13</v>
      </c>
      <c r="BK111" s="2693">
        <f>Y111+Y112+Y113+Y114+Y116+Y117+Y119+Y120+Y121+Y122+Y123+Y124+Y125</f>
        <v>51600000</v>
      </c>
      <c r="BL111" s="2693">
        <f>Z111+Z112+Z113+Z114+Z116+Z117+Z119+Z120+Z121+Z122+Z123+Z124+Z125</f>
        <v>38700000</v>
      </c>
      <c r="BM111" s="2696">
        <f>+BL111/BK111</f>
        <v>0.75</v>
      </c>
      <c r="BN111" s="2297" t="s">
        <v>438</v>
      </c>
      <c r="BO111" s="2295" t="s">
        <v>439</v>
      </c>
      <c r="BP111" s="2295" t="s">
        <v>540</v>
      </c>
      <c r="BQ111" s="2683">
        <v>44197</v>
      </c>
      <c r="BR111" s="2686">
        <v>44243</v>
      </c>
      <c r="BS111" s="2683">
        <v>44561</v>
      </c>
      <c r="BT111" s="2686">
        <v>44477</v>
      </c>
      <c r="BU111" s="2643" t="s">
        <v>423</v>
      </c>
    </row>
    <row r="112" spans="1:73" s="541" customFormat="1" ht="63" customHeight="1" x14ac:dyDescent="0.25">
      <c r="A112" s="2757"/>
      <c r="B112" s="2758"/>
      <c r="C112" s="611"/>
      <c r="D112" s="612"/>
      <c r="E112" s="2715"/>
      <c r="F112" s="2733"/>
      <c r="G112" s="2647"/>
      <c r="H112" s="2426"/>
      <c r="I112" s="2647"/>
      <c r="J112" s="2426"/>
      <c r="K112" s="2647"/>
      <c r="L112" s="2426"/>
      <c r="M112" s="2647"/>
      <c r="N112" s="2426"/>
      <c r="O112" s="2387"/>
      <c r="P112" s="2387"/>
      <c r="Q112" s="2387"/>
      <c r="R112" s="2429"/>
      <c r="S112" s="2707"/>
      <c r="T112" s="2710"/>
      <c r="U112" s="2429"/>
      <c r="V112" s="2429"/>
      <c r="W112" s="2726"/>
      <c r="X112" s="72">
        <v>2800000</v>
      </c>
      <c r="Y112" s="72">
        <v>0</v>
      </c>
      <c r="Z112" s="72"/>
      <c r="AA112" s="468" t="s">
        <v>598</v>
      </c>
      <c r="AB112" s="2730"/>
      <c r="AC112" s="2448"/>
      <c r="AD112" s="2448"/>
      <c r="AE112" s="2448"/>
      <c r="AF112" s="2448"/>
      <c r="AG112" s="2448"/>
      <c r="AH112" s="2448"/>
      <c r="AI112" s="2448"/>
      <c r="AJ112" s="2448"/>
      <c r="AK112" s="2448"/>
      <c r="AL112" s="2448"/>
      <c r="AM112" s="2448"/>
      <c r="AN112" s="2448"/>
      <c r="AO112" s="2448"/>
      <c r="AP112" s="2448"/>
      <c r="AQ112" s="2448"/>
      <c r="AR112" s="2448"/>
      <c r="AS112" s="2448"/>
      <c r="AT112" s="2448"/>
      <c r="AU112" s="2448"/>
      <c r="AV112" s="2448"/>
      <c r="AW112" s="2448"/>
      <c r="AX112" s="2448"/>
      <c r="AY112" s="2448"/>
      <c r="AZ112" s="2448"/>
      <c r="BA112" s="2448"/>
      <c r="BB112" s="2448"/>
      <c r="BC112" s="2448"/>
      <c r="BD112" s="2448"/>
      <c r="BE112" s="2448"/>
      <c r="BF112" s="2448"/>
      <c r="BG112" s="2448"/>
      <c r="BH112" s="2448"/>
      <c r="BI112" s="2448"/>
      <c r="BJ112" s="2387"/>
      <c r="BK112" s="2694"/>
      <c r="BL112" s="2694"/>
      <c r="BM112" s="2697"/>
      <c r="BN112" s="2448"/>
      <c r="BO112" s="2699"/>
      <c r="BP112" s="2699"/>
      <c r="BQ112" s="2684"/>
      <c r="BR112" s="2687"/>
      <c r="BS112" s="2684"/>
      <c r="BT112" s="2687"/>
      <c r="BU112" s="2644"/>
    </row>
    <row r="113" spans="1:73" s="541" customFormat="1" ht="105" x14ac:dyDescent="0.25">
      <c r="A113" s="2757"/>
      <c r="B113" s="2758"/>
      <c r="C113" s="611"/>
      <c r="D113" s="612"/>
      <c r="E113" s="2715"/>
      <c r="F113" s="2733"/>
      <c r="G113" s="2647"/>
      <c r="H113" s="2426"/>
      <c r="I113" s="2647"/>
      <c r="J113" s="2426"/>
      <c r="K113" s="2647"/>
      <c r="L113" s="2426"/>
      <c r="M113" s="2647"/>
      <c r="N113" s="2426"/>
      <c r="O113" s="2387"/>
      <c r="P113" s="2387"/>
      <c r="Q113" s="2387"/>
      <c r="R113" s="2429"/>
      <c r="S113" s="2707"/>
      <c r="T113" s="2710"/>
      <c r="U113" s="2429"/>
      <c r="V113" s="2429"/>
      <c r="W113" s="522" t="s">
        <v>599</v>
      </c>
      <c r="X113" s="72">
        <f>20000000-18000000</f>
        <v>2000000</v>
      </c>
      <c r="Y113" s="72">
        <v>0</v>
      </c>
      <c r="Z113" s="72">
        <v>0</v>
      </c>
      <c r="AA113" s="468" t="s">
        <v>598</v>
      </c>
      <c r="AB113" s="2730"/>
      <c r="AC113" s="2448"/>
      <c r="AD113" s="2448"/>
      <c r="AE113" s="2448"/>
      <c r="AF113" s="2448"/>
      <c r="AG113" s="2448"/>
      <c r="AH113" s="2448"/>
      <c r="AI113" s="2448"/>
      <c r="AJ113" s="2448"/>
      <c r="AK113" s="2448"/>
      <c r="AL113" s="2448"/>
      <c r="AM113" s="2448"/>
      <c r="AN113" s="2448"/>
      <c r="AO113" s="2448"/>
      <c r="AP113" s="2448"/>
      <c r="AQ113" s="2448"/>
      <c r="AR113" s="2448"/>
      <c r="AS113" s="2448"/>
      <c r="AT113" s="2448"/>
      <c r="AU113" s="2448"/>
      <c r="AV113" s="2448"/>
      <c r="AW113" s="2448"/>
      <c r="AX113" s="2448"/>
      <c r="AY113" s="2448"/>
      <c r="AZ113" s="2448"/>
      <c r="BA113" s="2448"/>
      <c r="BB113" s="2448"/>
      <c r="BC113" s="2448"/>
      <c r="BD113" s="2448"/>
      <c r="BE113" s="2448"/>
      <c r="BF113" s="2448"/>
      <c r="BG113" s="2448"/>
      <c r="BH113" s="2448"/>
      <c r="BI113" s="2448"/>
      <c r="BJ113" s="2387"/>
      <c r="BK113" s="2694"/>
      <c r="BL113" s="2694"/>
      <c r="BM113" s="2697"/>
      <c r="BN113" s="2448"/>
      <c r="BO113" s="2699"/>
      <c r="BP113" s="2699"/>
      <c r="BQ113" s="2684"/>
      <c r="BR113" s="2687"/>
      <c r="BS113" s="2684"/>
      <c r="BT113" s="2687"/>
      <c r="BU113" s="2644"/>
    </row>
    <row r="114" spans="1:73" s="541" customFormat="1" ht="72" customHeight="1" x14ac:dyDescent="0.25">
      <c r="A114" s="2757"/>
      <c r="B114" s="2758"/>
      <c r="C114" s="611"/>
      <c r="D114" s="612"/>
      <c r="E114" s="2715"/>
      <c r="F114" s="2733"/>
      <c r="G114" s="2647"/>
      <c r="H114" s="2426"/>
      <c r="I114" s="2647"/>
      <c r="J114" s="2426"/>
      <c r="K114" s="2647"/>
      <c r="L114" s="2426"/>
      <c r="M114" s="2647"/>
      <c r="N114" s="2426"/>
      <c r="O114" s="2387"/>
      <c r="P114" s="2387"/>
      <c r="Q114" s="2387"/>
      <c r="R114" s="2429"/>
      <c r="S114" s="2707"/>
      <c r="T114" s="2710"/>
      <c r="U114" s="2429"/>
      <c r="V114" s="2429"/>
      <c r="W114" s="2725" t="s">
        <v>600</v>
      </c>
      <c r="X114" s="72">
        <v>3300000</v>
      </c>
      <c r="Y114" s="72">
        <v>3300000</v>
      </c>
      <c r="Z114" s="72">
        <v>2500000</v>
      </c>
      <c r="AA114" s="468" t="s">
        <v>597</v>
      </c>
      <c r="AB114" s="2730"/>
      <c r="AC114" s="2448"/>
      <c r="AD114" s="2448"/>
      <c r="AE114" s="2448"/>
      <c r="AF114" s="2448"/>
      <c r="AG114" s="2448"/>
      <c r="AH114" s="2448"/>
      <c r="AI114" s="2448"/>
      <c r="AJ114" s="2448"/>
      <c r="AK114" s="2448"/>
      <c r="AL114" s="2448"/>
      <c r="AM114" s="2448"/>
      <c r="AN114" s="2448"/>
      <c r="AO114" s="2448"/>
      <c r="AP114" s="2448"/>
      <c r="AQ114" s="2448"/>
      <c r="AR114" s="2448"/>
      <c r="AS114" s="2448"/>
      <c r="AT114" s="2448"/>
      <c r="AU114" s="2448"/>
      <c r="AV114" s="2448"/>
      <c r="AW114" s="2448"/>
      <c r="AX114" s="2448"/>
      <c r="AY114" s="2448"/>
      <c r="AZ114" s="2448"/>
      <c r="BA114" s="2448"/>
      <c r="BB114" s="2448"/>
      <c r="BC114" s="2448"/>
      <c r="BD114" s="2448"/>
      <c r="BE114" s="2448"/>
      <c r="BF114" s="2448"/>
      <c r="BG114" s="2448"/>
      <c r="BH114" s="2448"/>
      <c r="BI114" s="2448"/>
      <c r="BJ114" s="2387"/>
      <c r="BK114" s="2694"/>
      <c r="BL114" s="2694"/>
      <c r="BM114" s="2697"/>
      <c r="BN114" s="2448"/>
      <c r="BO114" s="2699"/>
      <c r="BP114" s="2699"/>
      <c r="BQ114" s="2684"/>
      <c r="BR114" s="2687"/>
      <c r="BS114" s="2684"/>
      <c r="BT114" s="2687"/>
      <c r="BU114" s="2644"/>
    </row>
    <row r="115" spans="1:73" s="541" customFormat="1" ht="50.25" customHeight="1" x14ac:dyDescent="0.25">
      <c r="A115" s="2757"/>
      <c r="B115" s="2758"/>
      <c r="C115" s="611"/>
      <c r="D115" s="612"/>
      <c r="E115" s="2715"/>
      <c r="F115" s="2733"/>
      <c r="G115" s="2647"/>
      <c r="H115" s="2426"/>
      <c r="I115" s="2647"/>
      <c r="J115" s="2426"/>
      <c r="K115" s="2647"/>
      <c r="L115" s="2426"/>
      <c r="M115" s="2647"/>
      <c r="N115" s="2426"/>
      <c r="O115" s="2387"/>
      <c r="P115" s="2387"/>
      <c r="Q115" s="2387"/>
      <c r="R115" s="2429"/>
      <c r="S115" s="2707"/>
      <c r="T115" s="2710"/>
      <c r="U115" s="2429"/>
      <c r="V115" s="2429"/>
      <c r="W115" s="2726"/>
      <c r="X115" s="72">
        <v>1700000</v>
      </c>
      <c r="Y115" s="72"/>
      <c r="Z115" s="72">
        <v>0</v>
      </c>
      <c r="AA115" s="468" t="s">
        <v>598</v>
      </c>
      <c r="AB115" s="2730"/>
      <c r="AC115" s="2448"/>
      <c r="AD115" s="2448"/>
      <c r="AE115" s="2448"/>
      <c r="AF115" s="2448"/>
      <c r="AG115" s="2448"/>
      <c r="AH115" s="2448"/>
      <c r="AI115" s="2448"/>
      <c r="AJ115" s="2448"/>
      <c r="AK115" s="2448"/>
      <c r="AL115" s="2448"/>
      <c r="AM115" s="2448"/>
      <c r="AN115" s="2448"/>
      <c r="AO115" s="2448"/>
      <c r="AP115" s="2448"/>
      <c r="AQ115" s="2448"/>
      <c r="AR115" s="2448"/>
      <c r="AS115" s="2448"/>
      <c r="AT115" s="2448"/>
      <c r="AU115" s="2448"/>
      <c r="AV115" s="2448"/>
      <c r="AW115" s="2448"/>
      <c r="AX115" s="2448"/>
      <c r="AY115" s="2448"/>
      <c r="AZ115" s="2448"/>
      <c r="BA115" s="2448"/>
      <c r="BB115" s="2448"/>
      <c r="BC115" s="2448"/>
      <c r="BD115" s="2448"/>
      <c r="BE115" s="2448"/>
      <c r="BF115" s="2448"/>
      <c r="BG115" s="2448"/>
      <c r="BH115" s="2448"/>
      <c r="BI115" s="2448"/>
      <c r="BJ115" s="2387"/>
      <c r="BK115" s="2694"/>
      <c r="BL115" s="2694"/>
      <c r="BM115" s="2697"/>
      <c r="BN115" s="2448"/>
      <c r="BO115" s="2699"/>
      <c r="BP115" s="2699"/>
      <c r="BQ115" s="2684"/>
      <c r="BR115" s="2687"/>
      <c r="BS115" s="2684"/>
      <c r="BT115" s="2687"/>
      <c r="BU115" s="2644"/>
    </row>
    <row r="116" spans="1:73" s="541" customFormat="1" ht="105" x14ac:dyDescent="0.25">
      <c r="A116" s="2757"/>
      <c r="B116" s="2758"/>
      <c r="C116" s="611"/>
      <c r="D116" s="612"/>
      <c r="E116" s="2715"/>
      <c r="F116" s="2733"/>
      <c r="G116" s="2647"/>
      <c r="H116" s="2426"/>
      <c r="I116" s="2647"/>
      <c r="J116" s="2426"/>
      <c r="K116" s="2647"/>
      <c r="L116" s="2426"/>
      <c r="M116" s="2647"/>
      <c r="N116" s="2426"/>
      <c r="O116" s="2387"/>
      <c r="P116" s="2387"/>
      <c r="Q116" s="2387"/>
      <c r="R116" s="2429"/>
      <c r="S116" s="2707"/>
      <c r="T116" s="2710"/>
      <c r="U116" s="2429"/>
      <c r="V116" s="2429"/>
      <c r="W116" s="522" t="s">
        <v>601</v>
      </c>
      <c r="X116" s="72">
        <f>20000000-1000000</f>
        <v>19000000</v>
      </c>
      <c r="Y116" s="72">
        <v>14000000</v>
      </c>
      <c r="Z116" s="72">
        <v>11200000</v>
      </c>
      <c r="AA116" s="468" t="s">
        <v>597</v>
      </c>
      <c r="AB116" s="2730"/>
      <c r="AC116" s="2448"/>
      <c r="AD116" s="2448"/>
      <c r="AE116" s="2448"/>
      <c r="AF116" s="2448"/>
      <c r="AG116" s="2448"/>
      <c r="AH116" s="2448"/>
      <c r="AI116" s="2448"/>
      <c r="AJ116" s="2448"/>
      <c r="AK116" s="2448"/>
      <c r="AL116" s="2448"/>
      <c r="AM116" s="2448"/>
      <c r="AN116" s="2448"/>
      <c r="AO116" s="2448"/>
      <c r="AP116" s="2448"/>
      <c r="AQ116" s="2448"/>
      <c r="AR116" s="2448"/>
      <c r="AS116" s="2448"/>
      <c r="AT116" s="2448"/>
      <c r="AU116" s="2448"/>
      <c r="AV116" s="2448"/>
      <c r="AW116" s="2448"/>
      <c r="AX116" s="2448"/>
      <c r="AY116" s="2448"/>
      <c r="AZ116" s="2448"/>
      <c r="BA116" s="2448"/>
      <c r="BB116" s="2448"/>
      <c r="BC116" s="2448"/>
      <c r="BD116" s="2448"/>
      <c r="BE116" s="2448"/>
      <c r="BF116" s="2448"/>
      <c r="BG116" s="2448"/>
      <c r="BH116" s="2448"/>
      <c r="BI116" s="2448"/>
      <c r="BJ116" s="2387"/>
      <c r="BK116" s="2694"/>
      <c r="BL116" s="2694"/>
      <c r="BM116" s="2697"/>
      <c r="BN116" s="2448"/>
      <c r="BO116" s="2699"/>
      <c r="BP116" s="2699"/>
      <c r="BQ116" s="2684"/>
      <c r="BR116" s="2687"/>
      <c r="BS116" s="2684"/>
      <c r="BT116" s="2687"/>
      <c r="BU116" s="2644"/>
    </row>
    <row r="117" spans="1:73" s="541" customFormat="1" ht="30.75" customHeight="1" x14ac:dyDescent="0.25">
      <c r="A117" s="2757"/>
      <c r="B117" s="2758"/>
      <c r="C117" s="611"/>
      <c r="D117" s="612"/>
      <c r="E117" s="2715"/>
      <c r="F117" s="2733"/>
      <c r="G117" s="2647"/>
      <c r="H117" s="2426"/>
      <c r="I117" s="2647"/>
      <c r="J117" s="2426"/>
      <c r="K117" s="2647"/>
      <c r="L117" s="2426"/>
      <c r="M117" s="2647"/>
      <c r="N117" s="2426"/>
      <c r="O117" s="2387"/>
      <c r="P117" s="2387"/>
      <c r="Q117" s="2387"/>
      <c r="R117" s="2429"/>
      <c r="S117" s="2707"/>
      <c r="T117" s="2710"/>
      <c r="U117" s="2429"/>
      <c r="V117" s="2429"/>
      <c r="W117" s="2725" t="s">
        <v>602</v>
      </c>
      <c r="X117" s="72">
        <v>10000000</v>
      </c>
      <c r="Y117" s="72">
        <v>0</v>
      </c>
      <c r="Z117" s="72">
        <v>0</v>
      </c>
      <c r="AA117" s="433" t="s">
        <v>597</v>
      </c>
      <c r="AB117" s="2730"/>
      <c r="AC117" s="2448"/>
      <c r="AD117" s="2448"/>
      <c r="AE117" s="2448"/>
      <c r="AF117" s="2448"/>
      <c r="AG117" s="2448"/>
      <c r="AH117" s="2448"/>
      <c r="AI117" s="2448"/>
      <c r="AJ117" s="2448"/>
      <c r="AK117" s="2448"/>
      <c r="AL117" s="2448"/>
      <c r="AM117" s="2448"/>
      <c r="AN117" s="2448"/>
      <c r="AO117" s="2448"/>
      <c r="AP117" s="2448"/>
      <c r="AQ117" s="2448"/>
      <c r="AR117" s="2448"/>
      <c r="AS117" s="2448"/>
      <c r="AT117" s="2448"/>
      <c r="AU117" s="2448"/>
      <c r="AV117" s="2448"/>
      <c r="AW117" s="2448"/>
      <c r="AX117" s="2448"/>
      <c r="AY117" s="2448"/>
      <c r="AZ117" s="2448"/>
      <c r="BA117" s="2448"/>
      <c r="BB117" s="2448"/>
      <c r="BC117" s="2448"/>
      <c r="BD117" s="2448"/>
      <c r="BE117" s="2448"/>
      <c r="BF117" s="2448"/>
      <c r="BG117" s="2448"/>
      <c r="BH117" s="2448"/>
      <c r="BI117" s="2448"/>
      <c r="BJ117" s="2387"/>
      <c r="BK117" s="2694"/>
      <c r="BL117" s="2694"/>
      <c r="BM117" s="2697"/>
      <c r="BN117" s="2448"/>
      <c r="BO117" s="2699"/>
      <c r="BP117" s="2699"/>
      <c r="BQ117" s="2684"/>
      <c r="BR117" s="2687"/>
      <c r="BS117" s="2684"/>
      <c r="BT117" s="2687"/>
      <c r="BU117" s="2644"/>
    </row>
    <row r="118" spans="1:73" s="541" customFormat="1" ht="45.75" customHeight="1" x14ac:dyDescent="0.25">
      <c r="A118" s="2757"/>
      <c r="B118" s="2758"/>
      <c r="C118" s="611"/>
      <c r="D118" s="612"/>
      <c r="E118" s="2715"/>
      <c r="F118" s="2733"/>
      <c r="G118" s="2647"/>
      <c r="H118" s="2426"/>
      <c r="I118" s="2647"/>
      <c r="J118" s="2426"/>
      <c r="K118" s="2647"/>
      <c r="L118" s="2426"/>
      <c r="M118" s="2647"/>
      <c r="N118" s="2426"/>
      <c r="O118" s="2387"/>
      <c r="P118" s="2387"/>
      <c r="Q118" s="2387"/>
      <c r="R118" s="2429"/>
      <c r="S118" s="2707"/>
      <c r="T118" s="2710"/>
      <c r="U118" s="2429"/>
      <c r="V118" s="2429"/>
      <c r="W118" s="2726"/>
      <c r="X118" s="72">
        <v>1318800000</v>
      </c>
      <c r="Y118" s="72"/>
      <c r="Z118" s="72"/>
      <c r="AA118" s="468" t="s">
        <v>603</v>
      </c>
      <c r="AB118" s="2730"/>
      <c r="AC118" s="2448"/>
      <c r="AD118" s="2448"/>
      <c r="AE118" s="2448"/>
      <c r="AF118" s="2448"/>
      <c r="AG118" s="2448"/>
      <c r="AH118" s="2448"/>
      <c r="AI118" s="2448"/>
      <c r="AJ118" s="2448"/>
      <c r="AK118" s="2448"/>
      <c r="AL118" s="2448"/>
      <c r="AM118" s="2448"/>
      <c r="AN118" s="2448"/>
      <c r="AO118" s="2448"/>
      <c r="AP118" s="2448"/>
      <c r="AQ118" s="2448"/>
      <c r="AR118" s="2448"/>
      <c r="AS118" s="2448"/>
      <c r="AT118" s="2448"/>
      <c r="AU118" s="2448"/>
      <c r="AV118" s="2448"/>
      <c r="AW118" s="2448"/>
      <c r="AX118" s="2448"/>
      <c r="AY118" s="2448"/>
      <c r="AZ118" s="2448"/>
      <c r="BA118" s="2448"/>
      <c r="BB118" s="2448"/>
      <c r="BC118" s="2448"/>
      <c r="BD118" s="2448"/>
      <c r="BE118" s="2448"/>
      <c r="BF118" s="2448"/>
      <c r="BG118" s="2448"/>
      <c r="BH118" s="2448"/>
      <c r="BI118" s="2448"/>
      <c r="BJ118" s="2387"/>
      <c r="BK118" s="2694"/>
      <c r="BL118" s="2694"/>
      <c r="BM118" s="2697"/>
      <c r="BN118" s="2448"/>
      <c r="BO118" s="2699"/>
      <c r="BP118" s="2699"/>
      <c r="BQ118" s="2684"/>
      <c r="BR118" s="2687"/>
      <c r="BS118" s="2684"/>
      <c r="BT118" s="2687"/>
      <c r="BU118" s="2644"/>
    </row>
    <row r="119" spans="1:73" s="541" customFormat="1" ht="75" x14ac:dyDescent="0.25">
      <c r="A119" s="2757"/>
      <c r="B119" s="2758"/>
      <c r="C119" s="611"/>
      <c r="D119" s="612"/>
      <c r="E119" s="2715"/>
      <c r="F119" s="2733"/>
      <c r="G119" s="2647"/>
      <c r="H119" s="2426"/>
      <c r="I119" s="2647"/>
      <c r="J119" s="2426"/>
      <c r="K119" s="2647"/>
      <c r="L119" s="2426"/>
      <c r="M119" s="2647"/>
      <c r="N119" s="2426"/>
      <c r="O119" s="2387"/>
      <c r="P119" s="2387"/>
      <c r="Q119" s="2387"/>
      <c r="R119" s="2429"/>
      <c r="S119" s="2707"/>
      <c r="T119" s="2710"/>
      <c r="U119" s="2429"/>
      <c r="V119" s="2429"/>
      <c r="W119" s="522" t="s">
        <v>604</v>
      </c>
      <c r="X119" s="72">
        <v>18000000</v>
      </c>
      <c r="Y119" s="72">
        <v>14600000</v>
      </c>
      <c r="Z119" s="72">
        <v>11800000</v>
      </c>
      <c r="AA119" s="427" t="s">
        <v>597</v>
      </c>
      <c r="AB119" s="2730"/>
      <c r="AC119" s="2448"/>
      <c r="AD119" s="2448"/>
      <c r="AE119" s="2448"/>
      <c r="AF119" s="2448"/>
      <c r="AG119" s="2448"/>
      <c r="AH119" s="2448"/>
      <c r="AI119" s="2448"/>
      <c r="AJ119" s="2448"/>
      <c r="AK119" s="2448"/>
      <c r="AL119" s="2448"/>
      <c r="AM119" s="2448"/>
      <c r="AN119" s="2448"/>
      <c r="AO119" s="2448"/>
      <c r="AP119" s="2448"/>
      <c r="AQ119" s="2448"/>
      <c r="AR119" s="2448"/>
      <c r="AS119" s="2448"/>
      <c r="AT119" s="2448"/>
      <c r="AU119" s="2448"/>
      <c r="AV119" s="2448"/>
      <c r="AW119" s="2448"/>
      <c r="AX119" s="2448"/>
      <c r="AY119" s="2448"/>
      <c r="AZ119" s="2448"/>
      <c r="BA119" s="2448"/>
      <c r="BB119" s="2448"/>
      <c r="BC119" s="2448"/>
      <c r="BD119" s="2448"/>
      <c r="BE119" s="2448"/>
      <c r="BF119" s="2448"/>
      <c r="BG119" s="2448"/>
      <c r="BH119" s="2448"/>
      <c r="BI119" s="2448"/>
      <c r="BJ119" s="2387"/>
      <c r="BK119" s="2694"/>
      <c r="BL119" s="2694"/>
      <c r="BM119" s="2697"/>
      <c r="BN119" s="2448"/>
      <c r="BO119" s="2699"/>
      <c r="BP119" s="2699"/>
      <c r="BQ119" s="2684"/>
      <c r="BR119" s="2687"/>
      <c r="BS119" s="2684"/>
      <c r="BT119" s="2687"/>
      <c r="BU119" s="2644"/>
    </row>
    <row r="120" spans="1:73" s="541" customFormat="1" ht="45" x14ac:dyDescent="0.25">
      <c r="A120" s="2757"/>
      <c r="B120" s="2758"/>
      <c r="C120" s="611"/>
      <c r="D120" s="612"/>
      <c r="E120" s="2715"/>
      <c r="F120" s="2733"/>
      <c r="G120" s="2647"/>
      <c r="H120" s="2426"/>
      <c r="I120" s="2647"/>
      <c r="J120" s="2426"/>
      <c r="K120" s="2647"/>
      <c r="L120" s="2426"/>
      <c r="M120" s="2647"/>
      <c r="N120" s="2426"/>
      <c r="O120" s="2387"/>
      <c r="P120" s="2387"/>
      <c r="Q120" s="2387"/>
      <c r="R120" s="2429"/>
      <c r="S120" s="2707"/>
      <c r="T120" s="2710"/>
      <c r="U120" s="2429"/>
      <c r="V120" s="2429"/>
      <c r="W120" s="522" t="s">
        <v>605</v>
      </c>
      <c r="X120" s="72">
        <v>5000000</v>
      </c>
      <c r="Y120" s="72">
        <v>5000000</v>
      </c>
      <c r="Z120" s="72">
        <v>0</v>
      </c>
      <c r="AA120" s="468" t="s">
        <v>606</v>
      </c>
      <c r="AB120" s="2730"/>
      <c r="AC120" s="2448"/>
      <c r="AD120" s="2448"/>
      <c r="AE120" s="2448"/>
      <c r="AF120" s="2448"/>
      <c r="AG120" s="2448"/>
      <c r="AH120" s="2448"/>
      <c r="AI120" s="2448"/>
      <c r="AJ120" s="2448"/>
      <c r="AK120" s="2448"/>
      <c r="AL120" s="2448"/>
      <c r="AM120" s="2448"/>
      <c r="AN120" s="2448"/>
      <c r="AO120" s="2448"/>
      <c r="AP120" s="2448"/>
      <c r="AQ120" s="2448"/>
      <c r="AR120" s="2448"/>
      <c r="AS120" s="2448"/>
      <c r="AT120" s="2448"/>
      <c r="AU120" s="2448"/>
      <c r="AV120" s="2448"/>
      <c r="AW120" s="2448"/>
      <c r="AX120" s="2448"/>
      <c r="AY120" s="2448"/>
      <c r="AZ120" s="2448"/>
      <c r="BA120" s="2448"/>
      <c r="BB120" s="2448"/>
      <c r="BC120" s="2448"/>
      <c r="BD120" s="2448"/>
      <c r="BE120" s="2448"/>
      <c r="BF120" s="2448"/>
      <c r="BG120" s="2448"/>
      <c r="BH120" s="2448"/>
      <c r="BI120" s="2448"/>
      <c r="BJ120" s="2387"/>
      <c r="BK120" s="2694"/>
      <c r="BL120" s="2694"/>
      <c r="BM120" s="2697"/>
      <c r="BN120" s="2448"/>
      <c r="BO120" s="2699"/>
      <c r="BP120" s="2699"/>
      <c r="BQ120" s="2684"/>
      <c r="BR120" s="2687"/>
      <c r="BS120" s="2684"/>
      <c r="BT120" s="2687"/>
      <c r="BU120" s="2644"/>
    </row>
    <row r="121" spans="1:73" s="541" customFormat="1" ht="90" x14ac:dyDescent="0.25">
      <c r="A121" s="2757"/>
      <c r="B121" s="2758"/>
      <c r="C121" s="611"/>
      <c r="D121" s="612"/>
      <c r="E121" s="2715"/>
      <c r="F121" s="2733"/>
      <c r="G121" s="2647"/>
      <c r="H121" s="2426"/>
      <c r="I121" s="2647"/>
      <c r="J121" s="2426"/>
      <c r="K121" s="2647"/>
      <c r="L121" s="2426"/>
      <c r="M121" s="2647"/>
      <c r="N121" s="2426"/>
      <c r="O121" s="2387"/>
      <c r="P121" s="2387"/>
      <c r="Q121" s="2387"/>
      <c r="R121" s="2429"/>
      <c r="S121" s="2707"/>
      <c r="T121" s="2710"/>
      <c r="U121" s="2429"/>
      <c r="V121" s="2429"/>
      <c r="W121" s="522" t="s">
        <v>607</v>
      </c>
      <c r="X121" s="542">
        <v>6000000</v>
      </c>
      <c r="Y121" s="542">
        <v>3500000</v>
      </c>
      <c r="Z121" s="542">
        <v>2000000</v>
      </c>
      <c r="AA121" s="468" t="s">
        <v>597</v>
      </c>
      <c r="AB121" s="2730"/>
      <c r="AC121" s="2448"/>
      <c r="AD121" s="2448"/>
      <c r="AE121" s="2448"/>
      <c r="AF121" s="2448"/>
      <c r="AG121" s="2448"/>
      <c r="AH121" s="2448"/>
      <c r="AI121" s="2448"/>
      <c r="AJ121" s="2448"/>
      <c r="AK121" s="2448"/>
      <c r="AL121" s="2448"/>
      <c r="AM121" s="2448"/>
      <c r="AN121" s="2448"/>
      <c r="AO121" s="2448"/>
      <c r="AP121" s="2448"/>
      <c r="AQ121" s="2448"/>
      <c r="AR121" s="2448"/>
      <c r="AS121" s="2448"/>
      <c r="AT121" s="2448"/>
      <c r="AU121" s="2448"/>
      <c r="AV121" s="2448"/>
      <c r="AW121" s="2448"/>
      <c r="AX121" s="2448"/>
      <c r="AY121" s="2448"/>
      <c r="AZ121" s="2448"/>
      <c r="BA121" s="2448"/>
      <c r="BB121" s="2448"/>
      <c r="BC121" s="2448"/>
      <c r="BD121" s="2448"/>
      <c r="BE121" s="2448"/>
      <c r="BF121" s="2448"/>
      <c r="BG121" s="2448"/>
      <c r="BH121" s="2448"/>
      <c r="BI121" s="2448"/>
      <c r="BJ121" s="2387"/>
      <c r="BK121" s="2694"/>
      <c r="BL121" s="2694"/>
      <c r="BM121" s="2697"/>
      <c r="BN121" s="2448"/>
      <c r="BO121" s="2699"/>
      <c r="BP121" s="2699"/>
      <c r="BQ121" s="2684"/>
      <c r="BR121" s="2687"/>
      <c r="BS121" s="2684"/>
      <c r="BT121" s="2687"/>
      <c r="BU121" s="2644"/>
    </row>
    <row r="122" spans="1:73" s="541" customFormat="1" ht="30" customHeight="1" x14ac:dyDescent="0.25">
      <c r="A122" s="2757"/>
      <c r="B122" s="2758"/>
      <c r="C122" s="611"/>
      <c r="D122" s="612"/>
      <c r="E122" s="2715"/>
      <c r="F122" s="2733"/>
      <c r="G122" s="2647"/>
      <c r="H122" s="2426"/>
      <c r="I122" s="2647"/>
      <c r="J122" s="2426"/>
      <c r="K122" s="2647"/>
      <c r="L122" s="2426"/>
      <c r="M122" s="2647"/>
      <c r="N122" s="2426"/>
      <c r="O122" s="2387"/>
      <c r="P122" s="2387"/>
      <c r="Q122" s="2387"/>
      <c r="R122" s="2429"/>
      <c r="S122" s="2707"/>
      <c r="T122" s="2710"/>
      <c r="U122" s="2429"/>
      <c r="V122" s="2429"/>
      <c r="W122" s="2328" t="s">
        <v>608</v>
      </c>
      <c r="X122" s="72">
        <v>1000000</v>
      </c>
      <c r="Y122" s="72">
        <v>0</v>
      </c>
      <c r="Z122" s="72">
        <v>0</v>
      </c>
      <c r="AA122" s="468" t="s">
        <v>609</v>
      </c>
      <c r="AB122" s="2730"/>
      <c r="AC122" s="2448"/>
      <c r="AD122" s="2448"/>
      <c r="AE122" s="2448"/>
      <c r="AF122" s="2448"/>
      <c r="AG122" s="2448"/>
      <c r="AH122" s="2448"/>
      <c r="AI122" s="2448"/>
      <c r="AJ122" s="2448"/>
      <c r="AK122" s="2448"/>
      <c r="AL122" s="2448"/>
      <c r="AM122" s="2448"/>
      <c r="AN122" s="2448"/>
      <c r="AO122" s="2448"/>
      <c r="AP122" s="2448"/>
      <c r="AQ122" s="2448"/>
      <c r="AR122" s="2448"/>
      <c r="AS122" s="2448"/>
      <c r="AT122" s="2448"/>
      <c r="AU122" s="2448"/>
      <c r="AV122" s="2448"/>
      <c r="AW122" s="2448"/>
      <c r="AX122" s="2448"/>
      <c r="AY122" s="2448"/>
      <c r="AZ122" s="2448"/>
      <c r="BA122" s="2448"/>
      <c r="BB122" s="2448"/>
      <c r="BC122" s="2448"/>
      <c r="BD122" s="2448"/>
      <c r="BE122" s="2448"/>
      <c r="BF122" s="2448"/>
      <c r="BG122" s="2448"/>
      <c r="BH122" s="2448"/>
      <c r="BI122" s="2448"/>
      <c r="BJ122" s="2387"/>
      <c r="BK122" s="2694"/>
      <c r="BL122" s="2694"/>
      <c r="BM122" s="2697"/>
      <c r="BN122" s="2448"/>
      <c r="BO122" s="2699"/>
      <c r="BP122" s="2699"/>
      <c r="BQ122" s="2684"/>
      <c r="BR122" s="2687"/>
      <c r="BS122" s="2684"/>
      <c r="BT122" s="2687"/>
      <c r="BU122" s="2644"/>
    </row>
    <row r="123" spans="1:73" s="541" customFormat="1" ht="30.75" customHeight="1" x14ac:dyDescent="0.25">
      <c r="A123" s="2757"/>
      <c r="B123" s="2758"/>
      <c r="C123" s="611"/>
      <c r="D123" s="612"/>
      <c r="E123" s="2715"/>
      <c r="F123" s="2733"/>
      <c r="G123" s="2647"/>
      <c r="H123" s="2426"/>
      <c r="I123" s="2647"/>
      <c r="J123" s="2426"/>
      <c r="K123" s="2647"/>
      <c r="L123" s="2426"/>
      <c r="M123" s="2647"/>
      <c r="N123" s="2426"/>
      <c r="O123" s="2387"/>
      <c r="P123" s="2387"/>
      <c r="Q123" s="2387"/>
      <c r="R123" s="2429"/>
      <c r="S123" s="2707"/>
      <c r="T123" s="2710"/>
      <c r="U123" s="2429"/>
      <c r="V123" s="2429"/>
      <c r="W123" s="2329"/>
      <c r="X123" s="72">
        <v>2000000</v>
      </c>
      <c r="Y123" s="72"/>
      <c r="Z123" s="72"/>
      <c r="AA123" s="468" t="s">
        <v>610</v>
      </c>
      <c r="AB123" s="2730"/>
      <c r="AC123" s="2448"/>
      <c r="AD123" s="2448"/>
      <c r="AE123" s="2448"/>
      <c r="AF123" s="2448"/>
      <c r="AG123" s="2448"/>
      <c r="AH123" s="2448"/>
      <c r="AI123" s="2448"/>
      <c r="AJ123" s="2448"/>
      <c r="AK123" s="2448"/>
      <c r="AL123" s="2448"/>
      <c r="AM123" s="2448"/>
      <c r="AN123" s="2448"/>
      <c r="AO123" s="2448"/>
      <c r="AP123" s="2448"/>
      <c r="AQ123" s="2448"/>
      <c r="AR123" s="2448"/>
      <c r="AS123" s="2448"/>
      <c r="AT123" s="2448"/>
      <c r="AU123" s="2448"/>
      <c r="AV123" s="2448"/>
      <c r="AW123" s="2448"/>
      <c r="AX123" s="2448"/>
      <c r="AY123" s="2448"/>
      <c r="AZ123" s="2448"/>
      <c r="BA123" s="2448"/>
      <c r="BB123" s="2448"/>
      <c r="BC123" s="2448"/>
      <c r="BD123" s="2448"/>
      <c r="BE123" s="2448"/>
      <c r="BF123" s="2448"/>
      <c r="BG123" s="2448"/>
      <c r="BH123" s="2448"/>
      <c r="BI123" s="2448"/>
      <c r="BJ123" s="2387"/>
      <c r="BK123" s="2694"/>
      <c r="BL123" s="2694"/>
      <c r="BM123" s="2697"/>
      <c r="BN123" s="2448"/>
      <c r="BO123" s="2699"/>
      <c r="BP123" s="2699"/>
      <c r="BQ123" s="2684"/>
      <c r="BR123" s="2687"/>
      <c r="BS123" s="2684"/>
      <c r="BT123" s="2687"/>
      <c r="BU123" s="2644"/>
    </row>
    <row r="124" spans="1:73" s="541" customFormat="1" ht="39.75" customHeight="1" x14ac:dyDescent="0.25">
      <c r="A124" s="2757"/>
      <c r="B124" s="2758"/>
      <c r="C124" s="611"/>
      <c r="D124" s="612"/>
      <c r="E124" s="2715"/>
      <c r="F124" s="2733"/>
      <c r="G124" s="2647"/>
      <c r="H124" s="2426"/>
      <c r="I124" s="2647"/>
      <c r="J124" s="2426"/>
      <c r="K124" s="2647"/>
      <c r="L124" s="2426"/>
      <c r="M124" s="2647"/>
      <c r="N124" s="2426"/>
      <c r="O124" s="2387"/>
      <c r="P124" s="2387"/>
      <c r="Q124" s="2387"/>
      <c r="R124" s="2429"/>
      <c r="S124" s="2707"/>
      <c r="T124" s="2710"/>
      <c r="U124" s="2429"/>
      <c r="V124" s="2429"/>
      <c r="W124" s="2329"/>
      <c r="X124" s="72">
        <v>15000000</v>
      </c>
      <c r="Y124" s="72"/>
      <c r="Z124" s="72"/>
      <c r="AA124" s="468" t="s">
        <v>611</v>
      </c>
      <c r="AB124" s="2730"/>
      <c r="AC124" s="2448"/>
      <c r="AD124" s="2448"/>
      <c r="AE124" s="2448"/>
      <c r="AF124" s="2448"/>
      <c r="AG124" s="2448"/>
      <c r="AH124" s="2448"/>
      <c r="AI124" s="2448"/>
      <c r="AJ124" s="2448"/>
      <c r="AK124" s="2448"/>
      <c r="AL124" s="2448"/>
      <c r="AM124" s="2448"/>
      <c r="AN124" s="2448"/>
      <c r="AO124" s="2448"/>
      <c r="AP124" s="2448"/>
      <c r="AQ124" s="2448"/>
      <c r="AR124" s="2448"/>
      <c r="AS124" s="2448"/>
      <c r="AT124" s="2448"/>
      <c r="AU124" s="2448"/>
      <c r="AV124" s="2448"/>
      <c r="AW124" s="2448"/>
      <c r="AX124" s="2448"/>
      <c r="AY124" s="2448"/>
      <c r="AZ124" s="2448"/>
      <c r="BA124" s="2448"/>
      <c r="BB124" s="2448"/>
      <c r="BC124" s="2448"/>
      <c r="BD124" s="2448"/>
      <c r="BE124" s="2448"/>
      <c r="BF124" s="2448"/>
      <c r="BG124" s="2448"/>
      <c r="BH124" s="2448"/>
      <c r="BI124" s="2448"/>
      <c r="BJ124" s="2387"/>
      <c r="BK124" s="2694"/>
      <c r="BL124" s="2694"/>
      <c r="BM124" s="2697"/>
      <c r="BN124" s="2448"/>
      <c r="BO124" s="2699"/>
      <c r="BP124" s="2699"/>
      <c r="BQ124" s="2684"/>
      <c r="BR124" s="2687"/>
      <c r="BS124" s="2684"/>
      <c r="BT124" s="2687"/>
      <c r="BU124" s="2644"/>
    </row>
    <row r="125" spans="1:73" s="541" customFormat="1" ht="32.25" customHeight="1" x14ac:dyDescent="0.25">
      <c r="A125" s="2757"/>
      <c r="B125" s="2758"/>
      <c r="C125" s="611"/>
      <c r="D125" s="612"/>
      <c r="E125" s="2715"/>
      <c r="F125" s="2733"/>
      <c r="G125" s="2648"/>
      <c r="H125" s="2427"/>
      <c r="I125" s="2648"/>
      <c r="J125" s="2427"/>
      <c r="K125" s="2648"/>
      <c r="L125" s="2427"/>
      <c r="M125" s="2648"/>
      <c r="N125" s="2427"/>
      <c r="O125" s="2388"/>
      <c r="P125" s="2388"/>
      <c r="Q125" s="2388"/>
      <c r="R125" s="2430"/>
      <c r="S125" s="2708"/>
      <c r="T125" s="2711"/>
      <c r="U125" s="2430"/>
      <c r="V125" s="2430"/>
      <c r="W125" s="2330"/>
      <c r="X125" s="72">
        <v>3000000</v>
      </c>
      <c r="Y125" s="72"/>
      <c r="Z125" s="72"/>
      <c r="AA125" s="468" t="s">
        <v>612</v>
      </c>
      <c r="AB125" s="2731"/>
      <c r="AC125" s="2449"/>
      <c r="AD125" s="2449"/>
      <c r="AE125" s="2449"/>
      <c r="AF125" s="2449"/>
      <c r="AG125" s="2449"/>
      <c r="AH125" s="2449"/>
      <c r="AI125" s="2449"/>
      <c r="AJ125" s="2449"/>
      <c r="AK125" s="2449"/>
      <c r="AL125" s="2449"/>
      <c r="AM125" s="2449"/>
      <c r="AN125" s="2449"/>
      <c r="AO125" s="2449"/>
      <c r="AP125" s="2449"/>
      <c r="AQ125" s="2449"/>
      <c r="AR125" s="2449"/>
      <c r="AS125" s="2449"/>
      <c r="AT125" s="2449"/>
      <c r="AU125" s="2449"/>
      <c r="AV125" s="2449"/>
      <c r="AW125" s="2449"/>
      <c r="AX125" s="2449"/>
      <c r="AY125" s="2449"/>
      <c r="AZ125" s="2449"/>
      <c r="BA125" s="2449"/>
      <c r="BB125" s="2449"/>
      <c r="BC125" s="2449"/>
      <c r="BD125" s="2449"/>
      <c r="BE125" s="2449"/>
      <c r="BF125" s="2449"/>
      <c r="BG125" s="2449"/>
      <c r="BH125" s="2449"/>
      <c r="BI125" s="2449"/>
      <c r="BJ125" s="2388"/>
      <c r="BK125" s="2695"/>
      <c r="BL125" s="2695"/>
      <c r="BM125" s="2698"/>
      <c r="BN125" s="2449"/>
      <c r="BO125" s="2700"/>
      <c r="BP125" s="2700"/>
      <c r="BQ125" s="2685"/>
      <c r="BR125" s="2688"/>
      <c r="BS125" s="2685"/>
      <c r="BT125" s="2688"/>
      <c r="BU125" s="2645"/>
    </row>
    <row r="126" spans="1:73" s="541" customFormat="1" ht="42.75" customHeight="1" x14ac:dyDescent="0.25">
      <c r="A126" s="2757"/>
      <c r="B126" s="2758"/>
      <c r="C126" s="611"/>
      <c r="D126" s="612"/>
      <c r="E126" s="2715"/>
      <c r="F126" s="2733"/>
      <c r="G126" s="2682">
        <v>3205021</v>
      </c>
      <c r="H126" s="2397" t="s">
        <v>613</v>
      </c>
      <c r="I126" s="2682">
        <v>3205021</v>
      </c>
      <c r="J126" s="2397" t="s">
        <v>613</v>
      </c>
      <c r="K126" s="2682">
        <v>320502100</v>
      </c>
      <c r="L126" s="2397" t="s">
        <v>614</v>
      </c>
      <c r="M126" s="2682">
        <v>320502100</v>
      </c>
      <c r="N126" s="2397" t="s">
        <v>614</v>
      </c>
      <c r="O126" s="2254">
        <v>2</v>
      </c>
      <c r="P126" s="2392">
        <v>0</v>
      </c>
      <c r="Q126" s="2254" t="s">
        <v>615</v>
      </c>
      <c r="R126" s="2679" t="s">
        <v>616</v>
      </c>
      <c r="S126" s="2255">
        <f>SUM(X126:X142)/T126</f>
        <v>1</v>
      </c>
      <c r="T126" s="2722">
        <f>SUM(X126:X142)</f>
        <v>844308067</v>
      </c>
      <c r="U126" s="2679" t="s">
        <v>617</v>
      </c>
      <c r="V126" s="2679" t="s">
        <v>595</v>
      </c>
      <c r="W126" s="2328" t="s">
        <v>608</v>
      </c>
      <c r="X126" s="65">
        <v>2500000</v>
      </c>
      <c r="Y126" s="65">
        <v>0</v>
      </c>
      <c r="Z126" s="65">
        <v>0</v>
      </c>
      <c r="AA126" s="468" t="s">
        <v>618</v>
      </c>
      <c r="AB126" s="2728">
        <v>20</v>
      </c>
      <c r="AC126" s="2476" t="s">
        <v>187</v>
      </c>
      <c r="AD126" s="2296">
        <v>295972</v>
      </c>
      <c r="AE126" s="2296"/>
      <c r="AF126" s="2296">
        <v>285580</v>
      </c>
      <c r="AG126" s="2296"/>
      <c r="AH126" s="2296" t="s">
        <v>619</v>
      </c>
      <c r="AI126" s="2296"/>
      <c r="AJ126" s="2296">
        <v>44254</v>
      </c>
      <c r="AK126" s="2296"/>
      <c r="AL126" s="2296">
        <v>309146</v>
      </c>
      <c r="AM126" s="2296"/>
      <c r="AN126" s="2296">
        <v>92607</v>
      </c>
      <c r="AO126" s="2296"/>
      <c r="AP126" s="2296">
        <v>2145</v>
      </c>
      <c r="AQ126" s="2296"/>
      <c r="AR126" s="2296">
        <v>12718</v>
      </c>
      <c r="AS126" s="2296"/>
      <c r="AT126" s="2296">
        <v>26</v>
      </c>
      <c r="AU126" s="2296"/>
      <c r="AV126" s="2296">
        <v>37</v>
      </c>
      <c r="AW126" s="2296"/>
      <c r="AX126" s="2296">
        <v>0</v>
      </c>
      <c r="AY126" s="2296"/>
      <c r="AZ126" s="2296">
        <v>0</v>
      </c>
      <c r="BA126" s="2296"/>
      <c r="BB126" s="2296">
        <v>44350</v>
      </c>
      <c r="BC126" s="2296"/>
      <c r="BD126" s="2296">
        <v>21944</v>
      </c>
      <c r="BE126" s="2296"/>
      <c r="BF126" s="2296">
        <v>75687</v>
      </c>
      <c r="BG126" s="2296"/>
      <c r="BH126" s="2296">
        <v>581552</v>
      </c>
      <c r="BI126" s="2296"/>
      <c r="BJ126" s="2254">
        <v>12</v>
      </c>
      <c r="BK126" s="2676">
        <f>SUM(Y126:Y142)</f>
        <v>169850745</v>
      </c>
      <c r="BL126" s="2676">
        <f>SUM(Z126:Z142)</f>
        <v>74940109.310000002</v>
      </c>
      <c r="BM126" s="2678">
        <f>+BL126/BK126</f>
        <v>0.44121154316985778</v>
      </c>
      <c r="BN126" s="2297">
        <v>20</v>
      </c>
      <c r="BO126" s="2295" t="s">
        <v>187</v>
      </c>
      <c r="BP126" s="2285" t="s">
        <v>540</v>
      </c>
      <c r="BQ126" s="2641">
        <v>44197</v>
      </c>
      <c r="BR126" s="2642">
        <v>44256</v>
      </c>
      <c r="BS126" s="2641">
        <v>44561</v>
      </c>
      <c r="BT126" s="2642">
        <v>44481</v>
      </c>
      <c r="BU126" s="2643" t="s">
        <v>423</v>
      </c>
    </row>
    <row r="127" spans="1:73" s="541" customFormat="1" ht="42.75" customHeight="1" x14ac:dyDescent="0.25">
      <c r="A127" s="2757"/>
      <c r="B127" s="2758"/>
      <c r="C127" s="611"/>
      <c r="D127" s="612"/>
      <c r="E127" s="2715"/>
      <c r="F127" s="2733"/>
      <c r="G127" s="2682"/>
      <c r="H127" s="2397"/>
      <c r="I127" s="2682"/>
      <c r="J127" s="2397"/>
      <c r="K127" s="2682"/>
      <c r="L127" s="2397"/>
      <c r="M127" s="2682"/>
      <c r="N127" s="2397"/>
      <c r="O127" s="2254"/>
      <c r="P127" s="2387"/>
      <c r="Q127" s="2254"/>
      <c r="R127" s="2679"/>
      <c r="S127" s="2255"/>
      <c r="T127" s="2722"/>
      <c r="U127" s="2679"/>
      <c r="V127" s="2679"/>
      <c r="W127" s="2329"/>
      <c r="X127" s="65">
        <v>2000000</v>
      </c>
      <c r="Y127" s="65"/>
      <c r="Z127" s="65"/>
      <c r="AA127" s="468" t="s">
        <v>620</v>
      </c>
      <c r="AB127" s="2728"/>
      <c r="AC127" s="2476"/>
      <c r="AD127" s="2296"/>
      <c r="AE127" s="2296"/>
      <c r="AF127" s="2296"/>
      <c r="AG127" s="2296"/>
      <c r="AH127" s="2296"/>
      <c r="AI127" s="2296"/>
      <c r="AJ127" s="2296"/>
      <c r="AK127" s="2296"/>
      <c r="AL127" s="2296"/>
      <c r="AM127" s="2296"/>
      <c r="AN127" s="2296"/>
      <c r="AO127" s="2296"/>
      <c r="AP127" s="2296"/>
      <c r="AQ127" s="2296"/>
      <c r="AR127" s="2296"/>
      <c r="AS127" s="2296"/>
      <c r="AT127" s="2296"/>
      <c r="AU127" s="2296"/>
      <c r="AV127" s="2296"/>
      <c r="AW127" s="2296"/>
      <c r="AX127" s="2296"/>
      <c r="AY127" s="2296"/>
      <c r="AZ127" s="2296"/>
      <c r="BA127" s="2296"/>
      <c r="BB127" s="2296"/>
      <c r="BC127" s="2296"/>
      <c r="BD127" s="2296"/>
      <c r="BE127" s="2296"/>
      <c r="BF127" s="2296"/>
      <c r="BG127" s="2296"/>
      <c r="BH127" s="2296"/>
      <c r="BI127" s="2296"/>
      <c r="BJ127" s="2254"/>
      <c r="BK127" s="2676"/>
      <c r="BL127" s="2676"/>
      <c r="BM127" s="2678"/>
      <c r="BN127" s="2448"/>
      <c r="BO127" s="2699"/>
      <c r="BP127" s="2285"/>
      <c r="BQ127" s="2641"/>
      <c r="BR127" s="2642"/>
      <c r="BS127" s="2641"/>
      <c r="BT127" s="2642"/>
      <c r="BU127" s="2644"/>
    </row>
    <row r="128" spans="1:73" s="541" customFormat="1" ht="42.75" customHeight="1" x14ac:dyDescent="0.25">
      <c r="A128" s="2757"/>
      <c r="B128" s="2758"/>
      <c r="C128" s="611"/>
      <c r="D128" s="612"/>
      <c r="E128" s="2715"/>
      <c r="F128" s="2733"/>
      <c r="G128" s="2682"/>
      <c r="H128" s="2397"/>
      <c r="I128" s="2682"/>
      <c r="J128" s="2397"/>
      <c r="K128" s="2682"/>
      <c r="L128" s="2397"/>
      <c r="M128" s="2682"/>
      <c r="N128" s="2397"/>
      <c r="O128" s="2254"/>
      <c r="P128" s="2387"/>
      <c r="Q128" s="2254"/>
      <c r="R128" s="2679"/>
      <c r="S128" s="2255"/>
      <c r="T128" s="2722"/>
      <c r="U128" s="2679"/>
      <c r="V128" s="2679"/>
      <c r="W128" s="2329"/>
      <c r="X128" s="65">
        <v>200000</v>
      </c>
      <c r="Y128" s="65"/>
      <c r="Z128" s="65"/>
      <c r="AA128" s="468" t="s">
        <v>621</v>
      </c>
      <c r="AB128" s="2728"/>
      <c r="AC128" s="2476"/>
      <c r="AD128" s="2296"/>
      <c r="AE128" s="2296"/>
      <c r="AF128" s="2296"/>
      <c r="AG128" s="2296"/>
      <c r="AH128" s="2296"/>
      <c r="AI128" s="2296"/>
      <c r="AJ128" s="2296"/>
      <c r="AK128" s="2296"/>
      <c r="AL128" s="2296"/>
      <c r="AM128" s="2296"/>
      <c r="AN128" s="2296"/>
      <c r="AO128" s="2296"/>
      <c r="AP128" s="2296"/>
      <c r="AQ128" s="2296"/>
      <c r="AR128" s="2296"/>
      <c r="AS128" s="2296"/>
      <c r="AT128" s="2296"/>
      <c r="AU128" s="2296"/>
      <c r="AV128" s="2296"/>
      <c r="AW128" s="2296"/>
      <c r="AX128" s="2296"/>
      <c r="AY128" s="2296"/>
      <c r="AZ128" s="2296"/>
      <c r="BA128" s="2296"/>
      <c r="BB128" s="2296"/>
      <c r="BC128" s="2296"/>
      <c r="BD128" s="2296"/>
      <c r="BE128" s="2296"/>
      <c r="BF128" s="2296"/>
      <c r="BG128" s="2296"/>
      <c r="BH128" s="2296"/>
      <c r="BI128" s="2296"/>
      <c r="BJ128" s="2254"/>
      <c r="BK128" s="2676"/>
      <c r="BL128" s="2676"/>
      <c r="BM128" s="2678"/>
      <c r="BN128" s="2448"/>
      <c r="BO128" s="2699"/>
      <c r="BP128" s="2285"/>
      <c r="BQ128" s="2641"/>
      <c r="BR128" s="2642"/>
      <c r="BS128" s="2641"/>
      <c r="BT128" s="2642"/>
      <c r="BU128" s="2644"/>
    </row>
    <row r="129" spans="1:73" s="541" customFormat="1" ht="42.75" customHeight="1" x14ac:dyDescent="0.25">
      <c r="A129" s="2757"/>
      <c r="B129" s="2758"/>
      <c r="C129" s="611"/>
      <c r="D129" s="612"/>
      <c r="E129" s="2715"/>
      <c r="F129" s="2733"/>
      <c r="G129" s="2682"/>
      <c r="H129" s="2397"/>
      <c r="I129" s="2682"/>
      <c r="J129" s="2397"/>
      <c r="K129" s="2682"/>
      <c r="L129" s="2397"/>
      <c r="M129" s="2682"/>
      <c r="N129" s="2397"/>
      <c r="O129" s="2254"/>
      <c r="P129" s="2387"/>
      <c r="Q129" s="2254"/>
      <c r="R129" s="2679"/>
      <c r="S129" s="2255"/>
      <c r="T129" s="2722"/>
      <c r="U129" s="2679"/>
      <c r="V129" s="2679"/>
      <c r="W129" s="2330"/>
      <c r="X129" s="65">
        <v>300000</v>
      </c>
      <c r="Y129" s="65"/>
      <c r="Z129" s="65"/>
      <c r="AA129" s="468" t="s">
        <v>622</v>
      </c>
      <c r="AB129" s="2728"/>
      <c r="AC129" s="2476"/>
      <c r="AD129" s="2296"/>
      <c r="AE129" s="2296"/>
      <c r="AF129" s="2296"/>
      <c r="AG129" s="2296"/>
      <c r="AH129" s="2296"/>
      <c r="AI129" s="2296"/>
      <c r="AJ129" s="2296"/>
      <c r="AK129" s="2296"/>
      <c r="AL129" s="2296"/>
      <c r="AM129" s="2296"/>
      <c r="AN129" s="2296"/>
      <c r="AO129" s="2296"/>
      <c r="AP129" s="2296"/>
      <c r="AQ129" s="2296"/>
      <c r="AR129" s="2296"/>
      <c r="AS129" s="2296"/>
      <c r="AT129" s="2296"/>
      <c r="AU129" s="2296"/>
      <c r="AV129" s="2296"/>
      <c r="AW129" s="2296"/>
      <c r="AX129" s="2296"/>
      <c r="AY129" s="2296"/>
      <c r="AZ129" s="2296"/>
      <c r="BA129" s="2296"/>
      <c r="BB129" s="2296"/>
      <c r="BC129" s="2296"/>
      <c r="BD129" s="2296"/>
      <c r="BE129" s="2296"/>
      <c r="BF129" s="2296"/>
      <c r="BG129" s="2296"/>
      <c r="BH129" s="2296"/>
      <c r="BI129" s="2296"/>
      <c r="BJ129" s="2254"/>
      <c r="BK129" s="2676"/>
      <c r="BL129" s="2676"/>
      <c r="BM129" s="2678"/>
      <c r="BN129" s="2448"/>
      <c r="BO129" s="2699"/>
      <c r="BP129" s="2285"/>
      <c r="BQ129" s="2641"/>
      <c r="BR129" s="2642"/>
      <c r="BS129" s="2641"/>
      <c r="BT129" s="2642"/>
      <c r="BU129" s="2644"/>
    </row>
    <row r="130" spans="1:73" s="541" customFormat="1" ht="40.5" customHeight="1" x14ac:dyDescent="0.25">
      <c r="A130" s="2757"/>
      <c r="B130" s="2758"/>
      <c r="C130" s="611"/>
      <c r="D130" s="612"/>
      <c r="E130" s="2715"/>
      <c r="F130" s="2733"/>
      <c r="G130" s="2682"/>
      <c r="H130" s="2397"/>
      <c r="I130" s="2682"/>
      <c r="J130" s="2397"/>
      <c r="K130" s="2682"/>
      <c r="L130" s="2397"/>
      <c r="M130" s="2682"/>
      <c r="N130" s="2397"/>
      <c r="O130" s="2254"/>
      <c r="P130" s="2387"/>
      <c r="Q130" s="2254"/>
      <c r="R130" s="2679"/>
      <c r="S130" s="2255"/>
      <c r="T130" s="2722"/>
      <c r="U130" s="2679"/>
      <c r="V130" s="2679"/>
      <c r="W130" s="2725" t="s">
        <v>623</v>
      </c>
      <c r="X130" s="65">
        <f>70000000-45000000</f>
        <v>25000000</v>
      </c>
      <c r="Y130" s="65">
        <v>23840000</v>
      </c>
      <c r="Z130" s="65">
        <v>16275000</v>
      </c>
      <c r="AA130" s="468" t="s">
        <v>624</v>
      </c>
      <c r="AB130" s="2728"/>
      <c r="AC130" s="2476"/>
      <c r="AD130" s="2296"/>
      <c r="AE130" s="2296"/>
      <c r="AF130" s="2296"/>
      <c r="AG130" s="2296"/>
      <c r="AH130" s="2296"/>
      <c r="AI130" s="2296"/>
      <c r="AJ130" s="2296"/>
      <c r="AK130" s="2296"/>
      <c r="AL130" s="2296"/>
      <c r="AM130" s="2296"/>
      <c r="AN130" s="2296"/>
      <c r="AO130" s="2296"/>
      <c r="AP130" s="2296"/>
      <c r="AQ130" s="2296"/>
      <c r="AR130" s="2296"/>
      <c r="AS130" s="2296"/>
      <c r="AT130" s="2296"/>
      <c r="AU130" s="2296"/>
      <c r="AV130" s="2296"/>
      <c r="AW130" s="2296"/>
      <c r="AX130" s="2296"/>
      <c r="AY130" s="2296"/>
      <c r="AZ130" s="2296"/>
      <c r="BA130" s="2296"/>
      <c r="BB130" s="2296"/>
      <c r="BC130" s="2296"/>
      <c r="BD130" s="2296"/>
      <c r="BE130" s="2296"/>
      <c r="BF130" s="2296"/>
      <c r="BG130" s="2296"/>
      <c r="BH130" s="2296"/>
      <c r="BI130" s="2296"/>
      <c r="BJ130" s="2254"/>
      <c r="BK130" s="2676"/>
      <c r="BL130" s="2676"/>
      <c r="BM130" s="2678"/>
      <c r="BN130" s="2449"/>
      <c r="BO130" s="2700"/>
      <c r="BP130" s="2285"/>
      <c r="BQ130" s="2641"/>
      <c r="BR130" s="2642"/>
      <c r="BS130" s="2641"/>
      <c r="BT130" s="2642"/>
      <c r="BU130" s="2644"/>
    </row>
    <row r="131" spans="1:73" s="541" customFormat="1" ht="44.25" customHeight="1" x14ac:dyDescent="0.25">
      <c r="A131" s="2757"/>
      <c r="B131" s="2758"/>
      <c r="C131" s="611"/>
      <c r="D131" s="612"/>
      <c r="E131" s="2715"/>
      <c r="F131" s="2733"/>
      <c r="G131" s="2682"/>
      <c r="H131" s="2397"/>
      <c r="I131" s="2682"/>
      <c r="J131" s="2397"/>
      <c r="K131" s="2682"/>
      <c r="L131" s="2397"/>
      <c r="M131" s="2682"/>
      <c r="N131" s="2397"/>
      <c r="O131" s="2254"/>
      <c r="P131" s="2387"/>
      <c r="Q131" s="2254"/>
      <c r="R131" s="2679"/>
      <c r="S131" s="2255"/>
      <c r="T131" s="2722"/>
      <c r="U131" s="2679"/>
      <c r="V131" s="2679"/>
      <c r="W131" s="2726"/>
      <c r="X131" s="65">
        <v>63000000</v>
      </c>
      <c r="Y131" s="65">
        <v>0</v>
      </c>
      <c r="Z131" s="65"/>
      <c r="AA131" s="468" t="s">
        <v>625</v>
      </c>
      <c r="AB131" s="471">
        <v>88</v>
      </c>
      <c r="AC131" s="208" t="s">
        <v>177</v>
      </c>
      <c r="AD131" s="2296"/>
      <c r="AE131" s="2296"/>
      <c r="AF131" s="2296"/>
      <c r="AG131" s="2296"/>
      <c r="AH131" s="2296"/>
      <c r="AI131" s="2296"/>
      <c r="AJ131" s="2296"/>
      <c r="AK131" s="2296"/>
      <c r="AL131" s="2296"/>
      <c r="AM131" s="2296"/>
      <c r="AN131" s="2296"/>
      <c r="AO131" s="2296"/>
      <c r="AP131" s="2296"/>
      <c r="AQ131" s="2296"/>
      <c r="AR131" s="2296"/>
      <c r="AS131" s="2296"/>
      <c r="AT131" s="2296"/>
      <c r="AU131" s="2296"/>
      <c r="AV131" s="2296"/>
      <c r="AW131" s="2296"/>
      <c r="AX131" s="2296"/>
      <c r="AY131" s="2296"/>
      <c r="AZ131" s="2296"/>
      <c r="BA131" s="2296"/>
      <c r="BB131" s="2296"/>
      <c r="BC131" s="2296"/>
      <c r="BD131" s="2296"/>
      <c r="BE131" s="2296"/>
      <c r="BF131" s="2296"/>
      <c r="BG131" s="2296"/>
      <c r="BH131" s="2296"/>
      <c r="BI131" s="2296"/>
      <c r="BJ131" s="2254"/>
      <c r="BK131" s="2676"/>
      <c r="BL131" s="2676"/>
      <c r="BM131" s="2678"/>
      <c r="BN131" s="543">
        <v>88</v>
      </c>
      <c r="BO131" s="544" t="s">
        <v>177</v>
      </c>
      <c r="BP131" s="2285"/>
      <c r="BQ131" s="2641"/>
      <c r="BR131" s="2642"/>
      <c r="BS131" s="2641"/>
      <c r="BT131" s="2642"/>
      <c r="BU131" s="2644"/>
    </row>
    <row r="132" spans="1:73" s="541" customFormat="1" ht="38.25" customHeight="1" x14ac:dyDescent="0.25">
      <c r="A132" s="2757"/>
      <c r="B132" s="2758"/>
      <c r="C132" s="611"/>
      <c r="D132" s="612"/>
      <c r="E132" s="2715"/>
      <c r="F132" s="2733"/>
      <c r="G132" s="2682"/>
      <c r="H132" s="2397"/>
      <c r="I132" s="2682"/>
      <c r="J132" s="2397"/>
      <c r="K132" s="2682"/>
      <c r="L132" s="2397"/>
      <c r="M132" s="2682"/>
      <c r="N132" s="2397"/>
      <c r="O132" s="2254"/>
      <c r="P132" s="2387"/>
      <c r="Q132" s="2254"/>
      <c r="R132" s="2679"/>
      <c r="S132" s="2255"/>
      <c r="T132" s="2722"/>
      <c r="U132" s="2679"/>
      <c r="V132" s="2679"/>
      <c r="W132" s="2727" t="s">
        <v>565</v>
      </c>
      <c r="X132" s="65">
        <v>5000000</v>
      </c>
      <c r="Y132" s="65">
        <v>5000000</v>
      </c>
      <c r="Z132" s="65"/>
      <c r="AA132" s="468" t="s">
        <v>626</v>
      </c>
      <c r="AB132" s="471">
        <v>20</v>
      </c>
      <c r="AC132" s="208" t="s">
        <v>187</v>
      </c>
      <c r="AD132" s="2296"/>
      <c r="AE132" s="2296"/>
      <c r="AF132" s="2296"/>
      <c r="AG132" s="2296"/>
      <c r="AH132" s="2296"/>
      <c r="AI132" s="2296"/>
      <c r="AJ132" s="2296"/>
      <c r="AK132" s="2296"/>
      <c r="AL132" s="2296"/>
      <c r="AM132" s="2296"/>
      <c r="AN132" s="2296"/>
      <c r="AO132" s="2296"/>
      <c r="AP132" s="2296"/>
      <c r="AQ132" s="2296"/>
      <c r="AR132" s="2296"/>
      <c r="AS132" s="2296"/>
      <c r="AT132" s="2296"/>
      <c r="AU132" s="2296"/>
      <c r="AV132" s="2296"/>
      <c r="AW132" s="2296"/>
      <c r="AX132" s="2296"/>
      <c r="AY132" s="2296"/>
      <c r="AZ132" s="2296"/>
      <c r="BA132" s="2296"/>
      <c r="BB132" s="2296"/>
      <c r="BC132" s="2296"/>
      <c r="BD132" s="2296"/>
      <c r="BE132" s="2296"/>
      <c r="BF132" s="2296"/>
      <c r="BG132" s="2296"/>
      <c r="BH132" s="2296"/>
      <c r="BI132" s="2296"/>
      <c r="BJ132" s="2254"/>
      <c r="BK132" s="2676"/>
      <c r="BL132" s="2676"/>
      <c r="BM132" s="2678"/>
      <c r="BN132" s="508">
        <v>20</v>
      </c>
      <c r="BO132" s="252" t="s">
        <v>187</v>
      </c>
      <c r="BP132" s="2285"/>
      <c r="BQ132" s="2641"/>
      <c r="BR132" s="2642"/>
      <c r="BS132" s="2641"/>
      <c r="BT132" s="2642"/>
      <c r="BU132" s="2644"/>
    </row>
    <row r="133" spans="1:73" s="541" customFormat="1" ht="30" x14ac:dyDescent="0.25">
      <c r="A133" s="2757"/>
      <c r="B133" s="2758"/>
      <c r="C133" s="611"/>
      <c r="D133" s="612"/>
      <c r="E133" s="2715"/>
      <c r="F133" s="2733"/>
      <c r="G133" s="2682"/>
      <c r="H133" s="2397"/>
      <c r="I133" s="2682"/>
      <c r="J133" s="2397"/>
      <c r="K133" s="2682"/>
      <c r="L133" s="2397"/>
      <c r="M133" s="2682"/>
      <c r="N133" s="2397"/>
      <c r="O133" s="2254"/>
      <c r="P133" s="2387"/>
      <c r="Q133" s="2254"/>
      <c r="R133" s="2679"/>
      <c r="S133" s="2255"/>
      <c r="T133" s="2722"/>
      <c r="U133" s="2679"/>
      <c r="V133" s="2679"/>
      <c r="W133" s="2727"/>
      <c r="X133" s="65">
        <v>56108067</v>
      </c>
      <c r="Y133" s="65">
        <v>56108067</v>
      </c>
      <c r="Z133" s="65">
        <v>30562411.309999999</v>
      </c>
      <c r="AA133" s="468" t="s">
        <v>627</v>
      </c>
      <c r="AB133" s="471">
        <v>89</v>
      </c>
      <c r="AC133" s="208" t="s">
        <v>628</v>
      </c>
      <c r="AD133" s="2296"/>
      <c r="AE133" s="2296"/>
      <c r="AF133" s="2296"/>
      <c r="AG133" s="2296"/>
      <c r="AH133" s="2296"/>
      <c r="AI133" s="2296"/>
      <c r="AJ133" s="2296"/>
      <c r="AK133" s="2296"/>
      <c r="AL133" s="2296"/>
      <c r="AM133" s="2296"/>
      <c r="AN133" s="2296"/>
      <c r="AO133" s="2296"/>
      <c r="AP133" s="2296"/>
      <c r="AQ133" s="2296"/>
      <c r="AR133" s="2296"/>
      <c r="AS133" s="2296"/>
      <c r="AT133" s="2296"/>
      <c r="AU133" s="2296"/>
      <c r="AV133" s="2296"/>
      <c r="AW133" s="2296"/>
      <c r="AX133" s="2296"/>
      <c r="AY133" s="2296"/>
      <c r="AZ133" s="2296"/>
      <c r="BA133" s="2296"/>
      <c r="BB133" s="2296"/>
      <c r="BC133" s="2296"/>
      <c r="BD133" s="2296"/>
      <c r="BE133" s="2296"/>
      <c r="BF133" s="2296"/>
      <c r="BG133" s="2296"/>
      <c r="BH133" s="2296"/>
      <c r="BI133" s="2296"/>
      <c r="BJ133" s="2254"/>
      <c r="BK133" s="2676"/>
      <c r="BL133" s="2676"/>
      <c r="BM133" s="2678"/>
      <c r="BN133" s="508">
        <v>89</v>
      </c>
      <c r="BO133" s="252" t="s">
        <v>629</v>
      </c>
      <c r="BP133" s="2285"/>
      <c r="BQ133" s="2641"/>
      <c r="BR133" s="2642"/>
      <c r="BS133" s="2641"/>
      <c r="BT133" s="2642"/>
      <c r="BU133" s="2644"/>
    </row>
    <row r="134" spans="1:73" s="541" customFormat="1" ht="45" x14ac:dyDescent="0.25">
      <c r="A134" s="2757"/>
      <c r="B134" s="2758"/>
      <c r="C134" s="611"/>
      <c r="D134" s="612"/>
      <c r="E134" s="2715"/>
      <c r="F134" s="2733"/>
      <c r="G134" s="2682"/>
      <c r="H134" s="2397"/>
      <c r="I134" s="2682"/>
      <c r="J134" s="2397"/>
      <c r="K134" s="2682"/>
      <c r="L134" s="2397"/>
      <c r="M134" s="2682"/>
      <c r="N134" s="2397"/>
      <c r="O134" s="2254"/>
      <c r="P134" s="2387"/>
      <c r="Q134" s="2254"/>
      <c r="R134" s="2679"/>
      <c r="S134" s="2255"/>
      <c r="T134" s="2722"/>
      <c r="U134" s="2679"/>
      <c r="V134" s="2679"/>
      <c r="W134" s="522" t="s">
        <v>630</v>
      </c>
      <c r="X134" s="65">
        <v>4000000</v>
      </c>
      <c r="Y134" s="65">
        <v>2302678</v>
      </c>
      <c r="Z134" s="65"/>
      <c r="AA134" s="468" t="s">
        <v>624</v>
      </c>
      <c r="AB134" s="471">
        <v>20</v>
      </c>
      <c r="AC134" s="208" t="s">
        <v>187</v>
      </c>
      <c r="AD134" s="2296"/>
      <c r="AE134" s="2296"/>
      <c r="AF134" s="2296"/>
      <c r="AG134" s="2296"/>
      <c r="AH134" s="2296"/>
      <c r="AI134" s="2296"/>
      <c r="AJ134" s="2296"/>
      <c r="AK134" s="2296"/>
      <c r="AL134" s="2296"/>
      <c r="AM134" s="2296"/>
      <c r="AN134" s="2296"/>
      <c r="AO134" s="2296"/>
      <c r="AP134" s="2296"/>
      <c r="AQ134" s="2296"/>
      <c r="AR134" s="2296"/>
      <c r="AS134" s="2296"/>
      <c r="AT134" s="2296"/>
      <c r="AU134" s="2296"/>
      <c r="AV134" s="2296"/>
      <c r="AW134" s="2296"/>
      <c r="AX134" s="2296"/>
      <c r="AY134" s="2296"/>
      <c r="AZ134" s="2296"/>
      <c r="BA134" s="2296"/>
      <c r="BB134" s="2296"/>
      <c r="BC134" s="2296"/>
      <c r="BD134" s="2296"/>
      <c r="BE134" s="2296"/>
      <c r="BF134" s="2296"/>
      <c r="BG134" s="2296"/>
      <c r="BH134" s="2296"/>
      <c r="BI134" s="2296"/>
      <c r="BJ134" s="2254"/>
      <c r="BK134" s="2676"/>
      <c r="BL134" s="2676"/>
      <c r="BM134" s="2678"/>
      <c r="BN134" s="508">
        <v>20</v>
      </c>
      <c r="BO134" s="252" t="s">
        <v>187</v>
      </c>
      <c r="BP134" s="2285"/>
      <c r="BQ134" s="2641"/>
      <c r="BR134" s="2642"/>
      <c r="BS134" s="2641"/>
      <c r="BT134" s="2642"/>
      <c r="BU134" s="2644"/>
    </row>
    <row r="135" spans="1:73" s="541" customFormat="1" ht="75" x14ac:dyDescent="0.25">
      <c r="A135" s="2757"/>
      <c r="B135" s="2758"/>
      <c r="C135" s="611"/>
      <c r="D135" s="612"/>
      <c r="E135" s="2715"/>
      <c r="F135" s="2733"/>
      <c r="G135" s="2682"/>
      <c r="H135" s="2397"/>
      <c r="I135" s="2682"/>
      <c r="J135" s="2397"/>
      <c r="K135" s="2682"/>
      <c r="L135" s="2397"/>
      <c r="M135" s="2682"/>
      <c r="N135" s="2397"/>
      <c r="O135" s="2254"/>
      <c r="P135" s="2387"/>
      <c r="Q135" s="2254"/>
      <c r="R135" s="2679"/>
      <c r="S135" s="2255"/>
      <c r="T135" s="2722"/>
      <c r="U135" s="2679"/>
      <c r="V135" s="2679"/>
      <c r="W135" s="522" t="s">
        <v>631</v>
      </c>
      <c r="X135" s="65">
        <v>10000000</v>
      </c>
      <c r="Y135" s="65">
        <v>0</v>
      </c>
      <c r="Z135" s="65">
        <v>0</v>
      </c>
      <c r="AA135" s="468" t="s">
        <v>632</v>
      </c>
      <c r="AB135" s="471">
        <v>20</v>
      </c>
      <c r="AC135" s="208" t="s">
        <v>187</v>
      </c>
      <c r="AD135" s="2296"/>
      <c r="AE135" s="2296"/>
      <c r="AF135" s="2296"/>
      <c r="AG135" s="2296"/>
      <c r="AH135" s="2296"/>
      <c r="AI135" s="2296"/>
      <c r="AJ135" s="2296"/>
      <c r="AK135" s="2296"/>
      <c r="AL135" s="2296"/>
      <c r="AM135" s="2296"/>
      <c r="AN135" s="2296"/>
      <c r="AO135" s="2296"/>
      <c r="AP135" s="2296"/>
      <c r="AQ135" s="2296"/>
      <c r="AR135" s="2296"/>
      <c r="AS135" s="2296"/>
      <c r="AT135" s="2296"/>
      <c r="AU135" s="2296"/>
      <c r="AV135" s="2296"/>
      <c r="AW135" s="2296"/>
      <c r="AX135" s="2296"/>
      <c r="AY135" s="2296"/>
      <c r="AZ135" s="2296"/>
      <c r="BA135" s="2296"/>
      <c r="BB135" s="2296"/>
      <c r="BC135" s="2296"/>
      <c r="BD135" s="2296"/>
      <c r="BE135" s="2296"/>
      <c r="BF135" s="2296"/>
      <c r="BG135" s="2296"/>
      <c r="BH135" s="2296"/>
      <c r="BI135" s="2296"/>
      <c r="BJ135" s="2254"/>
      <c r="BK135" s="2676"/>
      <c r="BL135" s="2676"/>
      <c r="BM135" s="2678"/>
      <c r="BN135" s="508">
        <v>20</v>
      </c>
      <c r="BO135" s="252" t="s">
        <v>187</v>
      </c>
      <c r="BP135" s="2285"/>
      <c r="BQ135" s="2641"/>
      <c r="BR135" s="2642"/>
      <c r="BS135" s="2641"/>
      <c r="BT135" s="2642"/>
      <c r="BU135" s="2644"/>
    </row>
    <row r="136" spans="1:73" s="541" customFormat="1" ht="42" customHeight="1" x14ac:dyDescent="0.25">
      <c r="A136" s="2757"/>
      <c r="B136" s="2758"/>
      <c r="C136" s="611"/>
      <c r="D136" s="612"/>
      <c r="E136" s="2715"/>
      <c r="F136" s="2733"/>
      <c r="G136" s="2682"/>
      <c r="H136" s="2397"/>
      <c r="I136" s="2682"/>
      <c r="J136" s="2397"/>
      <c r="K136" s="2682"/>
      <c r="L136" s="2397"/>
      <c r="M136" s="2682"/>
      <c r="N136" s="2397"/>
      <c r="O136" s="2254"/>
      <c r="P136" s="2387"/>
      <c r="Q136" s="2254"/>
      <c r="R136" s="2679"/>
      <c r="S136" s="2255"/>
      <c r="T136" s="2722"/>
      <c r="U136" s="2679"/>
      <c r="V136" s="2679"/>
      <c r="W136" s="2725" t="s">
        <v>536</v>
      </c>
      <c r="X136" s="65">
        <v>46000000</v>
      </c>
      <c r="Y136" s="65">
        <v>45400000</v>
      </c>
      <c r="Z136" s="65">
        <v>27600000</v>
      </c>
      <c r="AA136" s="468" t="s">
        <v>624</v>
      </c>
      <c r="AB136" s="471">
        <v>20</v>
      </c>
      <c r="AC136" s="208" t="s">
        <v>187</v>
      </c>
      <c r="AD136" s="2296"/>
      <c r="AE136" s="2296"/>
      <c r="AF136" s="2296"/>
      <c r="AG136" s="2296"/>
      <c r="AH136" s="2296"/>
      <c r="AI136" s="2296"/>
      <c r="AJ136" s="2296"/>
      <c r="AK136" s="2296"/>
      <c r="AL136" s="2296"/>
      <c r="AM136" s="2296"/>
      <c r="AN136" s="2296"/>
      <c r="AO136" s="2296"/>
      <c r="AP136" s="2296"/>
      <c r="AQ136" s="2296"/>
      <c r="AR136" s="2296"/>
      <c r="AS136" s="2296"/>
      <c r="AT136" s="2296"/>
      <c r="AU136" s="2296"/>
      <c r="AV136" s="2296"/>
      <c r="AW136" s="2296"/>
      <c r="AX136" s="2296"/>
      <c r="AY136" s="2296"/>
      <c r="AZ136" s="2296"/>
      <c r="BA136" s="2296"/>
      <c r="BB136" s="2296"/>
      <c r="BC136" s="2296"/>
      <c r="BD136" s="2296"/>
      <c r="BE136" s="2296"/>
      <c r="BF136" s="2296"/>
      <c r="BG136" s="2296"/>
      <c r="BH136" s="2296"/>
      <c r="BI136" s="2296"/>
      <c r="BJ136" s="2254"/>
      <c r="BK136" s="2676"/>
      <c r="BL136" s="2676"/>
      <c r="BM136" s="2678"/>
      <c r="BN136" s="508">
        <v>20</v>
      </c>
      <c r="BO136" s="252" t="s">
        <v>187</v>
      </c>
      <c r="BP136" s="2285"/>
      <c r="BQ136" s="2641"/>
      <c r="BR136" s="2642"/>
      <c r="BS136" s="2641"/>
      <c r="BT136" s="2642"/>
      <c r="BU136" s="2644"/>
    </row>
    <row r="137" spans="1:73" s="541" customFormat="1" ht="30" x14ac:dyDescent="0.25">
      <c r="A137" s="2757"/>
      <c r="B137" s="2758"/>
      <c r="C137" s="611"/>
      <c r="D137" s="612"/>
      <c r="E137" s="2715"/>
      <c r="F137" s="2733"/>
      <c r="G137" s="2682"/>
      <c r="H137" s="2397"/>
      <c r="I137" s="2682"/>
      <c r="J137" s="2397"/>
      <c r="K137" s="2682"/>
      <c r="L137" s="2397"/>
      <c r="M137" s="2682"/>
      <c r="N137" s="2397"/>
      <c r="O137" s="2254"/>
      <c r="P137" s="2387"/>
      <c r="Q137" s="2254"/>
      <c r="R137" s="2679"/>
      <c r="S137" s="2255"/>
      <c r="T137" s="2722"/>
      <c r="U137" s="2679"/>
      <c r="V137" s="2679"/>
      <c r="W137" s="2726"/>
      <c r="X137" s="65">
        <v>175000000</v>
      </c>
      <c r="Y137" s="65">
        <v>22200000</v>
      </c>
      <c r="Z137" s="65"/>
      <c r="AA137" s="468" t="s">
        <v>625</v>
      </c>
      <c r="AB137" s="471">
        <v>88</v>
      </c>
      <c r="AC137" s="208" t="s">
        <v>177</v>
      </c>
      <c r="AD137" s="2296"/>
      <c r="AE137" s="2296"/>
      <c r="AF137" s="2296"/>
      <c r="AG137" s="2296"/>
      <c r="AH137" s="2296"/>
      <c r="AI137" s="2296"/>
      <c r="AJ137" s="2296"/>
      <c r="AK137" s="2296"/>
      <c r="AL137" s="2296"/>
      <c r="AM137" s="2296"/>
      <c r="AN137" s="2296"/>
      <c r="AO137" s="2296"/>
      <c r="AP137" s="2296"/>
      <c r="AQ137" s="2296"/>
      <c r="AR137" s="2296"/>
      <c r="AS137" s="2296"/>
      <c r="AT137" s="2296"/>
      <c r="AU137" s="2296"/>
      <c r="AV137" s="2296"/>
      <c r="AW137" s="2296"/>
      <c r="AX137" s="2296"/>
      <c r="AY137" s="2296"/>
      <c r="AZ137" s="2296"/>
      <c r="BA137" s="2296"/>
      <c r="BB137" s="2296"/>
      <c r="BC137" s="2296"/>
      <c r="BD137" s="2296"/>
      <c r="BE137" s="2296"/>
      <c r="BF137" s="2296"/>
      <c r="BG137" s="2296"/>
      <c r="BH137" s="2296"/>
      <c r="BI137" s="2296"/>
      <c r="BJ137" s="2254"/>
      <c r="BK137" s="2676"/>
      <c r="BL137" s="2676"/>
      <c r="BM137" s="2678"/>
      <c r="BN137" s="508">
        <v>88</v>
      </c>
      <c r="BO137" s="544" t="s">
        <v>177</v>
      </c>
      <c r="BP137" s="2285"/>
      <c r="BQ137" s="2641"/>
      <c r="BR137" s="2642"/>
      <c r="BS137" s="2641"/>
      <c r="BT137" s="2642"/>
      <c r="BU137" s="2644"/>
    </row>
    <row r="138" spans="1:73" s="541" customFormat="1" ht="60" x14ac:dyDescent="0.25">
      <c r="A138" s="2757"/>
      <c r="B138" s="2758"/>
      <c r="C138" s="611"/>
      <c r="D138" s="612"/>
      <c r="E138" s="2715"/>
      <c r="F138" s="2733"/>
      <c r="G138" s="2682"/>
      <c r="H138" s="2397"/>
      <c r="I138" s="2682"/>
      <c r="J138" s="2397"/>
      <c r="K138" s="2682"/>
      <c r="L138" s="2397"/>
      <c r="M138" s="2682"/>
      <c r="N138" s="2397"/>
      <c r="O138" s="2254"/>
      <c r="P138" s="2387"/>
      <c r="Q138" s="2254"/>
      <c r="R138" s="2679"/>
      <c r="S138" s="2255"/>
      <c r="T138" s="2722"/>
      <c r="U138" s="2679"/>
      <c r="V138" s="2679"/>
      <c r="W138" s="545" t="s">
        <v>633</v>
      </c>
      <c r="X138" s="65">
        <v>25200000</v>
      </c>
      <c r="Y138" s="65"/>
      <c r="Z138" s="65"/>
      <c r="AA138" s="468" t="s">
        <v>625</v>
      </c>
      <c r="AB138" s="471">
        <v>88</v>
      </c>
      <c r="AC138" s="208" t="s">
        <v>177</v>
      </c>
      <c r="AD138" s="2296"/>
      <c r="AE138" s="2296"/>
      <c r="AF138" s="2296"/>
      <c r="AG138" s="2296"/>
      <c r="AH138" s="2296"/>
      <c r="AI138" s="2296"/>
      <c r="AJ138" s="2296"/>
      <c r="AK138" s="2296"/>
      <c r="AL138" s="2296"/>
      <c r="AM138" s="2296"/>
      <c r="AN138" s="2296"/>
      <c r="AO138" s="2296"/>
      <c r="AP138" s="2296"/>
      <c r="AQ138" s="2296"/>
      <c r="AR138" s="2296"/>
      <c r="AS138" s="2296"/>
      <c r="AT138" s="2296"/>
      <c r="AU138" s="2296"/>
      <c r="AV138" s="2296"/>
      <c r="AW138" s="2296"/>
      <c r="AX138" s="2296"/>
      <c r="AY138" s="2296"/>
      <c r="AZ138" s="2296"/>
      <c r="BA138" s="2296"/>
      <c r="BB138" s="2296"/>
      <c r="BC138" s="2296"/>
      <c r="BD138" s="2296"/>
      <c r="BE138" s="2296"/>
      <c r="BF138" s="2296"/>
      <c r="BG138" s="2296"/>
      <c r="BH138" s="2296"/>
      <c r="BI138" s="2296"/>
      <c r="BJ138" s="2254"/>
      <c r="BK138" s="2676"/>
      <c r="BL138" s="2676"/>
      <c r="BM138" s="2678"/>
      <c r="BN138" s="508">
        <v>89</v>
      </c>
      <c r="BO138" s="544" t="s">
        <v>177</v>
      </c>
      <c r="BP138" s="2285"/>
      <c r="BQ138" s="2641"/>
      <c r="BR138" s="2642"/>
      <c r="BS138" s="2641"/>
      <c r="BT138" s="2642"/>
      <c r="BU138" s="2644"/>
    </row>
    <row r="139" spans="1:73" s="541" customFormat="1" ht="75" x14ac:dyDescent="0.25">
      <c r="A139" s="2757"/>
      <c r="B139" s="2758"/>
      <c r="C139" s="611"/>
      <c r="D139" s="612"/>
      <c r="E139" s="2715"/>
      <c r="F139" s="2733"/>
      <c r="G139" s="2682"/>
      <c r="H139" s="2397"/>
      <c r="I139" s="2682"/>
      <c r="J139" s="2397"/>
      <c r="K139" s="2682"/>
      <c r="L139" s="2397"/>
      <c r="M139" s="2682"/>
      <c r="N139" s="2397"/>
      <c r="O139" s="2254"/>
      <c r="P139" s="2387"/>
      <c r="Q139" s="2254"/>
      <c r="R139" s="2679"/>
      <c r="S139" s="2255"/>
      <c r="T139" s="2722"/>
      <c r="U139" s="2679"/>
      <c r="V139" s="2679"/>
      <c r="W139" s="546" t="s">
        <v>634</v>
      </c>
      <c r="X139" s="65">
        <v>292000000</v>
      </c>
      <c r="Y139" s="65"/>
      <c r="Z139" s="65"/>
      <c r="AA139" s="468" t="s">
        <v>625</v>
      </c>
      <c r="AB139" s="471">
        <v>88</v>
      </c>
      <c r="AC139" s="208" t="s">
        <v>177</v>
      </c>
      <c r="AD139" s="2296"/>
      <c r="AE139" s="2296"/>
      <c r="AF139" s="2296"/>
      <c r="AG139" s="2296"/>
      <c r="AH139" s="2296"/>
      <c r="AI139" s="2296"/>
      <c r="AJ139" s="2296"/>
      <c r="AK139" s="2296"/>
      <c r="AL139" s="2296"/>
      <c r="AM139" s="2296"/>
      <c r="AN139" s="2296"/>
      <c r="AO139" s="2296"/>
      <c r="AP139" s="2296"/>
      <c r="AQ139" s="2296"/>
      <c r="AR139" s="2296"/>
      <c r="AS139" s="2296"/>
      <c r="AT139" s="2296"/>
      <c r="AU139" s="2296"/>
      <c r="AV139" s="2296"/>
      <c r="AW139" s="2296"/>
      <c r="AX139" s="2296"/>
      <c r="AY139" s="2296"/>
      <c r="AZ139" s="2296"/>
      <c r="BA139" s="2296"/>
      <c r="BB139" s="2296"/>
      <c r="BC139" s="2296"/>
      <c r="BD139" s="2296"/>
      <c r="BE139" s="2296"/>
      <c r="BF139" s="2296"/>
      <c r="BG139" s="2296"/>
      <c r="BH139" s="2296"/>
      <c r="BI139" s="2296"/>
      <c r="BJ139" s="2254"/>
      <c r="BK139" s="2676"/>
      <c r="BL139" s="2676"/>
      <c r="BM139" s="2678"/>
      <c r="BN139" s="471">
        <v>88</v>
      </c>
      <c r="BO139" s="208" t="s">
        <v>177</v>
      </c>
      <c r="BP139" s="2285"/>
      <c r="BQ139" s="2641"/>
      <c r="BR139" s="2642"/>
      <c r="BS139" s="2641"/>
      <c r="BT139" s="2642"/>
      <c r="BU139" s="2644"/>
    </row>
    <row r="140" spans="1:73" s="541" customFormat="1" ht="42" customHeight="1" x14ac:dyDescent="0.25">
      <c r="A140" s="2757"/>
      <c r="B140" s="2758"/>
      <c r="C140" s="611"/>
      <c r="D140" s="612"/>
      <c r="E140" s="2715"/>
      <c r="F140" s="2733"/>
      <c r="G140" s="2682"/>
      <c r="H140" s="2397"/>
      <c r="I140" s="2682"/>
      <c r="J140" s="2397"/>
      <c r="K140" s="2682"/>
      <c r="L140" s="2397"/>
      <c r="M140" s="2682"/>
      <c r="N140" s="2397"/>
      <c r="O140" s="2254"/>
      <c r="P140" s="2387"/>
      <c r="Q140" s="2254"/>
      <c r="R140" s="2679"/>
      <c r="S140" s="2255"/>
      <c r="T140" s="2722"/>
      <c r="U140" s="2679"/>
      <c r="V140" s="2679"/>
      <c r="W140" s="545" t="s">
        <v>635</v>
      </c>
      <c r="X140" s="65">
        <v>118000000</v>
      </c>
      <c r="Y140" s="65"/>
      <c r="Z140" s="65"/>
      <c r="AA140" s="468" t="s">
        <v>625</v>
      </c>
      <c r="AB140" s="471">
        <v>88</v>
      </c>
      <c r="AC140" s="208" t="s">
        <v>177</v>
      </c>
      <c r="AD140" s="2296"/>
      <c r="AE140" s="2296"/>
      <c r="AF140" s="2296"/>
      <c r="AG140" s="2296"/>
      <c r="AH140" s="2296"/>
      <c r="AI140" s="2296"/>
      <c r="AJ140" s="2296"/>
      <c r="AK140" s="2296"/>
      <c r="AL140" s="2296"/>
      <c r="AM140" s="2296"/>
      <c r="AN140" s="2296"/>
      <c r="AO140" s="2296"/>
      <c r="AP140" s="2296"/>
      <c r="AQ140" s="2296"/>
      <c r="AR140" s="2296"/>
      <c r="AS140" s="2296"/>
      <c r="AT140" s="2296"/>
      <c r="AU140" s="2296"/>
      <c r="AV140" s="2296"/>
      <c r="AW140" s="2296"/>
      <c r="AX140" s="2296"/>
      <c r="AY140" s="2296"/>
      <c r="AZ140" s="2296"/>
      <c r="BA140" s="2296"/>
      <c r="BB140" s="2296"/>
      <c r="BC140" s="2296"/>
      <c r="BD140" s="2296"/>
      <c r="BE140" s="2296"/>
      <c r="BF140" s="2296"/>
      <c r="BG140" s="2296"/>
      <c r="BH140" s="2296"/>
      <c r="BI140" s="2296"/>
      <c r="BJ140" s="2254"/>
      <c r="BK140" s="2676"/>
      <c r="BL140" s="2676"/>
      <c r="BM140" s="2678"/>
      <c r="BN140" s="471">
        <v>88</v>
      </c>
      <c r="BO140" s="208" t="s">
        <v>177</v>
      </c>
      <c r="BP140" s="2285"/>
      <c r="BQ140" s="2641"/>
      <c r="BR140" s="2642"/>
      <c r="BS140" s="2641"/>
      <c r="BT140" s="2642"/>
      <c r="BU140" s="2644"/>
    </row>
    <row r="141" spans="1:73" s="541" customFormat="1" ht="35.25" customHeight="1" x14ac:dyDescent="0.25">
      <c r="A141" s="2757"/>
      <c r="B141" s="2758"/>
      <c r="C141" s="611"/>
      <c r="D141" s="612"/>
      <c r="E141" s="2715"/>
      <c r="F141" s="2733"/>
      <c r="G141" s="2682"/>
      <c r="H141" s="2397"/>
      <c r="I141" s="2682"/>
      <c r="J141" s="2397"/>
      <c r="K141" s="2682"/>
      <c r="L141" s="2397"/>
      <c r="M141" s="2682"/>
      <c r="N141" s="2397"/>
      <c r="O141" s="2254"/>
      <c r="P141" s="2387"/>
      <c r="Q141" s="2254"/>
      <c r="R141" s="2679"/>
      <c r="S141" s="2255"/>
      <c r="T141" s="2722"/>
      <c r="U141" s="2679"/>
      <c r="V141" s="2679"/>
      <c r="W141" s="2727" t="s">
        <v>636</v>
      </c>
      <c r="X141" s="65">
        <v>15000000</v>
      </c>
      <c r="Y141" s="65">
        <v>15000000</v>
      </c>
      <c r="Z141" s="65">
        <v>502698</v>
      </c>
      <c r="AA141" s="468" t="s">
        <v>637</v>
      </c>
      <c r="AB141" s="471">
        <v>88</v>
      </c>
      <c r="AC141" s="208" t="s">
        <v>638</v>
      </c>
      <c r="AD141" s="2296"/>
      <c r="AE141" s="2296"/>
      <c r="AF141" s="2296"/>
      <c r="AG141" s="2296"/>
      <c r="AH141" s="2296"/>
      <c r="AI141" s="2296"/>
      <c r="AJ141" s="2296"/>
      <c r="AK141" s="2296"/>
      <c r="AL141" s="2296"/>
      <c r="AM141" s="2296"/>
      <c r="AN141" s="2296"/>
      <c r="AO141" s="2296"/>
      <c r="AP141" s="2296"/>
      <c r="AQ141" s="2296"/>
      <c r="AR141" s="2296"/>
      <c r="AS141" s="2296"/>
      <c r="AT141" s="2296"/>
      <c r="AU141" s="2296"/>
      <c r="AV141" s="2296"/>
      <c r="AW141" s="2296"/>
      <c r="AX141" s="2296"/>
      <c r="AY141" s="2296"/>
      <c r="AZ141" s="2296"/>
      <c r="BA141" s="2296"/>
      <c r="BB141" s="2296"/>
      <c r="BC141" s="2296"/>
      <c r="BD141" s="2296"/>
      <c r="BE141" s="2296"/>
      <c r="BF141" s="2296"/>
      <c r="BG141" s="2296"/>
      <c r="BH141" s="2296"/>
      <c r="BI141" s="2296"/>
      <c r="BJ141" s="2254"/>
      <c r="BK141" s="2676"/>
      <c r="BL141" s="2676"/>
      <c r="BM141" s="2678"/>
      <c r="BN141" s="471">
        <v>88</v>
      </c>
      <c r="BO141" s="208" t="s">
        <v>638</v>
      </c>
      <c r="BP141" s="2285"/>
      <c r="BQ141" s="2641"/>
      <c r="BR141" s="2642"/>
      <c r="BS141" s="2641"/>
      <c r="BT141" s="2642"/>
      <c r="BU141" s="2644"/>
    </row>
    <row r="142" spans="1:73" s="541" customFormat="1" ht="36.75" customHeight="1" x14ac:dyDescent="0.25">
      <c r="A142" s="2757"/>
      <c r="B142" s="2758"/>
      <c r="C142" s="613"/>
      <c r="D142" s="614"/>
      <c r="E142" s="2690"/>
      <c r="F142" s="2734"/>
      <c r="G142" s="2682"/>
      <c r="H142" s="2397"/>
      <c r="I142" s="2682"/>
      <c r="J142" s="2397"/>
      <c r="K142" s="2682"/>
      <c r="L142" s="2397"/>
      <c r="M142" s="2682"/>
      <c r="N142" s="2397"/>
      <c r="O142" s="2254"/>
      <c r="P142" s="2388"/>
      <c r="Q142" s="2254"/>
      <c r="R142" s="2679"/>
      <c r="S142" s="2255"/>
      <c r="T142" s="2722"/>
      <c r="U142" s="2679"/>
      <c r="V142" s="2679"/>
      <c r="W142" s="2727"/>
      <c r="X142" s="65">
        <v>5000000</v>
      </c>
      <c r="Y142" s="65">
        <v>0</v>
      </c>
      <c r="Z142" s="65">
        <v>0</v>
      </c>
      <c r="AA142" s="468" t="s">
        <v>639</v>
      </c>
      <c r="AB142" s="471">
        <v>20</v>
      </c>
      <c r="AC142" s="208" t="s">
        <v>187</v>
      </c>
      <c r="AD142" s="2296"/>
      <c r="AE142" s="2296"/>
      <c r="AF142" s="2296"/>
      <c r="AG142" s="2296"/>
      <c r="AH142" s="2296"/>
      <c r="AI142" s="2296"/>
      <c r="AJ142" s="2296"/>
      <c r="AK142" s="2296"/>
      <c r="AL142" s="2296"/>
      <c r="AM142" s="2296"/>
      <c r="AN142" s="2296"/>
      <c r="AO142" s="2296"/>
      <c r="AP142" s="2296"/>
      <c r="AQ142" s="2296"/>
      <c r="AR142" s="2296"/>
      <c r="AS142" s="2296"/>
      <c r="AT142" s="2296"/>
      <c r="AU142" s="2296"/>
      <c r="AV142" s="2296"/>
      <c r="AW142" s="2296"/>
      <c r="AX142" s="2296"/>
      <c r="AY142" s="2296"/>
      <c r="AZ142" s="2296"/>
      <c r="BA142" s="2296"/>
      <c r="BB142" s="2296"/>
      <c r="BC142" s="2296"/>
      <c r="BD142" s="2296"/>
      <c r="BE142" s="2296"/>
      <c r="BF142" s="2296"/>
      <c r="BG142" s="2296"/>
      <c r="BH142" s="2296"/>
      <c r="BI142" s="2296"/>
      <c r="BJ142" s="2254"/>
      <c r="BK142" s="2676"/>
      <c r="BL142" s="2676"/>
      <c r="BM142" s="2678"/>
      <c r="BN142" s="471">
        <v>20</v>
      </c>
      <c r="BO142" s="208" t="s">
        <v>187</v>
      </c>
      <c r="BP142" s="2285"/>
      <c r="BQ142" s="2641"/>
      <c r="BR142" s="2642"/>
      <c r="BS142" s="2641"/>
      <c r="BT142" s="2642"/>
      <c r="BU142" s="2645"/>
    </row>
    <row r="143" spans="1:73" s="541" customFormat="1" ht="15.75" x14ac:dyDescent="0.25">
      <c r="A143" s="2757"/>
      <c r="B143" s="2758"/>
      <c r="C143" s="474">
        <v>40</v>
      </c>
      <c r="D143" s="2656" t="s">
        <v>640</v>
      </c>
      <c r="E143" s="2656"/>
      <c r="F143" s="2656"/>
      <c r="G143" s="2656"/>
      <c r="H143" s="2656"/>
      <c r="I143" s="2656"/>
      <c r="J143" s="2656"/>
      <c r="K143" s="475"/>
      <c r="L143" s="506"/>
      <c r="M143" s="538"/>
      <c r="N143" s="506"/>
      <c r="O143" s="477"/>
      <c r="P143" s="477"/>
      <c r="Q143" s="477"/>
      <c r="R143" s="478"/>
      <c r="S143" s="479"/>
      <c r="T143" s="500"/>
      <c r="U143" s="478"/>
      <c r="V143" s="478"/>
      <c r="W143" s="547"/>
      <c r="X143" s="501"/>
      <c r="Y143" s="501"/>
      <c r="Z143" s="501"/>
      <c r="AA143" s="548"/>
      <c r="AB143" s="485"/>
      <c r="AC143" s="478"/>
      <c r="AD143" s="477"/>
      <c r="AE143" s="477"/>
      <c r="AF143" s="477"/>
      <c r="AG143" s="477"/>
      <c r="AH143" s="477"/>
      <c r="AI143" s="477"/>
      <c r="AJ143" s="477"/>
      <c r="AK143" s="477"/>
      <c r="AL143" s="477"/>
      <c r="AM143" s="477"/>
      <c r="AN143" s="477"/>
      <c r="AO143" s="477"/>
      <c r="AP143" s="477"/>
      <c r="AQ143" s="477"/>
      <c r="AR143" s="477"/>
      <c r="AS143" s="477"/>
      <c r="AT143" s="477"/>
      <c r="AU143" s="477"/>
      <c r="AV143" s="477"/>
      <c r="AW143" s="477"/>
      <c r="AX143" s="477"/>
      <c r="AY143" s="477"/>
      <c r="AZ143" s="477"/>
      <c r="BA143" s="477"/>
      <c r="BB143" s="477"/>
      <c r="BC143" s="477"/>
      <c r="BD143" s="477"/>
      <c r="BE143" s="477"/>
      <c r="BF143" s="477"/>
      <c r="BG143" s="477"/>
      <c r="BH143" s="477"/>
      <c r="BI143" s="477"/>
      <c r="BJ143" s="477"/>
      <c r="BK143" s="501"/>
      <c r="BL143" s="501"/>
      <c r="BM143" s="479"/>
      <c r="BN143" s="477"/>
      <c r="BO143" s="478"/>
      <c r="BP143" s="478"/>
      <c r="BQ143" s="489"/>
      <c r="BR143" s="489"/>
      <c r="BS143" s="489"/>
      <c r="BT143" s="489"/>
      <c r="BU143" s="481"/>
    </row>
    <row r="144" spans="1:73" s="2" customFormat="1" ht="15.75" x14ac:dyDescent="0.25">
      <c r="A144" s="2757"/>
      <c r="B144" s="2758"/>
      <c r="C144" s="602"/>
      <c r="D144" s="603"/>
      <c r="E144" s="521">
        <v>4001</v>
      </c>
      <c r="F144" s="2657" t="s">
        <v>641</v>
      </c>
      <c r="G144" s="2657"/>
      <c r="H144" s="2657"/>
      <c r="I144" s="2657"/>
      <c r="J144" s="2657"/>
      <c r="K144" s="2657"/>
      <c r="L144" s="2657"/>
      <c r="M144" s="188"/>
      <c r="N144" s="323"/>
      <c r="O144" s="188"/>
      <c r="P144" s="188"/>
      <c r="Q144" s="188"/>
      <c r="R144" s="323"/>
      <c r="S144" s="186"/>
      <c r="T144" s="322"/>
      <c r="U144" s="323"/>
      <c r="V144" s="323"/>
      <c r="W144" s="323"/>
      <c r="X144" s="490"/>
      <c r="Y144" s="490"/>
      <c r="Z144" s="490"/>
      <c r="AA144" s="57"/>
      <c r="AB144" s="192"/>
      <c r="AC144" s="323"/>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491"/>
      <c r="BL144" s="491"/>
      <c r="BM144" s="492"/>
      <c r="BN144" s="188"/>
      <c r="BO144" s="323"/>
      <c r="BP144" s="323"/>
      <c r="BQ144" s="188"/>
      <c r="BR144" s="188"/>
      <c r="BS144" s="188"/>
      <c r="BT144" s="188"/>
      <c r="BU144" s="323"/>
    </row>
    <row r="145" spans="1:73" s="541" customFormat="1" ht="38.25" customHeight="1" x14ac:dyDescent="0.25">
      <c r="A145" s="2757"/>
      <c r="B145" s="2758"/>
      <c r="C145" s="611"/>
      <c r="D145" s="612"/>
      <c r="E145" s="615"/>
      <c r="F145" s="616"/>
      <c r="G145" s="2724">
        <v>4001015</v>
      </c>
      <c r="H145" s="2397" t="s">
        <v>642</v>
      </c>
      <c r="I145" s="2724">
        <v>4001015</v>
      </c>
      <c r="J145" s="2397" t="s">
        <v>642</v>
      </c>
      <c r="K145" s="2723" t="s">
        <v>643</v>
      </c>
      <c r="L145" s="2469" t="s">
        <v>644</v>
      </c>
      <c r="M145" s="2723" t="s">
        <v>643</v>
      </c>
      <c r="N145" s="2469" t="s">
        <v>644</v>
      </c>
      <c r="O145" s="2254">
        <v>50</v>
      </c>
      <c r="P145" s="2392">
        <v>0</v>
      </c>
      <c r="Q145" s="2294" t="s">
        <v>645</v>
      </c>
      <c r="R145" s="2397" t="s">
        <v>646</v>
      </c>
      <c r="S145" s="2255">
        <f>SUM(X145:X146)/T145</f>
        <v>1</v>
      </c>
      <c r="T145" s="2722">
        <f>SUM(X145:X146)</f>
        <v>120000000.09999999</v>
      </c>
      <c r="U145" s="2679" t="s">
        <v>647</v>
      </c>
      <c r="V145" s="2679" t="s">
        <v>648</v>
      </c>
      <c r="W145" s="2285" t="s">
        <v>649</v>
      </c>
      <c r="X145" s="65">
        <v>20000000</v>
      </c>
      <c r="Y145" s="65">
        <v>0</v>
      </c>
      <c r="Z145" s="65">
        <v>0</v>
      </c>
      <c r="AA145" s="549" t="s">
        <v>650</v>
      </c>
      <c r="AB145" s="67">
        <v>20</v>
      </c>
      <c r="AC145" s="201" t="s">
        <v>187</v>
      </c>
      <c r="AD145" s="2296">
        <v>680</v>
      </c>
      <c r="AE145" s="2296"/>
      <c r="AF145" s="2296">
        <v>520</v>
      </c>
      <c r="AG145" s="2296"/>
      <c r="AH145" s="2296">
        <v>350</v>
      </c>
      <c r="AI145" s="2296"/>
      <c r="AJ145" s="2296">
        <v>300</v>
      </c>
      <c r="AK145" s="2296"/>
      <c r="AL145" s="2296">
        <v>250</v>
      </c>
      <c r="AM145" s="2296"/>
      <c r="AN145" s="2296">
        <v>300</v>
      </c>
      <c r="AO145" s="2296"/>
      <c r="AP145" s="2296"/>
      <c r="AQ145" s="2296"/>
      <c r="AR145" s="2296"/>
      <c r="AS145" s="2296"/>
      <c r="AT145" s="2296"/>
      <c r="AU145" s="2296"/>
      <c r="AV145" s="2296"/>
      <c r="AW145" s="2296"/>
      <c r="AX145" s="2296"/>
      <c r="AY145" s="2296"/>
      <c r="AZ145" s="2296"/>
      <c r="BA145" s="2296"/>
      <c r="BB145" s="2296"/>
      <c r="BC145" s="2296"/>
      <c r="BD145" s="2296"/>
      <c r="BE145" s="2296"/>
      <c r="BF145" s="2296"/>
      <c r="BG145" s="2296"/>
      <c r="BH145" s="2296">
        <f>AD145+AF145</f>
        <v>1200</v>
      </c>
      <c r="BI145" s="2296"/>
      <c r="BJ145" s="2254">
        <v>0</v>
      </c>
      <c r="BK145" s="2676">
        <f>SUM(Y145:Y146)</f>
        <v>0</v>
      </c>
      <c r="BL145" s="2676">
        <f>SUM(Z145:Z146)</f>
        <v>0</v>
      </c>
      <c r="BM145" s="2678" t="e">
        <f>+BL145/BK145</f>
        <v>#DIV/0!</v>
      </c>
      <c r="BN145" s="508">
        <v>20</v>
      </c>
      <c r="BO145" s="252" t="s">
        <v>187</v>
      </c>
      <c r="BP145" s="2285" t="s">
        <v>422</v>
      </c>
      <c r="BQ145" s="2717">
        <v>44197</v>
      </c>
      <c r="BR145" s="2254"/>
      <c r="BS145" s="2717">
        <v>44561</v>
      </c>
      <c r="BT145" s="2254"/>
      <c r="BU145" s="2718" t="s">
        <v>423</v>
      </c>
    </row>
    <row r="146" spans="1:73" s="541" customFormat="1" ht="40.5" customHeight="1" x14ac:dyDescent="0.25">
      <c r="A146" s="2759"/>
      <c r="B146" s="2760"/>
      <c r="C146" s="613"/>
      <c r="D146" s="614"/>
      <c r="E146" s="613"/>
      <c r="F146" s="617"/>
      <c r="G146" s="2724"/>
      <c r="H146" s="2397"/>
      <c r="I146" s="2724"/>
      <c r="J146" s="2397"/>
      <c r="K146" s="2723"/>
      <c r="L146" s="2469"/>
      <c r="M146" s="2723"/>
      <c r="N146" s="2469"/>
      <c r="O146" s="2254"/>
      <c r="P146" s="2388"/>
      <c r="Q146" s="2294"/>
      <c r="R146" s="2397"/>
      <c r="S146" s="2255"/>
      <c r="T146" s="2722"/>
      <c r="U146" s="2679"/>
      <c r="V146" s="2679"/>
      <c r="W146" s="2285"/>
      <c r="X146" s="65">
        <v>100000000.09999999</v>
      </c>
      <c r="Y146" s="65">
        <v>0</v>
      </c>
      <c r="Z146" s="65">
        <v>0</v>
      </c>
      <c r="AA146" s="549" t="s">
        <v>651</v>
      </c>
      <c r="AB146" s="550" t="s">
        <v>454</v>
      </c>
      <c r="AC146" s="201" t="s">
        <v>652</v>
      </c>
      <c r="AD146" s="2296"/>
      <c r="AE146" s="2296"/>
      <c r="AF146" s="2296"/>
      <c r="AG146" s="2296"/>
      <c r="AH146" s="2296"/>
      <c r="AI146" s="2296"/>
      <c r="AJ146" s="2296"/>
      <c r="AK146" s="2296"/>
      <c r="AL146" s="2296"/>
      <c r="AM146" s="2296"/>
      <c r="AN146" s="2296"/>
      <c r="AO146" s="2296"/>
      <c r="AP146" s="2296"/>
      <c r="AQ146" s="2296"/>
      <c r="AR146" s="2296"/>
      <c r="AS146" s="2296"/>
      <c r="AT146" s="2296"/>
      <c r="AU146" s="2296"/>
      <c r="AV146" s="2296"/>
      <c r="AW146" s="2296"/>
      <c r="AX146" s="2296"/>
      <c r="AY146" s="2296"/>
      <c r="AZ146" s="2296"/>
      <c r="BA146" s="2296"/>
      <c r="BB146" s="2296"/>
      <c r="BC146" s="2296"/>
      <c r="BD146" s="2296"/>
      <c r="BE146" s="2296"/>
      <c r="BF146" s="2296"/>
      <c r="BG146" s="2296"/>
      <c r="BH146" s="2296"/>
      <c r="BI146" s="2296"/>
      <c r="BJ146" s="2254"/>
      <c r="BK146" s="2676"/>
      <c r="BL146" s="2676"/>
      <c r="BM146" s="2678"/>
      <c r="BN146" s="551" t="s">
        <v>454</v>
      </c>
      <c r="BO146" s="252" t="s">
        <v>653</v>
      </c>
      <c r="BP146" s="2285"/>
      <c r="BQ146" s="2296"/>
      <c r="BR146" s="2254"/>
      <c r="BS146" s="2296"/>
      <c r="BT146" s="2254"/>
      <c r="BU146" s="2719"/>
    </row>
    <row r="147" spans="1:73" s="541" customFormat="1" ht="15.75" x14ac:dyDescent="0.25">
      <c r="A147" s="18">
        <v>4</v>
      </c>
      <c r="B147" s="2720" t="s">
        <v>363</v>
      </c>
      <c r="C147" s="2721"/>
      <c r="D147" s="2721"/>
      <c r="E147" s="2721"/>
      <c r="F147" s="2721"/>
      <c r="G147" s="2721"/>
      <c r="H147" s="2721"/>
      <c r="I147" s="2721"/>
      <c r="J147" s="2721"/>
      <c r="K147" s="552"/>
      <c r="L147" s="553"/>
      <c r="M147" s="552"/>
      <c r="N147" s="553"/>
      <c r="O147" s="554"/>
      <c r="P147" s="554"/>
      <c r="Q147" s="555"/>
      <c r="R147" s="556"/>
      <c r="S147" s="557"/>
      <c r="T147" s="558"/>
      <c r="U147" s="559"/>
      <c r="V147" s="559"/>
      <c r="W147" s="559"/>
      <c r="X147" s="560"/>
      <c r="Y147" s="560"/>
      <c r="Z147" s="560"/>
      <c r="AA147" s="561"/>
      <c r="AB147" s="562"/>
      <c r="AC147" s="559"/>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4"/>
      <c r="AY147" s="554"/>
      <c r="AZ147" s="554"/>
      <c r="BA147" s="554"/>
      <c r="BB147" s="554"/>
      <c r="BC147" s="554"/>
      <c r="BD147" s="554"/>
      <c r="BE147" s="554"/>
      <c r="BF147" s="554"/>
      <c r="BG147" s="554"/>
      <c r="BH147" s="554"/>
      <c r="BI147" s="554"/>
      <c r="BJ147" s="554"/>
      <c r="BK147" s="560"/>
      <c r="BL147" s="560"/>
      <c r="BM147" s="557"/>
      <c r="BN147" s="554"/>
      <c r="BO147" s="559"/>
      <c r="BP147" s="559"/>
      <c r="BQ147" s="563"/>
      <c r="BR147" s="563"/>
      <c r="BS147" s="563"/>
      <c r="BT147" s="563"/>
      <c r="BU147" s="564"/>
    </row>
    <row r="148" spans="1:73" s="541" customFormat="1" ht="15.75" x14ac:dyDescent="0.25">
      <c r="A148" s="618"/>
      <c r="B148" s="619"/>
      <c r="C148" s="474">
        <v>45</v>
      </c>
      <c r="D148" s="2656" t="s">
        <v>72</v>
      </c>
      <c r="E148" s="2656"/>
      <c r="F148" s="2656"/>
      <c r="G148" s="2656"/>
      <c r="H148" s="2656"/>
      <c r="I148" s="2656"/>
      <c r="J148" s="2656"/>
      <c r="K148" s="565"/>
      <c r="L148" s="566"/>
      <c r="M148" s="565"/>
      <c r="N148" s="566"/>
      <c r="O148" s="477"/>
      <c r="P148" s="477"/>
      <c r="Q148" s="538"/>
      <c r="R148" s="506"/>
      <c r="S148" s="479"/>
      <c r="T148" s="500"/>
      <c r="U148" s="478"/>
      <c r="V148" s="478"/>
      <c r="W148" s="478"/>
      <c r="X148" s="501"/>
      <c r="Y148" s="501"/>
      <c r="Z148" s="501"/>
      <c r="AA148" s="567"/>
      <c r="AB148" s="485"/>
      <c r="AC148" s="478"/>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7"/>
      <c r="AY148" s="477"/>
      <c r="AZ148" s="477"/>
      <c r="BA148" s="477"/>
      <c r="BB148" s="477"/>
      <c r="BC148" s="477"/>
      <c r="BD148" s="477"/>
      <c r="BE148" s="477"/>
      <c r="BF148" s="477"/>
      <c r="BG148" s="477"/>
      <c r="BH148" s="477"/>
      <c r="BI148" s="477"/>
      <c r="BJ148" s="477"/>
      <c r="BK148" s="501"/>
      <c r="BL148" s="501"/>
      <c r="BM148" s="479"/>
      <c r="BN148" s="477"/>
      <c r="BO148" s="478"/>
      <c r="BP148" s="478"/>
      <c r="BQ148" s="489"/>
      <c r="BR148" s="489"/>
      <c r="BS148" s="489"/>
      <c r="BT148" s="489"/>
      <c r="BU148" s="481"/>
    </row>
    <row r="149" spans="1:73" s="2" customFormat="1" ht="15.75" x14ac:dyDescent="0.25">
      <c r="A149" s="493"/>
      <c r="B149" s="102"/>
      <c r="C149" s="602"/>
      <c r="D149" s="603"/>
      <c r="E149" s="521">
        <v>4599</v>
      </c>
      <c r="F149" s="503" t="s">
        <v>195</v>
      </c>
      <c r="G149" s="503"/>
      <c r="H149" s="323"/>
      <c r="I149" s="503"/>
      <c r="J149" s="323"/>
      <c r="K149" s="503"/>
      <c r="L149" s="323"/>
      <c r="M149" s="503"/>
      <c r="N149" s="323"/>
      <c r="O149" s="188"/>
      <c r="P149" s="188"/>
      <c r="Q149" s="188"/>
      <c r="R149" s="323"/>
      <c r="S149" s="186"/>
      <c r="T149" s="322"/>
      <c r="U149" s="323"/>
      <c r="V149" s="323"/>
      <c r="W149" s="323"/>
      <c r="X149" s="490"/>
      <c r="Y149" s="490"/>
      <c r="Z149" s="490"/>
      <c r="AA149" s="57"/>
      <c r="AB149" s="192"/>
      <c r="AC149" s="323"/>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491"/>
      <c r="BL149" s="491"/>
      <c r="BM149" s="492"/>
      <c r="BN149" s="188"/>
      <c r="BO149" s="323"/>
      <c r="BP149" s="323"/>
      <c r="BQ149" s="188"/>
      <c r="BR149" s="188"/>
      <c r="BS149" s="188"/>
      <c r="BT149" s="188"/>
      <c r="BU149" s="323"/>
    </row>
    <row r="150" spans="1:73" s="541" customFormat="1" ht="105" customHeight="1" x14ac:dyDescent="0.25">
      <c r="A150" s="620"/>
      <c r="B150" s="612"/>
      <c r="C150" s="611"/>
      <c r="D150" s="612"/>
      <c r="E150" s="2689"/>
      <c r="F150" s="2691"/>
      <c r="G150" s="2665" t="s">
        <v>74</v>
      </c>
      <c r="H150" s="2712" t="s">
        <v>654</v>
      </c>
      <c r="I150" s="2665" t="s">
        <v>655</v>
      </c>
      <c r="J150" s="2712" t="s">
        <v>447</v>
      </c>
      <c r="K150" s="2665" t="s">
        <v>74</v>
      </c>
      <c r="L150" s="2712" t="s">
        <v>656</v>
      </c>
      <c r="M150" s="2665">
        <v>459901600</v>
      </c>
      <c r="N150" s="2425" t="s">
        <v>447</v>
      </c>
      <c r="O150" s="2392">
        <v>4</v>
      </c>
      <c r="P150" s="2392">
        <v>0</v>
      </c>
      <c r="Q150" s="2325" t="s">
        <v>657</v>
      </c>
      <c r="R150" s="2425" t="s">
        <v>658</v>
      </c>
      <c r="S150" s="2492">
        <f>SUM(X150:X156)/T150</f>
        <v>1</v>
      </c>
      <c r="T150" s="2709">
        <f>SUM(X150:X156)</f>
        <v>100660648</v>
      </c>
      <c r="U150" s="2428" t="s">
        <v>659</v>
      </c>
      <c r="V150" s="2428" t="s">
        <v>660</v>
      </c>
      <c r="W150" s="2701" t="s">
        <v>661</v>
      </c>
      <c r="X150" s="467">
        <v>10000000</v>
      </c>
      <c r="Y150" s="467">
        <v>0</v>
      </c>
      <c r="Z150" s="467">
        <v>0</v>
      </c>
      <c r="AA150" s="468" t="s">
        <v>662</v>
      </c>
      <c r="AB150" s="2704" t="s">
        <v>438</v>
      </c>
      <c r="AC150" s="2392" t="s">
        <v>439</v>
      </c>
      <c r="AD150" s="2297">
        <v>295972</v>
      </c>
      <c r="AE150" s="2297"/>
      <c r="AF150" s="2297">
        <v>285580</v>
      </c>
      <c r="AG150" s="2297"/>
      <c r="AH150" s="2297">
        <v>135545</v>
      </c>
      <c r="AI150" s="2297"/>
      <c r="AJ150" s="2297">
        <v>44254</v>
      </c>
      <c r="AK150" s="2297"/>
      <c r="AL150" s="2297">
        <v>309146</v>
      </c>
      <c r="AM150" s="2297"/>
      <c r="AN150" s="2297">
        <v>92607</v>
      </c>
      <c r="AO150" s="2297"/>
      <c r="AP150" s="2297">
        <v>2145</v>
      </c>
      <c r="AQ150" s="2297"/>
      <c r="AR150" s="2297">
        <v>12718</v>
      </c>
      <c r="AS150" s="2297"/>
      <c r="AT150" s="2297">
        <v>26</v>
      </c>
      <c r="AU150" s="2297"/>
      <c r="AV150" s="2297">
        <v>37</v>
      </c>
      <c r="AW150" s="2297"/>
      <c r="AX150" s="2297">
        <v>0</v>
      </c>
      <c r="AY150" s="2297"/>
      <c r="AZ150" s="2297">
        <v>0</v>
      </c>
      <c r="BA150" s="2297"/>
      <c r="BB150" s="2297">
        <v>44350</v>
      </c>
      <c r="BC150" s="2297"/>
      <c r="BD150" s="2297">
        <v>21944</v>
      </c>
      <c r="BE150" s="2297"/>
      <c r="BF150" s="2297">
        <v>75687</v>
      </c>
      <c r="BG150" s="2297"/>
      <c r="BH150" s="2297">
        <v>581552</v>
      </c>
      <c r="BI150" s="2297"/>
      <c r="BJ150" s="2392">
        <v>6</v>
      </c>
      <c r="BK150" s="2693">
        <f>SUM(Y150:Y156)</f>
        <v>1268000</v>
      </c>
      <c r="BL150" s="2693">
        <f>SUM(Z150:Z156)</f>
        <v>368000</v>
      </c>
      <c r="BM150" s="2696">
        <f>+BL150/BK150</f>
        <v>0.29022082018927448</v>
      </c>
      <c r="BN150" s="2296">
        <v>20</v>
      </c>
      <c r="BO150" s="2285" t="s">
        <v>187</v>
      </c>
      <c r="BP150" s="2295" t="s">
        <v>422</v>
      </c>
      <c r="BQ150" s="2683">
        <v>44197</v>
      </c>
      <c r="BR150" s="2686">
        <v>44244</v>
      </c>
      <c r="BS150" s="2683">
        <v>44561</v>
      </c>
      <c r="BT150" s="2686">
        <v>44490</v>
      </c>
      <c r="BU150" s="2643" t="s">
        <v>423</v>
      </c>
    </row>
    <row r="151" spans="1:73" s="541" customFormat="1" ht="15" x14ac:dyDescent="0.25">
      <c r="A151" s="620"/>
      <c r="B151" s="612"/>
      <c r="C151" s="611"/>
      <c r="D151" s="612"/>
      <c r="E151" s="2715"/>
      <c r="F151" s="2716"/>
      <c r="G151" s="2666"/>
      <c r="H151" s="2713"/>
      <c r="I151" s="2666"/>
      <c r="J151" s="2713"/>
      <c r="K151" s="2666"/>
      <c r="L151" s="2713"/>
      <c r="M151" s="2666"/>
      <c r="N151" s="2426"/>
      <c r="O151" s="2387"/>
      <c r="P151" s="2387"/>
      <c r="Q151" s="2326"/>
      <c r="R151" s="2426"/>
      <c r="S151" s="2707"/>
      <c r="T151" s="2710"/>
      <c r="U151" s="2429"/>
      <c r="V151" s="2429"/>
      <c r="W151" s="2702"/>
      <c r="X151" s="467">
        <v>5000000</v>
      </c>
      <c r="Y151" s="467"/>
      <c r="Z151" s="467"/>
      <c r="AA151" s="468" t="s">
        <v>663</v>
      </c>
      <c r="AB151" s="2705"/>
      <c r="AC151" s="2387"/>
      <c r="AD151" s="2448"/>
      <c r="AE151" s="2448"/>
      <c r="AF151" s="2448"/>
      <c r="AG151" s="2448"/>
      <c r="AH151" s="2448"/>
      <c r="AI151" s="2448"/>
      <c r="AJ151" s="2448"/>
      <c r="AK151" s="2448"/>
      <c r="AL151" s="2448"/>
      <c r="AM151" s="2448"/>
      <c r="AN151" s="2448"/>
      <c r="AO151" s="2448"/>
      <c r="AP151" s="2448"/>
      <c r="AQ151" s="2448"/>
      <c r="AR151" s="2448"/>
      <c r="AS151" s="2448"/>
      <c r="AT151" s="2448"/>
      <c r="AU151" s="2448"/>
      <c r="AV151" s="2448"/>
      <c r="AW151" s="2448"/>
      <c r="AX151" s="2448"/>
      <c r="AY151" s="2448"/>
      <c r="AZ151" s="2448"/>
      <c r="BA151" s="2448"/>
      <c r="BB151" s="2448"/>
      <c r="BC151" s="2448"/>
      <c r="BD151" s="2448"/>
      <c r="BE151" s="2448"/>
      <c r="BF151" s="2448"/>
      <c r="BG151" s="2448"/>
      <c r="BH151" s="2448"/>
      <c r="BI151" s="2448"/>
      <c r="BJ151" s="2387"/>
      <c r="BK151" s="2694"/>
      <c r="BL151" s="2694"/>
      <c r="BM151" s="2697"/>
      <c r="BN151" s="2296"/>
      <c r="BO151" s="2285"/>
      <c r="BP151" s="2699"/>
      <c r="BQ151" s="2684"/>
      <c r="BR151" s="2687"/>
      <c r="BS151" s="2684"/>
      <c r="BT151" s="2687"/>
      <c r="BU151" s="2644"/>
    </row>
    <row r="152" spans="1:73" s="541" customFormat="1" ht="15" x14ac:dyDescent="0.25">
      <c r="A152" s="620"/>
      <c r="B152" s="612"/>
      <c r="C152" s="611"/>
      <c r="D152" s="612"/>
      <c r="E152" s="2715"/>
      <c r="F152" s="2716"/>
      <c r="G152" s="2666"/>
      <c r="H152" s="2713"/>
      <c r="I152" s="2666"/>
      <c r="J152" s="2713"/>
      <c r="K152" s="2666"/>
      <c r="L152" s="2713"/>
      <c r="M152" s="2666"/>
      <c r="N152" s="2426"/>
      <c r="O152" s="2387"/>
      <c r="P152" s="2387"/>
      <c r="Q152" s="2326"/>
      <c r="R152" s="2426"/>
      <c r="S152" s="2707"/>
      <c r="T152" s="2710"/>
      <c r="U152" s="2429"/>
      <c r="V152" s="2429"/>
      <c r="W152" s="2702"/>
      <c r="X152" s="467">
        <v>1000000</v>
      </c>
      <c r="Y152" s="467"/>
      <c r="Z152" s="467"/>
      <c r="AA152" s="468" t="s">
        <v>664</v>
      </c>
      <c r="AB152" s="2705"/>
      <c r="AC152" s="2387"/>
      <c r="AD152" s="2448"/>
      <c r="AE152" s="2448"/>
      <c r="AF152" s="2448"/>
      <c r="AG152" s="2448"/>
      <c r="AH152" s="2448"/>
      <c r="AI152" s="2448"/>
      <c r="AJ152" s="2448"/>
      <c r="AK152" s="2448"/>
      <c r="AL152" s="2448"/>
      <c r="AM152" s="2448"/>
      <c r="AN152" s="2448"/>
      <c r="AO152" s="2448"/>
      <c r="AP152" s="2448"/>
      <c r="AQ152" s="2448"/>
      <c r="AR152" s="2448"/>
      <c r="AS152" s="2448"/>
      <c r="AT152" s="2448"/>
      <c r="AU152" s="2448"/>
      <c r="AV152" s="2448"/>
      <c r="AW152" s="2448"/>
      <c r="AX152" s="2448"/>
      <c r="AY152" s="2448"/>
      <c r="AZ152" s="2448"/>
      <c r="BA152" s="2448"/>
      <c r="BB152" s="2448"/>
      <c r="BC152" s="2448"/>
      <c r="BD152" s="2448"/>
      <c r="BE152" s="2448"/>
      <c r="BF152" s="2448"/>
      <c r="BG152" s="2448"/>
      <c r="BH152" s="2448"/>
      <c r="BI152" s="2448"/>
      <c r="BJ152" s="2387"/>
      <c r="BK152" s="2694"/>
      <c r="BL152" s="2694"/>
      <c r="BM152" s="2697"/>
      <c r="BN152" s="2296"/>
      <c r="BO152" s="2285"/>
      <c r="BP152" s="2699"/>
      <c r="BQ152" s="2684"/>
      <c r="BR152" s="2687"/>
      <c r="BS152" s="2684"/>
      <c r="BT152" s="2687"/>
      <c r="BU152" s="2644"/>
    </row>
    <row r="153" spans="1:73" s="541" customFormat="1" ht="15" x14ac:dyDescent="0.25">
      <c r="A153" s="620"/>
      <c r="B153" s="612"/>
      <c r="C153" s="611"/>
      <c r="D153" s="612"/>
      <c r="E153" s="2715"/>
      <c r="F153" s="2716"/>
      <c r="G153" s="2666"/>
      <c r="H153" s="2713"/>
      <c r="I153" s="2666"/>
      <c r="J153" s="2713"/>
      <c r="K153" s="2666"/>
      <c r="L153" s="2713"/>
      <c r="M153" s="2666"/>
      <c r="N153" s="2426"/>
      <c r="O153" s="2387"/>
      <c r="P153" s="2387"/>
      <c r="Q153" s="2326"/>
      <c r="R153" s="2426"/>
      <c r="S153" s="2707"/>
      <c r="T153" s="2710"/>
      <c r="U153" s="2429"/>
      <c r="V153" s="2429"/>
      <c r="W153" s="2703"/>
      <c r="X153" s="467">
        <v>4000000</v>
      </c>
      <c r="Y153" s="467"/>
      <c r="Z153" s="467"/>
      <c r="AA153" s="468" t="s">
        <v>665</v>
      </c>
      <c r="AB153" s="2705"/>
      <c r="AC153" s="2387"/>
      <c r="AD153" s="2448"/>
      <c r="AE153" s="2448"/>
      <c r="AF153" s="2448"/>
      <c r="AG153" s="2448"/>
      <c r="AH153" s="2448"/>
      <c r="AI153" s="2448"/>
      <c r="AJ153" s="2448"/>
      <c r="AK153" s="2448"/>
      <c r="AL153" s="2448"/>
      <c r="AM153" s="2448"/>
      <c r="AN153" s="2448"/>
      <c r="AO153" s="2448"/>
      <c r="AP153" s="2448"/>
      <c r="AQ153" s="2448"/>
      <c r="AR153" s="2448"/>
      <c r="AS153" s="2448"/>
      <c r="AT153" s="2448"/>
      <c r="AU153" s="2448"/>
      <c r="AV153" s="2448"/>
      <c r="AW153" s="2448"/>
      <c r="AX153" s="2448"/>
      <c r="AY153" s="2448"/>
      <c r="AZ153" s="2448"/>
      <c r="BA153" s="2448"/>
      <c r="BB153" s="2448"/>
      <c r="BC153" s="2448"/>
      <c r="BD153" s="2448"/>
      <c r="BE153" s="2448"/>
      <c r="BF153" s="2448"/>
      <c r="BG153" s="2448"/>
      <c r="BH153" s="2448"/>
      <c r="BI153" s="2448"/>
      <c r="BJ153" s="2387"/>
      <c r="BK153" s="2694"/>
      <c r="BL153" s="2694"/>
      <c r="BM153" s="2697"/>
      <c r="BN153" s="2296"/>
      <c r="BO153" s="2285"/>
      <c r="BP153" s="2699"/>
      <c r="BQ153" s="2684"/>
      <c r="BR153" s="2687"/>
      <c r="BS153" s="2684"/>
      <c r="BT153" s="2687"/>
      <c r="BU153" s="2644"/>
    </row>
    <row r="154" spans="1:73" s="541" customFormat="1" ht="60" x14ac:dyDescent="0.25">
      <c r="A154" s="620"/>
      <c r="B154" s="612"/>
      <c r="C154" s="611"/>
      <c r="D154" s="612"/>
      <c r="E154" s="2715"/>
      <c r="F154" s="2716"/>
      <c r="G154" s="2666"/>
      <c r="H154" s="2713"/>
      <c r="I154" s="2666"/>
      <c r="J154" s="2713"/>
      <c r="K154" s="2666"/>
      <c r="L154" s="2713"/>
      <c r="M154" s="2666"/>
      <c r="N154" s="2426"/>
      <c r="O154" s="2387"/>
      <c r="P154" s="2387"/>
      <c r="Q154" s="2326"/>
      <c r="R154" s="2426"/>
      <c r="S154" s="2707"/>
      <c r="T154" s="2710"/>
      <c r="U154" s="2429"/>
      <c r="V154" s="2429"/>
      <c r="W154" s="208" t="s">
        <v>666</v>
      </c>
      <c r="X154" s="72">
        <v>10000000</v>
      </c>
      <c r="Y154" s="72">
        <v>0</v>
      </c>
      <c r="Z154" s="72">
        <v>0</v>
      </c>
      <c r="AA154" s="468" t="s">
        <v>667</v>
      </c>
      <c r="AB154" s="2705"/>
      <c r="AC154" s="2387"/>
      <c r="AD154" s="2448"/>
      <c r="AE154" s="2448"/>
      <c r="AF154" s="2448"/>
      <c r="AG154" s="2448"/>
      <c r="AH154" s="2448"/>
      <c r="AI154" s="2448"/>
      <c r="AJ154" s="2448"/>
      <c r="AK154" s="2448"/>
      <c r="AL154" s="2448"/>
      <c r="AM154" s="2448"/>
      <c r="AN154" s="2448"/>
      <c r="AO154" s="2448"/>
      <c r="AP154" s="2448"/>
      <c r="AQ154" s="2448"/>
      <c r="AR154" s="2448"/>
      <c r="AS154" s="2448"/>
      <c r="AT154" s="2448"/>
      <c r="AU154" s="2448"/>
      <c r="AV154" s="2448"/>
      <c r="AW154" s="2448"/>
      <c r="AX154" s="2448"/>
      <c r="AY154" s="2448"/>
      <c r="AZ154" s="2448"/>
      <c r="BA154" s="2448"/>
      <c r="BB154" s="2448"/>
      <c r="BC154" s="2448"/>
      <c r="BD154" s="2448"/>
      <c r="BE154" s="2448"/>
      <c r="BF154" s="2448"/>
      <c r="BG154" s="2448"/>
      <c r="BH154" s="2448"/>
      <c r="BI154" s="2448"/>
      <c r="BJ154" s="2387"/>
      <c r="BK154" s="2694"/>
      <c r="BL154" s="2694"/>
      <c r="BM154" s="2697"/>
      <c r="BN154" s="2296"/>
      <c r="BO154" s="2285"/>
      <c r="BP154" s="2699"/>
      <c r="BQ154" s="2684"/>
      <c r="BR154" s="2687"/>
      <c r="BS154" s="2684"/>
      <c r="BT154" s="2687"/>
      <c r="BU154" s="2644"/>
    </row>
    <row r="155" spans="1:73" s="541" customFormat="1" ht="105" x14ac:dyDescent="0.25">
      <c r="A155" s="620"/>
      <c r="B155" s="612"/>
      <c r="C155" s="611"/>
      <c r="D155" s="612"/>
      <c r="E155" s="2715"/>
      <c r="F155" s="2716"/>
      <c r="G155" s="2666"/>
      <c r="H155" s="2713"/>
      <c r="I155" s="2666"/>
      <c r="J155" s="2713"/>
      <c r="K155" s="2666"/>
      <c r="L155" s="2713"/>
      <c r="M155" s="2666"/>
      <c r="N155" s="2426"/>
      <c r="O155" s="2387"/>
      <c r="P155" s="2387"/>
      <c r="Q155" s="2326"/>
      <c r="R155" s="2426"/>
      <c r="S155" s="2707"/>
      <c r="T155" s="2710"/>
      <c r="U155" s="2429"/>
      <c r="V155" s="2429"/>
      <c r="W155" s="205" t="s">
        <v>668</v>
      </c>
      <c r="X155" s="72">
        <v>10000000</v>
      </c>
      <c r="Y155" s="72">
        <v>1268000</v>
      </c>
      <c r="Z155" s="72">
        <v>368000</v>
      </c>
      <c r="AA155" s="468" t="s">
        <v>667</v>
      </c>
      <c r="AB155" s="2705"/>
      <c r="AC155" s="2387"/>
      <c r="AD155" s="2448"/>
      <c r="AE155" s="2448"/>
      <c r="AF155" s="2448"/>
      <c r="AG155" s="2448"/>
      <c r="AH155" s="2448"/>
      <c r="AI155" s="2448"/>
      <c r="AJ155" s="2448"/>
      <c r="AK155" s="2448"/>
      <c r="AL155" s="2448"/>
      <c r="AM155" s="2448"/>
      <c r="AN155" s="2448"/>
      <c r="AO155" s="2448"/>
      <c r="AP155" s="2448"/>
      <c r="AQ155" s="2448"/>
      <c r="AR155" s="2448"/>
      <c r="AS155" s="2448"/>
      <c r="AT155" s="2448"/>
      <c r="AU155" s="2448"/>
      <c r="AV155" s="2448"/>
      <c r="AW155" s="2448"/>
      <c r="AX155" s="2448"/>
      <c r="AY155" s="2448"/>
      <c r="AZ155" s="2448"/>
      <c r="BA155" s="2448"/>
      <c r="BB155" s="2448"/>
      <c r="BC155" s="2448"/>
      <c r="BD155" s="2448"/>
      <c r="BE155" s="2448"/>
      <c r="BF155" s="2448"/>
      <c r="BG155" s="2448"/>
      <c r="BH155" s="2448"/>
      <c r="BI155" s="2448"/>
      <c r="BJ155" s="2387"/>
      <c r="BK155" s="2694"/>
      <c r="BL155" s="2694"/>
      <c r="BM155" s="2697"/>
      <c r="BN155" s="2296"/>
      <c r="BO155" s="2285"/>
      <c r="BP155" s="2699"/>
      <c r="BQ155" s="2684"/>
      <c r="BR155" s="2687"/>
      <c r="BS155" s="2684"/>
      <c r="BT155" s="2687"/>
      <c r="BU155" s="2644"/>
    </row>
    <row r="156" spans="1:73" s="541" customFormat="1" ht="90" x14ac:dyDescent="0.25">
      <c r="A156" s="620"/>
      <c r="B156" s="612"/>
      <c r="C156" s="611"/>
      <c r="D156" s="612"/>
      <c r="E156" s="613"/>
      <c r="F156" s="617"/>
      <c r="G156" s="2667"/>
      <c r="H156" s="2714"/>
      <c r="I156" s="2667"/>
      <c r="J156" s="2714"/>
      <c r="K156" s="2667"/>
      <c r="L156" s="2714"/>
      <c r="M156" s="2667"/>
      <c r="N156" s="2427"/>
      <c r="O156" s="2388"/>
      <c r="P156" s="2388"/>
      <c r="Q156" s="2327"/>
      <c r="R156" s="2427"/>
      <c r="S156" s="2708"/>
      <c r="T156" s="2711"/>
      <c r="U156" s="2430"/>
      <c r="V156" s="2430"/>
      <c r="W156" s="568" t="s">
        <v>669</v>
      </c>
      <c r="X156" s="467">
        <v>60660648</v>
      </c>
      <c r="Y156" s="467"/>
      <c r="Z156" s="467"/>
      <c r="AA156" s="468" t="s">
        <v>670</v>
      </c>
      <c r="AB156" s="2706"/>
      <c r="AC156" s="2388"/>
      <c r="AD156" s="2449"/>
      <c r="AE156" s="2449"/>
      <c r="AF156" s="2449"/>
      <c r="AG156" s="2449"/>
      <c r="AH156" s="2449"/>
      <c r="AI156" s="2449"/>
      <c r="AJ156" s="2449"/>
      <c r="AK156" s="2449"/>
      <c r="AL156" s="2449"/>
      <c r="AM156" s="2449"/>
      <c r="AN156" s="2449"/>
      <c r="AO156" s="2449"/>
      <c r="AP156" s="2449"/>
      <c r="AQ156" s="2449"/>
      <c r="AR156" s="2449"/>
      <c r="AS156" s="2449"/>
      <c r="AT156" s="2449"/>
      <c r="AU156" s="2449"/>
      <c r="AV156" s="2449"/>
      <c r="AW156" s="2449"/>
      <c r="AX156" s="2449"/>
      <c r="AY156" s="2449"/>
      <c r="AZ156" s="2449"/>
      <c r="BA156" s="2449"/>
      <c r="BB156" s="2449"/>
      <c r="BC156" s="2449"/>
      <c r="BD156" s="2449"/>
      <c r="BE156" s="2449"/>
      <c r="BF156" s="2449"/>
      <c r="BG156" s="2449"/>
      <c r="BH156" s="2449"/>
      <c r="BI156" s="2449"/>
      <c r="BJ156" s="2388"/>
      <c r="BK156" s="2695"/>
      <c r="BL156" s="2695"/>
      <c r="BM156" s="2698"/>
      <c r="BN156" s="508">
        <v>88</v>
      </c>
      <c r="BO156" s="252" t="s">
        <v>391</v>
      </c>
      <c r="BP156" s="2700"/>
      <c r="BQ156" s="2685"/>
      <c r="BR156" s="2688"/>
      <c r="BS156" s="2685"/>
      <c r="BT156" s="2688"/>
      <c r="BU156" s="2645"/>
    </row>
    <row r="157" spans="1:73" s="2" customFormat="1" ht="15.75" x14ac:dyDescent="0.25">
      <c r="A157" s="493"/>
      <c r="B157" s="102"/>
      <c r="C157" s="251"/>
      <c r="D157" s="102"/>
      <c r="E157" s="521">
        <v>4502</v>
      </c>
      <c r="F157" s="503" t="s">
        <v>395</v>
      </c>
      <c r="G157" s="503"/>
      <c r="H157" s="323"/>
      <c r="I157" s="503"/>
      <c r="J157" s="323"/>
      <c r="K157" s="503"/>
      <c r="L157" s="323"/>
      <c r="M157" s="503"/>
      <c r="N157" s="323"/>
      <c r="O157" s="503"/>
      <c r="P157" s="503"/>
      <c r="Q157" s="503"/>
      <c r="R157" s="323"/>
      <c r="S157" s="186"/>
      <c r="T157" s="322"/>
      <c r="U157" s="323"/>
      <c r="V157" s="323"/>
      <c r="W157" s="323"/>
      <c r="X157" s="490"/>
      <c r="Y157" s="490"/>
      <c r="Z157" s="490"/>
      <c r="AA157" s="569"/>
      <c r="AB157" s="192"/>
      <c r="AC157" s="323"/>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491"/>
      <c r="BL157" s="491"/>
      <c r="BM157" s="492"/>
      <c r="BN157" s="188"/>
      <c r="BO157" s="323"/>
      <c r="BP157" s="323"/>
      <c r="BQ157" s="188"/>
      <c r="BR157" s="188"/>
      <c r="BS157" s="188"/>
      <c r="BT157" s="188"/>
      <c r="BU157" s="323"/>
    </row>
    <row r="158" spans="1:73" s="541" customFormat="1" ht="95.25" customHeight="1" x14ac:dyDescent="0.25">
      <c r="A158" s="620"/>
      <c r="B158" s="612"/>
      <c r="C158" s="611"/>
      <c r="D158" s="612"/>
      <c r="E158" s="2689"/>
      <c r="F158" s="2691"/>
      <c r="G158" s="2682">
        <v>4502003</v>
      </c>
      <c r="H158" s="2681" t="s">
        <v>671</v>
      </c>
      <c r="I158" s="2682">
        <v>4502003</v>
      </c>
      <c r="J158" s="2681" t="s">
        <v>671</v>
      </c>
      <c r="K158" s="2682">
        <v>450200300</v>
      </c>
      <c r="L158" s="2681" t="s">
        <v>671</v>
      </c>
      <c r="M158" s="2682">
        <v>450200300</v>
      </c>
      <c r="N158" s="2681" t="s">
        <v>671</v>
      </c>
      <c r="O158" s="2254">
        <v>2</v>
      </c>
      <c r="P158" s="2392">
        <v>0</v>
      </c>
      <c r="Q158" s="2664" t="s">
        <v>672</v>
      </c>
      <c r="R158" s="2475" t="s">
        <v>673</v>
      </c>
      <c r="S158" s="2255">
        <f>SUM(X158:X159)/T158</f>
        <v>1</v>
      </c>
      <c r="T158" s="2680">
        <f>SUM(X158:X159)</f>
        <v>38000000</v>
      </c>
      <c r="U158" s="2679" t="s">
        <v>674</v>
      </c>
      <c r="V158" s="2679" t="s">
        <v>675</v>
      </c>
      <c r="W158" s="504" t="s">
        <v>676</v>
      </c>
      <c r="X158" s="72">
        <v>0</v>
      </c>
      <c r="Y158" s="467">
        <v>0</v>
      </c>
      <c r="Z158" s="467">
        <v>0</v>
      </c>
      <c r="AA158" s="468" t="s">
        <v>677</v>
      </c>
      <c r="AB158" s="2258">
        <v>20</v>
      </c>
      <c r="AC158" s="2679" t="s">
        <v>187</v>
      </c>
      <c r="AD158" s="2296">
        <v>295972</v>
      </c>
      <c r="AE158" s="2296"/>
      <c r="AF158" s="2296">
        <v>285580</v>
      </c>
      <c r="AG158" s="2296"/>
      <c r="AH158" s="2296">
        <v>135545</v>
      </c>
      <c r="AI158" s="2296"/>
      <c r="AJ158" s="2296">
        <v>44254</v>
      </c>
      <c r="AK158" s="2296"/>
      <c r="AL158" s="2296">
        <v>309146</v>
      </c>
      <c r="AM158" s="2296"/>
      <c r="AN158" s="2296">
        <v>92607</v>
      </c>
      <c r="AO158" s="2296"/>
      <c r="AP158" s="2296">
        <v>2145</v>
      </c>
      <c r="AQ158" s="2296"/>
      <c r="AR158" s="2296">
        <v>12718</v>
      </c>
      <c r="AS158" s="2296"/>
      <c r="AT158" s="2296">
        <v>26</v>
      </c>
      <c r="AU158" s="2296"/>
      <c r="AV158" s="2296">
        <v>37</v>
      </c>
      <c r="AW158" s="2296"/>
      <c r="AX158" s="2296">
        <v>0</v>
      </c>
      <c r="AY158" s="2296"/>
      <c r="AZ158" s="2296">
        <v>0</v>
      </c>
      <c r="BA158" s="2296"/>
      <c r="BB158" s="2296">
        <v>44350</v>
      </c>
      <c r="BC158" s="2296"/>
      <c r="BD158" s="2296">
        <v>21944</v>
      </c>
      <c r="BE158" s="2296"/>
      <c r="BF158" s="2296">
        <v>75687</v>
      </c>
      <c r="BG158" s="2296"/>
      <c r="BH158" s="2296">
        <v>581552</v>
      </c>
      <c r="BI158" s="2296"/>
      <c r="BJ158" s="2254">
        <v>0</v>
      </c>
      <c r="BK158" s="2676">
        <f>SUM(Y158:Y159)</f>
        <v>0</v>
      </c>
      <c r="BL158" s="2676">
        <f>SUM(Z158:Z159)</f>
        <v>0</v>
      </c>
      <c r="BM158" s="2677" t="e">
        <f>+BL158/BK158</f>
        <v>#DIV/0!</v>
      </c>
      <c r="BN158" s="2296">
        <v>20</v>
      </c>
      <c r="BO158" s="2285" t="s">
        <v>187</v>
      </c>
      <c r="BP158" s="2285" t="s">
        <v>422</v>
      </c>
      <c r="BQ158" s="2641">
        <v>44197</v>
      </c>
      <c r="BR158" s="2642"/>
      <c r="BS158" s="2641">
        <v>44561</v>
      </c>
      <c r="BT158" s="2642">
        <v>44490</v>
      </c>
      <c r="BU158" s="2643" t="s">
        <v>423</v>
      </c>
    </row>
    <row r="159" spans="1:73" s="541" customFormat="1" ht="91.5" customHeight="1" x14ac:dyDescent="0.25">
      <c r="A159" s="621"/>
      <c r="B159" s="614"/>
      <c r="C159" s="613"/>
      <c r="D159" s="614"/>
      <c r="E159" s="2690"/>
      <c r="F159" s="2692"/>
      <c r="G159" s="2682"/>
      <c r="H159" s="2681"/>
      <c r="I159" s="2682"/>
      <c r="J159" s="2681"/>
      <c r="K159" s="2682"/>
      <c r="L159" s="2681"/>
      <c r="M159" s="2682"/>
      <c r="N159" s="2681"/>
      <c r="O159" s="2254"/>
      <c r="P159" s="2388"/>
      <c r="Q159" s="2664"/>
      <c r="R159" s="2475"/>
      <c r="S159" s="2255"/>
      <c r="T159" s="2680"/>
      <c r="U159" s="2679"/>
      <c r="V159" s="2679"/>
      <c r="W159" s="504" t="s">
        <v>678</v>
      </c>
      <c r="X159" s="72">
        <v>38000000</v>
      </c>
      <c r="Y159" s="467">
        <v>0</v>
      </c>
      <c r="Z159" s="467">
        <v>0</v>
      </c>
      <c r="AA159" s="468" t="s">
        <v>677</v>
      </c>
      <c r="AB159" s="2258"/>
      <c r="AC159" s="2679"/>
      <c r="AD159" s="2296"/>
      <c r="AE159" s="2296"/>
      <c r="AF159" s="2296"/>
      <c r="AG159" s="2296"/>
      <c r="AH159" s="2296"/>
      <c r="AI159" s="2296"/>
      <c r="AJ159" s="2296"/>
      <c r="AK159" s="2296"/>
      <c r="AL159" s="2296"/>
      <c r="AM159" s="2296"/>
      <c r="AN159" s="2296"/>
      <c r="AO159" s="2296"/>
      <c r="AP159" s="2296"/>
      <c r="AQ159" s="2296"/>
      <c r="AR159" s="2296"/>
      <c r="AS159" s="2296"/>
      <c r="AT159" s="2296"/>
      <c r="AU159" s="2296"/>
      <c r="AV159" s="2296"/>
      <c r="AW159" s="2296"/>
      <c r="AX159" s="2296"/>
      <c r="AY159" s="2296"/>
      <c r="AZ159" s="2296"/>
      <c r="BA159" s="2296"/>
      <c r="BB159" s="2296"/>
      <c r="BC159" s="2296"/>
      <c r="BD159" s="2296"/>
      <c r="BE159" s="2296"/>
      <c r="BF159" s="2296"/>
      <c r="BG159" s="2296"/>
      <c r="BH159" s="2296"/>
      <c r="BI159" s="2296"/>
      <c r="BJ159" s="2254"/>
      <c r="BK159" s="2676"/>
      <c r="BL159" s="2676"/>
      <c r="BM159" s="2678"/>
      <c r="BN159" s="2296"/>
      <c r="BO159" s="2285"/>
      <c r="BP159" s="2285"/>
      <c r="BQ159" s="2641"/>
      <c r="BR159" s="2642"/>
      <c r="BS159" s="2641"/>
      <c r="BT159" s="2642"/>
      <c r="BU159" s="2645"/>
    </row>
    <row r="160" spans="1:73" ht="15.75" x14ac:dyDescent="0.25">
      <c r="A160" s="601">
        <v>3</v>
      </c>
      <c r="B160" s="2674" t="s">
        <v>679</v>
      </c>
      <c r="C160" s="2675"/>
      <c r="D160" s="2675"/>
      <c r="E160" s="2675"/>
      <c r="F160" s="2675"/>
      <c r="G160" s="2675"/>
      <c r="H160" s="2675"/>
      <c r="I160" s="2675"/>
      <c r="J160" s="298"/>
      <c r="K160" s="299"/>
      <c r="L160" s="298"/>
      <c r="M160" s="299"/>
      <c r="N160" s="298"/>
      <c r="O160" s="299"/>
      <c r="P160" s="299"/>
      <c r="Q160" s="299"/>
      <c r="R160" s="298"/>
      <c r="S160" s="302"/>
      <c r="T160" s="304"/>
      <c r="U160" s="298"/>
      <c r="V160" s="298"/>
      <c r="W160" s="298"/>
      <c r="X160" s="516"/>
      <c r="Y160" s="516"/>
      <c r="Z160" s="516"/>
      <c r="AA160" s="19"/>
      <c r="AB160" s="454"/>
      <c r="AC160" s="298"/>
      <c r="AD160" s="299"/>
      <c r="AE160" s="299"/>
      <c r="AF160" s="299"/>
      <c r="AG160" s="299"/>
      <c r="AH160" s="299"/>
      <c r="AI160" s="299"/>
      <c r="AJ160" s="299"/>
      <c r="AK160" s="299"/>
      <c r="AL160" s="299"/>
      <c r="AM160" s="299"/>
      <c r="AN160" s="299"/>
      <c r="AO160" s="299"/>
      <c r="AP160" s="299"/>
      <c r="AQ160" s="299"/>
      <c r="AR160" s="299"/>
      <c r="AS160" s="299"/>
      <c r="AT160" s="299"/>
      <c r="AU160" s="299"/>
      <c r="AV160" s="299"/>
      <c r="AW160" s="299"/>
      <c r="AX160" s="299"/>
      <c r="AY160" s="299"/>
      <c r="AZ160" s="299"/>
      <c r="BA160" s="299"/>
      <c r="BB160" s="299"/>
      <c r="BC160" s="299"/>
      <c r="BD160" s="299"/>
      <c r="BE160" s="299"/>
      <c r="BF160" s="299"/>
      <c r="BG160" s="299"/>
      <c r="BH160" s="299"/>
      <c r="BI160" s="299"/>
      <c r="BJ160" s="299"/>
      <c r="BK160" s="517"/>
      <c r="BL160" s="517"/>
      <c r="BM160" s="455"/>
      <c r="BN160" s="299"/>
      <c r="BO160" s="298"/>
      <c r="BP160" s="298"/>
      <c r="BQ160" s="306"/>
      <c r="BR160" s="306"/>
      <c r="BS160" s="306"/>
      <c r="BT160" s="306"/>
      <c r="BU160" s="298"/>
    </row>
    <row r="161" spans="1:73" s="70" customFormat="1" ht="15.75" x14ac:dyDescent="0.25">
      <c r="A161" s="383"/>
      <c r="B161" s="623"/>
      <c r="C161" s="474">
        <v>40</v>
      </c>
      <c r="D161" s="2656" t="s">
        <v>640</v>
      </c>
      <c r="E161" s="2656"/>
      <c r="F161" s="2656"/>
      <c r="G161" s="2656"/>
      <c r="H161" s="2656"/>
      <c r="I161" s="2656"/>
      <c r="J161" s="2656"/>
      <c r="K161" s="2656"/>
      <c r="L161" s="2656"/>
      <c r="M161" s="538"/>
      <c r="N161" s="506"/>
      <c r="O161" s="477"/>
      <c r="P161" s="477"/>
      <c r="Q161" s="477"/>
      <c r="R161" s="478"/>
      <c r="S161" s="479"/>
      <c r="T161" s="500"/>
      <c r="U161" s="478"/>
      <c r="V161" s="478"/>
      <c r="W161" s="547"/>
      <c r="X161" s="501"/>
      <c r="Y161" s="501"/>
      <c r="Z161" s="501"/>
      <c r="AA161" s="570"/>
      <c r="AB161" s="485"/>
      <c r="AC161" s="478"/>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7"/>
      <c r="AY161" s="477"/>
      <c r="AZ161" s="477"/>
      <c r="BA161" s="477"/>
      <c r="BB161" s="477"/>
      <c r="BC161" s="477"/>
      <c r="BD161" s="477"/>
      <c r="BE161" s="477"/>
      <c r="BF161" s="477"/>
      <c r="BG161" s="477"/>
      <c r="BH161" s="477"/>
      <c r="BI161" s="477"/>
      <c r="BJ161" s="477"/>
      <c r="BK161" s="501"/>
      <c r="BL161" s="501"/>
      <c r="BM161" s="479"/>
      <c r="BN161" s="477"/>
      <c r="BO161" s="478"/>
      <c r="BP161" s="478"/>
      <c r="BQ161" s="489"/>
      <c r="BR161" s="489"/>
      <c r="BS161" s="489"/>
      <c r="BT161" s="489"/>
      <c r="BU161" s="481"/>
    </row>
    <row r="162" spans="1:73" ht="15.75" x14ac:dyDescent="0.25">
      <c r="A162" s="396"/>
      <c r="B162" s="397"/>
      <c r="C162" s="389"/>
      <c r="D162" s="390"/>
      <c r="E162" s="188">
        <v>34</v>
      </c>
      <c r="F162" s="2657" t="s">
        <v>680</v>
      </c>
      <c r="G162" s="2657"/>
      <c r="H162" s="2657"/>
      <c r="I162" s="2657"/>
      <c r="J162" s="2657"/>
      <c r="K162" s="2657"/>
      <c r="L162" s="2657"/>
      <c r="M162" s="2657"/>
      <c r="N162" s="2657"/>
      <c r="O162" s="2657"/>
      <c r="P162" s="503"/>
      <c r="Q162" s="188"/>
      <c r="R162" s="323"/>
      <c r="S162" s="186"/>
      <c r="T162" s="322"/>
      <c r="U162" s="323"/>
      <c r="V162" s="323"/>
      <c r="W162" s="323"/>
      <c r="X162" s="490"/>
      <c r="Y162" s="490"/>
      <c r="Z162" s="490"/>
      <c r="AA162" s="57"/>
      <c r="AB162" s="192"/>
      <c r="AC162" s="323"/>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491"/>
      <c r="BL162" s="491"/>
      <c r="BM162" s="492"/>
      <c r="BN162" s="188"/>
      <c r="BO162" s="323"/>
      <c r="BP162" s="323"/>
      <c r="BQ162" s="324"/>
      <c r="BR162" s="324"/>
      <c r="BS162" s="324"/>
      <c r="BT162" s="324"/>
      <c r="BU162" s="323"/>
    </row>
    <row r="163" spans="1:73" ht="75" x14ac:dyDescent="0.25">
      <c r="A163" s="387"/>
      <c r="B163" s="388"/>
      <c r="C163" s="387"/>
      <c r="D163" s="388"/>
      <c r="E163" s="2658"/>
      <c r="F163" s="2661"/>
      <c r="G163" s="571" t="s">
        <v>681</v>
      </c>
      <c r="H163" s="572" t="s">
        <v>682</v>
      </c>
      <c r="I163" s="571" t="s">
        <v>681</v>
      </c>
      <c r="J163" s="572" t="s">
        <v>682</v>
      </c>
      <c r="K163" s="571">
        <v>400301802</v>
      </c>
      <c r="L163" s="205" t="s">
        <v>683</v>
      </c>
      <c r="M163" s="571">
        <v>400301802</v>
      </c>
      <c r="N163" s="205" t="s">
        <v>683</v>
      </c>
      <c r="O163" s="573">
        <v>1</v>
      </c>
      <c r="P163" s="472">
        <v>0</v>
      </c>
      <c r="Q163" s="2664" t="s">
        <v>684</v>
      </c>
      <c r="R163" s="2475" t="s">
        <v>685</v>
      </c>
      <c r="S163" s="574">
        <f>X163/T163</f>
        <v>0.24362284932544206</v>
      </c>
      <c r="T163" s="2655">
        <f>SUM(X163:X171)</f>
        <v>3500159641.6800003</v>
      </c>
      <c r="U163" s="2476" t="s">
        <v>686</v>
      </c>
      <c r="V163" s="2476" t="s">
        <v>687</v>
      </c>
      <c r="W163" s="575" t="s">
        <v>682</v>
      </c>
      <c r="X163" s="523">
        <v>852718865</v>
      </c>
      <c r="Y163" s="523">
        <v>0</v>
      </c>
      <c r="Z163" s="523">
        <v>0</v>
      </c>
      <c r="AA163" s="342" t="s">
        <v>688</v>
      </c>
      <c r="AB163" s="67">
        <v>27</v>
      </c>
      <c r="AC163" s="347" t="s">
        <v>689</v>
      </c>
      <c r="AD163" s="2654">
        <v>295972</v>
      </c>
      <c r="AE163" s="2654"/>
      <c r="AF163" s="2654">
        <v>294321</v>
      </c>
      <c r="AG163" s="2654"/>
      <c r="AH163" s="2654">
        <v>132302</v>
      </c>
      <c r="AI163" s="2654"/>
      <c r="AJ163" s="2654">
        <v>43426</v>
      </c>
      <c r="AK163" s="2654"/>
      <c r="AL163" s="2654">
        <v>313940</v>
      </c>
      <c r="AM163" s="2654"/>
      <c r="AN163" s="2654">
        <v>100625</v>
      </c>
      <c r="AO163" s="2654"/>
      <c r="AP163" s="2654">
        <v>2145</v>
      </c>
      <c r="AQ163" s="2654"/>
      <c r="AR163" s="2654">
        <v>12718</v>
      </c>
      <c r="AS163" s="2654"/>
      <c r="AT163" s="2654">
        <v>36</v>
      </c>
      <c r="AU163" s="2654"/>
      <c r="AV163" s="2654">
        <v>0</v>
      </c>
      <c r="AW163" s="2654"/>
      <c r="AX163" s="2654">
        <v>0</v>
      </c>
      <c r="AY163" s="2654"/>
      <c r="AZ163" s="2654">
        <v>0</v>
      </c>
      <c r="BA163" s="2654"/>
      <c r="BB163" s="2654">
        <v>70</v>
      </c>
      <c r="BC163" s="2654"/>
      <c r="BD163" s="2654">
        <v>21944</v>
      </c>
      <c r="BE163" s="2654"/>
      <c r="BF163" s="2654">
        <v>75687</v>
      </c>
      <c r="BG163" s="2654"/>
      <c r="BH163" s="2654">
        <v>581552</v>
      </c>
      <c r="BI163" s="2654"/>
      <c r="BJ163" s="2654">
        <v>0</v>
      </c>
      <c r="BK163" s="2652">
        <f>SUM(Y163:Y171)</f>
        <v>0</v>
      </c>
      <c r="BL163" s="2652">
        <f>SUM(Z163:Z171)</f>
        <v>0</v>
      </c>
      <c r="BM163" s="2255" t="e">
        <f>+BL163/BK163</f>
        <v>#DIV/0!</v>
      </c>
      <c r="BN163" s="67">
        <v>27</v>
      </c>
      <c r="BO163" s="347" t="s">
        <v>689</v>
      </c>
      <c r="BP163" s="2653" t="s">
        <v>690</v>
      </c>
      <c r="BQ163" s="2641">
        <v>44197</v>
      </c>
      <c r="BR163" s="2642"/>
      <c r="BS163" s="2641">
        <v>44561</v>
      </c>
      <c r="BT163" s="2642">
        <v>44561</v>
      </c>
      <c r="BU163" s="2643" t="s">
        <v>423</v>
      </c>
    </row>
    <row r="164" spans="1:73" ht="75" x14ac:dyDescent="0.25">
      <c r="A164" s="387"/>
      <c r="B164" s="388"/>
      <c r="C164" s="387"/>
      <c r="D164" s="388"/>
      <c r="E164" s="2659"/>
      <c r="F164" s="2662"/>
      <c r="G164" s="2646" t="s">
        <v>691</v>
      </c>
      <c r="H164" s="2649" t="s">
        <v>692</v>
      </c>
      <c r="I164" s="2646" t="s">
        <v>691</v>
      </c>
      <c r="J164" s="2649" t="s">
        <v>692</v>
      </c>
      <c r="K164" s="2646">
        <v>400302500</v>
      </c>
      <c r="L164" s="2649" t="s">
        <v>693</v>
      </c>
      <c r="M164" s="2646">
        <v>400302500</v>
      </c>
      <c r="N164" s="2649" t="s">
        <v>693</v>
      </c>
      <c r="O164" s="2646">
        <v>4</v>
      </c>
      <c r="P164" s="2665">
        <v>0</v>
      </c>
      <c r="Q164" s="2664"/>
      <c r="R164" s="2475"/>
      <c r="S164" s="2668">
        <f>SUM(X164:X167)/T163</f>
        <v>0.24404724501937303</v>
      </c>
      <c r="T164" s="2655"/>
      <c r="U164" s="2476"/>
      <c r="V164" s="2476"/>
      <c r="W164" s="2671" t="s">
        <v>692</v>
      </c>
      <c r="X164" s="523">
        <v>230774762</v>
      </c>
      <c r="Y164" s="523">
        <v>0</v>
      </c>
      <c r="Z164" s="523">
        <v>0</v>
      </c>
      <c r="AA164" s="342" t="s">
        <v>694</v>
      </c>
      <c r="AB164" s="67">
        <v>27</v>
      </c>
      <c r="AC164" s="347" t="s">
        <v>689</v>
      </c>
      <c r="AD164" s="2654"/>
      <c r="AE164" s="2654"/>
      <c r="AF164" s="2654"/>
      <c r="AG164" s="2654"/>
      <c r="AH164" s="2654"/>
      <c r="AI164" s="2654"/>
      <c r="AJ164" s="2654"/>
      <c r="AK164" s="2654"/>
      <c r="AL164" s="2654"/>
      <c r="AM164" s="2654"/>
      <c r="AN164" s="2654"/>
      <c r="AO164" s="2654"/>
      <c r="AP164" s="2654"/>
      <c r="AQ164" s="2654"/>
      <c r="AR164" s="2654"/>
      <c r="AS164" s="2654"/>
      <c r="AT164" s="2654"/>
      <c r="AU164" s="2654"/>
      <c r="AV164" s="2654"/>
      <c r="AW164" s="2654"/>
      <c r="AX164" s="2654"/>
      <c r="AY164" s="2654"/>
      <c r="AZ164" s="2654"/>
      <c r="BA164" s="2654"/>
      <c r="BB164" s="2654"/>
      <c r="BC164" s="2654"/>
      <c r="BD164" s="2654"/>
      <c r="BE164" s="2654"/>
      <c r="BF164" s="2654"/>
      <c r="BG164" s="2654"/>
      <c r="BH164" s="2654"/>
      <c r="BI164" s="2654"/>
      <c r="BJ164" s="2654"/>
      <c r="BK164" s="2652"/>
      <c r="BL164" s="2652"/>
      <c r="BM164" s="2255"/>
      <c r="BN164" s="67">
        <v>27</v>
      </c>
      <c r="BO164" s="347" t="s">
        <v>689</v>
      </c>
      <c r="BP164" s="2653"/>
      <c r="BQ164" s="2641"/>
      <c r="BR164" s="2642"/>
      <c r="BS164" s="2641"/>
      <c r="BT164" s="2642"/>
      <c r="BU164" s="2644"/>
    </row>
    <row r="165" spans="1:73" ht="30" x14ac:dyDescent="0.25">
      <c r="A165" s="387"/>
      <c r="B165" s="388"/>
      <c r="C165" s="387"/>
      <c r="D165" s="388"/>
      <c r="E165" s="2659"/>
      <c r="F165" s="2662"/>
      <c r="G165" s="2647"/>
      <c r="H165" s="2650"/>
      <c r="I165" s="2647"/>
      <c r="J165" s="2650"/>
      <c r="K165" s="2647"/>
      <c r="L165" s="2650"/>
      <c r="M165" s="2647"/>
      <c r="N165" s="2650"/>
      <c r="O165" s="2647"/>
      <c r="P165" s="2666"/>
      <c r="Q165" s="2664"/>
      <c r="R165" s="2475"/>
      <c r="S165" s="2669"/>
      <c r="T165" s="2655"/>
      <c r="U165" s="2476"/>
      <c r="V165" s="2476"/>
      <c r="W165" s="2672"/>
      <c r="X165" s="523">
        <v>450000000</v>
      </c>
      <c r="Y165" s="523">
        <v>0</v>
      </c>
      <c r="Z165" s="523">
        <v>0</v>
      </c>
      <c r="AA165" s="342" t="s">
        <v>695</v>
      </c>
      <c r="AB165" s="550" t="s">
        <v>454</v>
      </c>
      <c r="AC165" s="347" t="s">
        <v>652</v>
      </c>
      <c r="AD165" s="2654"/>
      <c r="AE165" s="2654"/>
      <c r="AF165" s="2654"/>
      <c r="AG165" s="2654"/>
      <c r="AH165" s="2654"/>
      <c r="AI165" s="2654"/>
      <c r="AJ165" s="2654"/>
      <c r="AK165" s="2654"/>
      <c r="AL165" s="2654"/>
      <c r="AM165" s="2654"/>
      <c r="AN165" s="2654"/>
      <c r="AO165" s="2654"/>
      <c r="AP165" s="2654"/>
      <c r="AQ165" s="2654"/>
      <c r="AR165" s="2654"/>
      <c r="AS165" s="2654"/>
      <c r="AT165" s="2654"/>
      <c r="AU165" s="2654"/>
      <c r="AV165" s="2654"/>
      <c r="AW165" s="2654"/>
      <c r="AX165" s="2654"/>
      <c r="AY165" s="2654"/>
      <c r="AZ165" s="2654"/>
      <c r="BA165" s="2654"/>
      <c r="BB165" s="2654"/>
      <c r="BC165" s="2654"/>
      <c r="BD165" s="2654"/>
      <c r="BE165" s="2654"/>
      <c r="BF165" s="2654"/>
      <c r="BG165" s="2654"/>
      <c r="BH165" s="2654"/>
      <c r="BI165" s="2654"/>
      <c r="BJ165" s="2654"/>
      <c r="BK165" s="2652"/>
      <c r="BL165" s="2652"/>
      <c r="BM165" s="2255"/>
      <c r="BN165" s="576" t="s">
        <v>454</v>
      </c>
      <c r="BO165" s="504" t="s">
        <v>652</v>
      </c>
      <c r="BP165" s="2653"/>
      <c r="BQ165" s="2641"/>
      <c r="BR165" s="2642"/>
      <c r="BS165" s="2641"/>
      <c r="BT165" s="2642"/>
      <c r="BU165" s="2644"/>
    </row>
    <row r="166" spans="1:73" ht="45" x14ac:dyDescent="0.25">
      <c r="A166" s="387"/>
      <c r="B166" s="388"/>
      <c r="C166" s="387"/>
      <c r="D166" s="388"/>
      <c r="E166" s="2659"/>
      <c r="F166" s="2662"/>
      <c r="G166" s="2647"/>
      <c r="H166" s="2650"/>
      <c r="I166" s="2647"/>
      <c r="J166" s="2650"/>
      <c r="K166" s="2647"/>
      <c r="L166" s="2650"/>
      <c r="M166" s="2647"/>
      <c r="N166" s="2650"/>
      <c r="O166" s="2647"/>
      <c r="P166" s="2666"/>
      <c r="Q166" s="2664"/>
      <c r="R166" s="2475"/>
      <c r="S166" s="2669"/>
      <c r="T166" s="2655"/>
      <c r="U166" s="2476"/>
      <c r="V166" s="2476"/>
      <c r="W166" s="2672"/>
      <c r="X166" s="523">
        <v>155000000</v>
      </c>
      <c r="Y166" s="523"/>
      <c r="Z166" s="523"/>
      <c r="AA166" s="342" t="s">
        <v>696</v>
      </c>
      <c r="AB166" s="550" t="s">
        <v>697</v>
      </c>
      <c r="AC166" s="66" t="s">
        <v>698</v>
      </c>
      <c r="AD166" s="2654"/>
      <c r="AE166" s="2654"/>
      <c r="AF166" s="2654"/>
      <c r="AG166" s="2654"/>
      <c r="AH166" s="2654"/>
      <c r="AI166" s="2654"/>
      <c r="AJ166" s="2654"/>
      <c r="AK166" s="2654"/>
      <c r="AL166" s="2654"/>
      <c r="AM166" s="2654"/>
      <c r="AN166" s="2654"/>
      <c r="AO166" s="2654"/>
      <c r="AP166" s="2654"/>
      <c r="AQ166" s="2654"/>
      <c r="AR166" s="2654"/>
      <c r="AS166" s="2654"/>
      <c r="AT166" s="2654"/>
      <c r="AU166" s="2654"/>
      <c r="AV166" s="2654"/>
      <c r="AW166" s="2654"/>
      <c r="AX166" s="2654"/>
      <c r="AY166" s="2654"/>
      <c r="AZ166" s="2654"/>
      <c r="BA166" s="2654"/>
      <c r="BB166" s="2654"/>
      <c r="BC166" s="2654"/>
      <c r="BD166" s="2654"/>
      <c r="BE166" s="2654"/>
      <c r="BF166" s="2654"/>
      <c r="BG166" s="2654"/>
      <c r="BH166" s="2654"/>
      <c r="BI166" s="2654"/>
      <c r="BJ166" s="2654"/>
      <c r="BK166" s="2652"/>
      <c r="BL166" s="2652"/>
      <c r="BM166" s="2255"/>
      <c r="BN166" s="550" t="s">
        <v>697</v>
      </c>
      <c r="BO166" s="347" t="s">
        <v>698</v>
      </c>
      <c r="BP166" s="2653"/>
      <c r="BQ166" s="2641"/>
      <c r="BR166" s="2642"/>
      <c r="BS166" s="2641"/>
      <c r="BT166" s="2642"/>
      <c r="BU166" s="2644"/>
    </row>
    <row r="167" spans="1:73" ht="60" x14ac:dyDescent="0.25">
      <c r="A167" s="387"/>
      <c r="B167" s="388"/>
      <c r="C167" s="387"/>
      <c r="D167" s="388"/>
      <c r="E167" s="2659"/>
      <c r="F167" s="2662"/>
      <c r="G167" s="2648"/>
      <c r="H167" s="2651"/>
      <c r="I167" s="2648"/>
      <c r="J167" s="2651"/>
      <c r="K167" s="2648"/>
      <c r="L167" s="2651"/>
      <c r="M167" s="2648"/>
      <c r="N167" s="2651"/>
      <c r="O167" s="2648"/>
      <c r="P167" s="2667"/>
      <c r="Q167" s="2664"/>
      <c r="R167" s="2475"/>
      <c r="S167" s="2670"/>
      <c r="T167" s="2655"/>
      <c r="U167" s="2476"/>
      <c r="V167" s="2476"/>
      <c r="W167" s="2673"/>
      <c r="X167" s="523">
        <v>18429555.68</v>
      </c>
      <c r="Y167" s="523"/>
      <c r="Z167" s="523"/>
      <c r="AA167" s="342" t="s">
        <v>699</v>
      </c>
      <c r="AB167" s="550" t="s">
        <v>700</v>
      </c>
      <c r="AC167" s="66" t="s">
        <v>701</v>
      </c>
      <c r="AD167" s="2654"/>
      <c r="AE167" s="2654"/>
      <c r="AF167" s="2654"/>
      <c r="AG167" s="2654"/>
      <c r="AH167" s="2654"/>
      <c r="AI167" s="2654"/>
      <c r="AJ167" s="2654"/>
      <c r="AK167" s="2654"/>
      <c r="AL167" s="2654"/>
      <c r="AM167" s="2654"/>
      <c r="AN167" s="2654"/>
      <c r="AO167" s="2654"/>
      <c r="AP167" s="2654"/>
      <c r="AQ167" s="2654"/>
      <c r="AR167" s="2654"/>
      <c r="AS167" s="2654"/>
      <c r="AT167" s="2654"/>
      <c r="AU167" s="2654"/>
      <c r="AV167" s="2654"/>
      <c r="AW167" s="2654"/>
      <c r="AX167" s="2654"/>
      <c r="AY167" s="2654"/>
      <c r="AZ167" s="2654"/>
      <c r="BA167" s="2654"/>
      <c r="BB167" s="2654"/>
      <c r="BC167" s="2654"/>
      <c r="BD167" s="2654"/>
      <c r="BE167" s="2654"/>
      <c r="BF167" s="2654"/>
      <c r="BG167" s="2654"/>
      <c r="BH167" s="2654"/>
      <c r="BI167" s="2654"/>
      <c r="BJ167" s="2654"/>
      <c r="BK167" s="2652"/>
      <c r="BL167" s="2652"/>
      <c r="BM167" s="2255"/>
      <c r="BN167" s="550" t="s">
        <v>700</v>
      </c>
      <c r="BO167" s="347" t="s">
        <v>702</v>
      </c>
      <c r="BP167" s="2653"/>
      <c r="BQ167" s="2641"/>
      <c r="BR167" s="2642"/>
      <c r="BS167" s="2641"/>
      <c r="BT167" s="2642"/>
      <c r="BU167" s="2644"/>
    </row>
    <row r="168" spans="1:73" ht="105" x14ac:dyDescent="0.25">
      <c r="A168" s="387"/>
      <c r="B168" s="388"/>
      <c r="C168" s="387"/>
      <c r="D168" s="388"/>
      <c r="E168" s="2659"/>
      <c r="F168" s="2662"/>
      <c r="G168" s="571" t="s">
        <v>703</v>
      </c>
      <c r="H168" s="577" t="s">
        <v>704</v>
      </c>
      <c r="I168" s="571" t="s">
        <v>703</v>
      </c>
      <c r="J168" s="577" t="s">
        <v>704</v>
      </c>
      <c r="K168" s="571">
        <v>400302600</v>
      </c>
      <c r="L168" s="578" t="s">
        <v>705</v>
      </c>
      <c r="M168" s="571">
        <v>400302600</v>
      </c>
      <c r="N168" s="578" t="s">
        <v>705</v>
      </c>
      <c r="O168" s="573">
        <v>1</v>
      </c>
      <c r="P168" s="472">
        <v>0</v>
      </c>
      <c r="Q168" s="2664"/>
      <c r="R168" s="2475"/>
      <c r="S168" s="574">
        <f>X168/T163</f>
        <v>0.22434304128571222</v>
      </c>
      <c r="T168" s="2655"/>
      <c r="U168" s="2476"/>
      <c r="V168" s="2476"/>
      <c r="W168" s="578" t="s">
        <v>705</v>
      </c>
      <c r="X168" s="523">
        <v>785236459</v>
      </c>
      <c r="Y168" s="524">
        <v>0</v>
      </c>
      <c r="Z168" s="524">
        <v>0</v>
      </c>
      <c r="AA168" s="468" t="s">
        <v>706</v>
      </c>
      <c r="AB168" s="67">
        <v>27</v>
      </c>
      <c r="AC168" s="347" t="s">
        <v>689</v>
      </c>
      <c r="AD168" s="2654"/>
      <c r="AE168" s="2654"/>
      <c r="AF168" s="2654"/>
      <c r="AG168" s="2654"/>
      <c r="AH168" s="2654"/>
      <c r="AI168" s="2654"/>
      <c r="AJ168" s="2654"/>
      <c r="AK168" s="2654"/>
      <c r="AL168" s="2654"/>
      <c r="AM168" s="2654"/>
      <c r="AN168" s="2654"/>
      <c r="AO168" s="2654"/>
      <c r="AP168" s="2654"/>
      <c r="AQ168" s="2654"/>
      <c r="AR168" s="2654"/>
      <c r="AS168" s="2654"/>
      <c r="AT168" s="2654"/>
      <c r="AU168" s="2654"/>
      <c r="AV168" s="2654"/>
      <c r="AW168" s="2654"/>
      <c r="AX168" s="2654"/>
      <c r="AY168" s="2654"/>
      <c r="AZ168" s="2654"/>
      <c r="BA168" s="2654"/>
      <c r="BB168" s="2654"/>
      <c r="BC168" s="2654"/>
      <c r="BD168" s="2654"/>
      <c r="BE168" s="2654"/>
      <c r="BF168" s="2654"/>
      <c r="BG168" s="2654"/>
      <c r="BH168" s="2654"/>
      <c r="BI168" s="2654"/>
      <c r="BJ168" s="2654"/>
      <c r="BK168" s="2652"/>
      <c r="BL168" s="2652"/>
      <c r="BM168" s="2255"/>
      <c r="BN168" s="67">
        <v>27</v>
      </c>
      <c r="BO168" s="347" t="s">
        <v>689</v>
      </c>
      <c r="BP168" s="2653"/>
      <c r="BQ168" s="2641"/>
      <c r="BR168" s="2642"/>
      <c r="BS168" s="2641"/>
      <c r="BT168" s="2642"/>
      <c r="BU168" s="2644"/>
    </row>
    <row r="169" spans="1:73" ht="105" x14ac:dyDescent="0.25">
      <c r="A169" s="387"/>
      <c r="B169" s="388"/>
      <c r="C169" s="387"/>
      <c r="D169" s="388"/>
      <c r="E169" s="2659"/>
      <c r="F169" s="2662"/>
      <c r="G169" s="571" t="s">
        <v>707</v>
      </c>
      <c r="H169" s="572" t="s">
        <v>708</v>
      </c>
      <c r="I169" s="571" t="s">
        <v>707</v>
      </c>
      <c r="J169" s="572" t="s">
        <v>708</v>
      </c>
      <c r="K169" s="571">
        <v>400302801</v>
      </c>
      <c r="L169" s="205" t="s">
        <v>709</v>
      </c>
      <c r="M169" s="571">
        <v>400302801</v>
      </c>
      <c r="N169" s="205" t="s">
        <v>709</v>
      </c>
      <c r="O169" s="573">
        <v>4</v>
      </c>
      <c r="P169" s="472">
        <v>0</v>
      </c>
      <c r="Q169" s="2664"/>
      <c r="R169" s="2475"/>
      <c r="S169" s="574">
        <f>X169/T163</f>
        <v>7.971064995940759E-2</v>
      </c>
      <c r="T169" s="2655"/>
      <c r="U169" s="2476"/>
      <c r="V169" s="2476"/>
      <c r="W169" s="572" t="s">
        <v>708</v>
      </c>
      <c r="X169" s="523">
        <v>279000000</v>
      </c>
      <c r="Y169" s="524">
        <v>0</v>
      </c>
      <c r="Z169" s="524">
        <v>0</v>
      </c>
      <c r="AA169" s="468" t="s">
        <v>710</v>
      </c>
      <c r="AB169" s="67">
        <v>27</v>
      </c>
      <c r="AC169" s="347" t="s">
        <v>689</v>
      </c>
      <c r="AD169" s="2654"/>
      <c r="AE169" s="2654"/>
      <c r="AF169" s="2654"/>
      <c r="AG169" s="2654"/>
      <c r="AH169" s="2654"/>
      <c r="AI169" s="2654"/>
      <c r="AJ169" s="2654"/>
      <c r="AK169" s="2654"/>
      <c r="AL169" s="2654"/>
      <c r="AM169" s="2654"/>
      <c r="AN169" s="2654"/>
      <c r="AO169" s="2654"/>
      <c r="AP169" s="2654"/>
      <c r="AQ169" s="2654"/>
      <c r="AR169" s="2654"/>
      <c r="AS169" s="2654"/>
      <c r="AT169" s="2654"/>
      <c r="AU169" s="2654"/>
      <c r="AV169" s="2654"/>
      <c r="AW169" s="2654"/>
      <c r="AX169" s="2654"/>
      <c r="AY169" s="2654"/>
      <c r="AZ169" s="2654"/>
      <c r="BA169" s="2654"/>
      <c r="BB169" s="2654"/>
      <c r="BC169" s="2654"/>
      <c r="BD169" s="2654"/>
      <c r="BE169" s="2654"/>
      <c r="BF169" s="2654"/>
      <c r="BG169" s="2654"/>
      <c r="BH169" s="2654"/>
      <c r="BI169" s="2654"/>
      <c r="BJ169" s="2654"/>
      <c r="BK169" s="2652"/>
      <c r="BL169" s="2652"/>
      <c r="BM169" s="2255"/>
      <c r="BN169" s="67">
        <v>27</v>
      </c>
      <c r="BO169" s="347" t="s">
        <v>689</v>
      </c>
      <c r="BP169" s="2653"/>
      <c r="BQ169" s="2641"/>
      <c r="BR169" s="2642"/>
      <c r="BS169" s="2641"/>
      <c r="BT169" s="2642"/>
      <c r="BU169" s="2644"/>
    </row>
    <row r="170" spans="1:73" ht="75" x14ac:dyDescent="0.25">
      <c r="A170" s="387"/>
      <c r="B170" s="388"/>
      <c r="C170" s="387"/>
      <c r="D170" s="388"/>
      <c r="E170" s="2659"/>
      <c r="F170" s="2662"/>
      <c r="G170" s="571">
        <v>4003042</v>
      </c>
      <c r="H170" s="572" t="s">
        <v>711</v>
      </c>
      <c r="I170" s="571">
        <v>4003042</v>
      </c>
      <c r="J170" s="572" t="s">
        <v>711</v>
      </c>
      <c r="K170" s="571">
        <v>400304200</v>
      </c>
      <c r="L170" s="205" t="s">
        <v>712</v>
      </c>
      <c r="M170" s="571">
        <v>400304200</v>
      </c>
      <c r="N170" s="205" t="s">
        <v>712</v>
      </c>
      <c r="O170" s="573">
        <v>3</v>
      </c>
      <c r="P170" s="472">
        <v>0</v>
      </c>
      <c r="Q170" s="2664"/>
      <c r="R170" s="2475"/>
      <c r="S170" s="574">
        <f>X170/T163</f>
        <v>0.17970608897658558</v>
      </c>
      <c r="T170" s="2655"/>
      <c r="U170" s="2476"/>
      <c r="V170" s="2476"/>
      <c r="W170" s="572" t="s">
        <v>711</v>
      </c>
      <c r="X170" s="523">
        <v>629000000</v>
      </c>
      <c r="Y170" s="524">
        <v>0</v>
      </c>
      <c r="Z170" s="524">
        <v>0</v>
      </c>
      <c r="AA170" s="468" t="s">
        <v>713</v>
      </c>
      <c r="AB170" s="67">
        <v>27</v>
      </c>
      <c r="AC170" s="347" t="s">
        <v>689</v>
      </c>
      <c r="AD170" s="2654"/>
      <c r="AE170" s="2654"/>
      <c r="AF170" s="2654"/>
      <c r="AG170" s="2654"/>
      <c r="AH170" s="2654"/>
      <c r="AI170" s="2654"/>
      <c r="AJ170" s="2654"/>
      <c r="AK170" s="2654"/>
      <c r="AL170" s="2654"/>
      <c r="AM170" s="2654"/>
      <c r="AN170" s="2654"/>
      <c r="AO170" s="2654"/>
      <c r="AP170" s="2654"/>
      <c r="AQ170" s="2654"/>
      <c r="AR170" s="2654"/>
      <c r="AS170" s="2654"/>
      <c r="AT170" s="2654"/>
      <c r="AU170" s="2654"/>
      <c r="AV170" s="2654"/>
      <c r="AW170" s="2654"/>
      <c r="AX170" s="2654"/>
      <c r="AY170" s="2654"/>
      <c r="AZ170" s="2654"/>
      <c r="BA170" s="2654"/>
      <c r="BB170" s="2654"/>
      <c r="BC170" s="2654"/>
      <c r="BD170" s="2654"/>
      <c r="BE170" s="2654"/>
      <c r="BF170" s="2654"/>
      <c r="BG170" s="2654"/>
      <c r="BH170" s="2654"/>
      <c r="BI170" s="2654"/>
      <c r="BJ170" s="2654"/>
      <c r="BK170" s="2652"/>
      <c r="BL170" s="2652"/>
      <c r="BM170" s="2255"/>
      <c r="BN170" s="67">
        <v>27</v>
      </c>
      <c r="BO170" s="347" t="s">
        <v>689</v>
      </c>
      <c r="BP170" s="2653"/>
      <c r="BQ170" s="2641"/>
      <c r="BR170" s="2642"/>
      <c r="BS170" s="2641"/>
      <c r="BT170" s="2642"/>
      <c r="BU170" s="2644"/>
    </row>
    <row r="171" spans="1:73" ht="105" x14ac:dyDescent="0.25">
      <c r="A171" s="624"/>
      <c r="B171" s="625"/>
      <c r="C171" s="624"/>
      <c r="D171" s="625"/>
      <c r="E171" s="2660"/>
      <c r="F171" s="2663"/>
      <c r="G171" s="579" t="s">
        <v>74</v>
      </c>
      <c r="H171" s="580" t="s">
        <v>714</v>
      </c>
      <c r="I171" s="579">
        <v>4003006</v>
      </c>
      <c r="J171" s="580" t="s">
        <v>715</v>
      </c>
      <c r="K171" s="579" t="s">
        <v>74</v>
      </c>
      <c r="L171" s="580" t="s">
        <v>716</v>
      </c>
      <c r="M171" s="579">
        <v>400300600</v>
      </c>
      <c r="N171" s="580" t="s">
        <v>717</v>
      </c>
      <c r="O171" s="264">
        <v>1</v>
      </c>
      <c r="P171" s="581">
        <v>0</v>
      </c>
      <c r="Q171" s="2664"/>
      <c r="R171" s="2475"/>
      <c r="S171" s="574">
        <f>X171/T163</f>
        <v>2.8570125433479424E-2</v>
      </c>
      <c r="T171" s="2655"/>
      <c r="U171" s="2476"/>
      <c r="V171" s="2476"/>
      <c r="W171" s="205" t="s">
        <v>714</v>
      </c>
      <c r="X171" s="82">
        <v>100000000</v>
      </c>
      <c r="Y171" s="470">
        <v>0</v>
      </c>
      <c r="Z171" s="470">
        <v>0</v>
      </c>
      <c r="AA171" s="468" t="s">
        <v>718</v>
      </c>
      <c r="AB171" s="67">
        <v>27</v>
      </c>
      <c r="AC171" s="347" t="s">
        <v>689</v>
      </c>
      <c r="AD171" s="2654"/>
      <c r="AE171" s="2654"/>
      <c r="AF171" s="2654"/>
      <c r="AG171" s="2654"/>
      <c r="AH171" s="2654"/>
      <c r="AI171" s="2654"/>
      <c r="AJ171" s="2654"/>
      <c r="AK171" s="2654"/>
      <c r="AL171" s="2654"/>
      <c r="AM171" s="2654"/>
      <c r="AN171" s="2654"/>
      <c r="AO171" s="2654"/>
      <c r="AP171" s="2654"/>
      <c r="AQ171" s="2654"/>
      <c r="AR171" s="2654"/>
      <c r="AS171" s="2654"/>
      <c r="AT171" s="2654"/>
      <c r="AU171" s="2654"/>
      <c r="AV171" s="2654"/>
      <c r="AW171" s="2654"/>
      <c r="AX171" s="2654"/>
      <c r="AY171" s="2654"/>
      <c r="AZ171" s="2654"/>
      <c r="BA171" s="2654"/>
      <c r="BB171" s="2654"/>
      <c r="BC171" s="2654"/>
      <c r="BD171" s="2654"/>
      <c r="BE171" s="2654"/>
      <c r="BF171" s="2654"/>
      <c r="BG171" s="2654"/>
      <c r="BH171" s="2654"/>
      <c r="BI171" s="2654"/>
      <c r="BJ171" s="2654"/>
      <c r="BK171" s="2652"/>
      <c r="BL171" s="2652"/>
      <c r="BM171" s="2255"/>
      <c r="BN171" s="67">
        <v>27</v>
      </c>
      <c r="BO171" s="347" t="s">
        <v>689</v>
      </c>
      <c r="BP171" s="2653"/>
      <c r="BQ171" s="2641"/>
      <c r="BR171" s="2642"/>
      <c r="BS171" s="2641"/>
      <c r="BT171" s="2642"/>
      <c r="BU171" s="2645"/>
    </row>
    <row r="172" spans="1:73" ht="15.75" x14ac:dyDescent="0.25">
      <c r="A172" s="582"/>
      <c r="B172" s="622"/>
      <c r="C172" s="108"/>
      <c r="D172" s="108"/>
      <c r="E172" s="108"/>
      <c r="F172" s="108"/>
      <c r="G172" s="108"/>
      <c r="H172" s="112"/>
      <c r="I172" s="108"/>
      <c r="J172" s="112"/>
      <c r="K172" s="108"/>
      <c r="L172" s="112"/>
      <c r="M172" s="108"/>
      <c r="N172" s="112"/>
      <c r="O172" s="108"/>
      <c r="P172" s="108"/>
      <c r="Q172" s="108"/>
      <c r="R172" s="112"/>
      <c r="S172" s="110"/>
      <c r="T172" s="583">
        <f>SUM(T13:T171)</f>
        <v>15986154634.140001</v>
      </c>
      <c r="U172" s="112"/>
      <c r="V172" s="112"/>
      <c r="W172" s="107" t="s">
        <v>127</v>
      </c>
      <c r="X172" s="584">
        <f>SUM(X10:X171)</f>
        <v>15986154634.140001</v>
      </c>
      <c r="Y172" s="358">
        <f>SUM(Y10:Y171)</f>
        <v>1133780266</v>
      </c>
      <c r="Z172" s="358">
        <f>SUM(Z10:Z171)</f>
        <v>605385609.30999994</v>
      </c>
      <c r="AA172" s="585"/>
      <c r="AB172" s="114"/>
      <c r="AC172" s="112"/>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358">
        <f>SUM(BK13:BK171)</f>
        <v>1133780266</v>
      </c>
      <c r="BL172" s="358">
        <f>SUM(BL13:BL171)</f>
        <v>605385609.30999994</v>
      </c>
      <c r="BM172" s="586"/>
      <c r="BN172" s="108"/>
      <c r="BO172" s="112"/>
      <c r="BP172" s="112"/>
      <c r="BQ172" s="116"/>
      <c r="BR172" s="116"/>
      <c r="BS172" s="116"/>
      <c r="BT172" s="116"/>
      <c r="BU172" s="112"/>
    </row>
    <row r="173" spans="1:73" ht="15.75" x14ac:dyDescent="0.25">
      <c r="W173" s="587"/>
      <c r="X173" s="588"/>
      <c r="Y173" s="588"/>
      <c r="Z173" s="588"/>
      <c r="BK173" s="589"/>
      <c r="BL173" s="589"/>
    </row>
    <row r="174" spans="1:73" ht="15" x14ac:dyDescent="0.25">
      <c r="X174" s="592"/>
      <c r="Y174" s="592"/>
      <c r="Z174" s="592"/>
      <c r="BK174" s="589"/>
      <c r="BL174" s="589"/>
    </row>
    <row r="175" spans="1:73" ht="27" customHeight="1" x14ac:dyDescent="0.25">
      <c r="BK175" s="593"/>
    </row>
    <row r="177" spans="17:17" ht="15" x14ac:dyDescent="0.25"/>
    <row r="178" spans="17:17" ht="15" x14ac:dyDescent="0.25">
      <c r="Q178" s="2" t="s">
        <v>619</v>
      </c>
    </row>
  </sheetData>
  <sheetProtection algorithmName="SHA-512" hashValue="EJJf5EteoqMB6y9XDlat2zlrnIzSodBt1DwonzyrXLDQyA66mmtcFh7acz8O6jgEYgOZEmRH7GDQF0AHBzdXDg==" saltValue="vAQhgTt8AxR10OcBklV9sA==" spinCount="100000" sheet="1" objects="1" scenarios="1"/>
  <mergeCells count="890">
    <mergeCell ref="A1:BQ4"/>
    <mergeCell ref="A5:O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B7:BG7"/>
    <mergeCell ref="BH7:BI8"/>
    <mergeCell ref="AB8:AB9"/>
    <mergeCell ref="AC8:AC9"/>
    <mergeCell ref="AD8:AE8"/>
    <mergeCell ref="AF8:AG8"/>
    <mergeCell ref="M8:M9"/>
    <mergeCell ref="N8:N9"/>
    <mergeCell ref="O8:P8"/>
    <mergeCell ref="Q8:Q9"/>
    <mergeCell ref="R8:R9"/>
    <mergeCell ref="S8:S9"/>
    <mergeCell ref="AN8:AO8"/>
    <mergeCell ref="AP8:AQ8"/>
    <mergeCell ref="AR8:AS8"/>
    <mergeCell ref="BF8:BG8"/>
    <mergeCell ref="BM8:BM9"/>
    <mergeCell ref="BP8:BP9"/>
    <mergeCell ref="AT8:AU8"/>
    <mergeCell ref="AV8:AW8"/>
    <mergeCell ref="AX8:AY8"/>
    <mergeCell ref="AZ8:BA8"/>
    <mergeCell ref="BB8:BC8"/>
    <mergeCell ref="BD8:BE8"/>
    <mergeCell ref="G8:G9"/>
    <mergeCell ref="H8:H9"/>
    <mergeCell ref="I8:I9"/>
    <mergeCell ref="J8:J9"/>
    <mergeCell ref="K8:K9"/>
    <mergeCell ref="L8:L9"/>
    <mergeCell ref="AH8:AI8"/>
    <mergeCell ref="AJ8:AK8"/>
    <mergeCell ref="AL8:AM8"/>
    <mergeCell ref="T8:T9"/>
    <mergeCell ref="U8:U9"/>
    <mergeCell ref="V8:V9"/>
    <mergeCell ref="W8:W9"/>
    <mergeCell ref="X8:Z8"/>
    <mergeCell ref="AA8:AA9"/>
    <mergeCell ref="D22:J22"/>
    <mergeCell ref="BJ8:BJ9"/>
    <mergeCell ref="BK8:BK9"/>
    <mergeCell ref="BL8:BL9"/>
    <mergeCell ref="L13:L15"/>
    <mergeCell ref="M13:M15"/>
    <mergeCell ref="N13:N15"/>
    <mergeCell ref="O13:O15"/>
    <mergeCell ref="P13:P15"/>
    <mergeCell ref="Q13:Q15"/>
    <mergeCell ref="B10:I10"/>
    <mergeCell ref="D11:L11"/>
    <mergeCell ref="F12:M12"/>
    <mergeCell ref="G13:G15"/>
    <mergeCell ref="H13:H15"/>
    <mergeCell ref="I13:I15"/>
    <mergeCell ref="J13:J15"/>
    <mergeCell ref="K13:K15"/>
    <mergeCell ref="A11:B73"/>
    <mergeCell ref="C12:D15"/>
    <mergeCell ref="E13:F15"/>
    <mergeCell ref="C17:D21"/>
    <mergeCell ref="E18:F21"/>
    <mergeCell ref="C23:D40"/>
    <mergeCell ref="E24:F40"/>
    <mergeCell ref="C42:D49"/>
    <mergeCell ref="E43:F49"/>
    <mergeCell ref="C51:D73"/>
    <mergeCell ref="D41:N41"/>
    <mergeCell ref="F42:M42"/>
    <mergeCell ref="G43:G49"/>
    <mergeCell ref="H43:H49"/>
    <mergeCell ref="I43:I49"/>
    <mergeCell ref="J43:J49"/>
    <mergeCell ref="K43:K49"/>
    <mergeCell ref="L43:L49"/>
    <mergeCell ref="M43:M49"/>
    <mergeCell ref="M52:M73"/>
    <mergeCell ref="N52:N73"/>
    <mergeCell ref="E52:F73"/>
    <mergeCell ref="J18:J21"/>
    <mergeCell ref="K18:K21"/>
    <mergeCell ref="L18:L21"/>
    <mergeCell ref="AC13:AC14"/>
    <mergeCell ref="AD13:AD15"/>
    <mergeCell ref="AE13:AE15"/>
    <mergeCell ref="AF13:AF15"/>
    <mergeCell ref="AG13:AG15"/>
    <mergeCell ref="AH13:AH15"/>
    <mergeCell ref="R13:R15"/>
    <mergeCell ref="S13:S15"/>
    <mergeCell ref="T13:T15"/>
    <mergeCell ref="U13:U15"/>
    <mergeCell ref="V13:V15"/>
    <mergeCell ref="AB13:AB14"/>
    <mergeCell ref="P18:P21"/>
    <mergeCell ref="Q18:Q21"/>
    <mergeCell ref="R18:R21"/>
    <mergeCell ref="S18:S21"/>
    <mergeCell ref="T18:T21"/>
    <mergeCell ref="U18:U21"/>
    <mergeCell ref="M18:M21"/>
    <mergeCell ref="AO13:AO15"/>
    <mergeCell ref="AP13:AP15"/>
    <mergeCell ref="AQ13:AQ15"/>
    <mergeCell ref="AR13:AR15"/>
    <mergeCell ref="AS13:AS15"/>
    <mergeCell ref="AT13:AT15"/>
    <mergeCell ref="AI13:AI15"/>
    <mergeCell ref="AJ13:AJ15"/>
    <mergeCell ref="AK13:AK15"/>
    <mergeCell ref="AL13:AL15"/>
    <mergeCell ref="AM13:AM15"/>
    <mergeCell ref="AN13:AN15"/>
    <mergeCell ref="BK13:BK15"/>
    <mergeCell ref="BL13:BL15"/>
    <mergeCell ref="BA13:BA15"/>
    <mergeCell ref="BB13:BB15"/>
    <mergeCell ref="BC13:BC15"/>
    <mergeCell ref="BD13:BD15"/>
    <mergeCell ref="BE13:BE15"/>
    <mergeCell ref="BF13:BF15"/>
    <mergeCell ref="AU13:AU15"/>
    <mergeCell ref="AV13:AV15"/>
    <mergeCell ref="AW13:AW15"/>
    <mergeCell ref="AX13:AX15"/>
    <mergeCell ref="AY13:AY15"/>
    <mergeCell ref="AZ13:AZ15"/>
    <mergeCell ref="BS13:BS15"/>
    <mergeCell ref="BT13:BT15"/>
    <mergeCell ref="BU13:BU15"/>
    <mergeCell ref="D16:L16"/>
    <mergeCell ref="F17:M17"/>
    <mergeCell ref="G18:G21"/>
    <mergeCell ref="H18:H21"/>
    <mergeCell ref="I18:I21"/>
    <mergeCell ref="BM13:BM15"/>
    <mergeCell ref="BN13:BN14"/>
    <mergeCell ref="BO13:BO14"/>
    <mergeCell ref="BP13:BP15"/>
    <mergeCell ref="BQ13:BQ15"/>
    <mergeCell ref="BR13:BR15"/>
    <mergeCell ref="BG13:BG15"/>
    <mergeCell ref="BH13:BH15"/>
    <mergeCell ref="AL18:AL21"/>
    <mergeCell ref="V18:V21"/>
    <mergeCell ref="AB18:AB21"/>
    <mergeCell ref="AC18:AC21"/>
    <mergeCell ref="AD18:AD21"/>
    <mergeCell ref="AE18:AE21"/>
    <mergeCell ref="BI13:BI15"/>
    <mergeCell ref="BJ13:BJ15"/>
    <mergeCell ref="BS18:BS21"/>
    <mergeCell ref="BT18:BT21"/>
    <mergeCell ref="N18:N21"/>
    <mergeCell ref="O18:O21"/>
    <mergeCell ref="BU18:BU21"/>
    <mergeCell ref="W19:W20"/>
    <mergeCell ref="BK18:BK21"/>
    <mergeCell ref="BL18:BL21"/>
    <mergeCell ref="BM18:BM21"/>
    <mergeCell ref="BN18:BN21"/>
    <mergeCell ref="BO18:BO21"/>
    <mergeCell ref="BP18:BP21"/>
    <mergeCell ref="BE18:BE21"/>
    <mergeCell ref="BF18:BF21"/>
    <mergeCell ref="BG18:BG21"/>
    <mergeCell ref="BH18:BH21"/>
    <mergeCell ref="BI18:BI21"/>
    <mergeCell ref="BJ18:BJ21"/>
    <mergeCell ref="AY18:AY21"/>
    <mergeCell ref="AZ18:AZ21"/>
    <mergeCell ref="BA18:BA21"/>
    <mergeCell ref="BB18:BB21"/>
    <mergeCell ref="BC18:BC21"/>
    <mergeCell ref="BD18:BD21"/>
    <mergeCell ref="AS18:AS21"/>
    <mergeCell ref="AT18:AT21"/>
    <mergeCell ref="AF18:AF21"/>
    <mergeCell ref="G24:G40"/>
    <mergeCell ref="H24:H40"/>
    <mergeCell ref="I24:I40"/>
    <mergeCell ref="J24:J40"/>
    <mergeCell ref="BQ18:BQ21"/>
    <mergeCell ref="BR18:BR21"/>
    <mergeCell ref="AU18:AU21"/>
    <mergeCell ref="AV18:AV21"/>
    <mergeCell ref="AW18:AW21"/>
    <mergeCell ref="AX18:AX21"/>
    <mergeCell ref="AM18:AM21"/>
    <mergeCell ref="AN18:AN21"/>
    <mergeCell ref="AO18:AO21"/>
    <mergeCell ref="AP18:AP21"/>
    <mergeCell ref="AQ18:AQ21"/>
    <mergeCell ref="AR18:AR21"/>
    <mergeCell ref="AG18:AG21"/>
    <mergeCell ref="AH18:AH21"/>
    <mergeCell ref="AI18:AI21"/>
    <mergeCell ref="AJ18:AJ21"/>
    <mergeCell ref="AK18:AK21"/>
    <mergeCell ref="Q24:Q40"/>
    <mergeCell ref="R24:R40"/>
    <mergeCell ref="S24:S40"/>
    <mergeCell ref="T24:T40"/>
    <mergeCell ref="U24:U40"/>
    <mergeCell ref="V24:V40"/>
    <mergeCell ref="K24:K40"/>
    <mergeCell ref="L24:L40"/>
    <mergeCell ref="M24:M40"/>
    <mergeCell ref="N24:N40"/>
    <mergeCell ref="O24:O40"/>
    <mergeCell ref="P24:P40"/>
    <mergeCell ref="AG24:AG40"/>
    <mergeCell ref="AH24:AH40"/>
    <mergeCell ref="AI24:AI40"/>
    <mergeCell ref="AJ24:AJ40"/>
    <mergeCell ref="AK24:AK40"/>
    <mergeCell ref="AL24:AL40"/>
    <mergeCell ref="W24:W25"/>
    <mergeCell ref="AB24:AB40"/>
    <mergeCell ref="AC24:AC40"/>
    <mergeCell ref="AD24:AD40"/>
    <mergeCell ref="AE24:AE40"/>
    <mergeCell ref="AF24:AF40"/>
    <mergeCell ref="BC24:BC40"/>
    <mergeCell ref="BD24:BD40"/>
    <mergeCell ref="AS24:AS40"/>
    <mergeCell ref="AT24:AT40"/>
    <mergeCell ref="AU24:AU40"/>
    <mergeCell ref="AV24:AV40"/>
    <mergeCell ref="AW24:AW40"/>
    <mergeCell ref="AX24:AX40"/>
    <mergeCell ref="AM24:AM40"/>
    <mergeCell ref="AN24:AN40"/>
    <mergeCell ref="AO24:AO40"/>
    <mergeCell ref="AP24:AP40"/>
    <mergeCell ref="AQ24:AQ40"/>
    <mergeCell ref="AR24:AR40"/>
    <mergeCell ref="BQ24:BQ40"/>
    <mergeCell ref="BR24:BR40"/>
    <mergeCell ref="BS24:BS40"/>
    <mergeCell ref="BT24:BT40"/>
    <mergeCell ref="BU24:BU40"/>
    <mergeCell ref="W26:W27"/>
    <mergeCell ref="W28:W29"/>
    <mergeCell ref="W33:W36"/>
    <mergeCell ref="BK24:BK40"/>
    <mergeCell ref="BL24:BL40"/>
    <mergeCell ref="BM24:BM40"/>
    <mergeCell ref="BN24:BN40"/>
    <mergeCell ref="BO24:BO40"/>
    <mergeCell ref="BP24:BP40"/>
    <mergeCell ref="BE24:BE40"/>
    <mergeCell ref="BF24:BF40"/>
    <mergeCell ref="BG24:BG40"/>
    <mergeCell ref="BH24:BH40"/>
    <mergeCell ref="BI24:BI40"/>
    <mergeCell ref="BJ24:BJ40"/>
    <mergeCell ref="AY24:AY40"/>
    <mergeCell ref="AZ24:AZ40"/>
    <mergeCell ref="BA24:BA40"/>
    <mergeCell ref="BB24:BB40"/>
    <mergeCell ref="T43:T49"/>
    <mergeCell ref="U43:U49"/>
    <mergeCell ref="V43:V49"/>
    <mergeCell ref="AB43:AB49"/>
    <mergeCell ref="AC43:AC49"/>
    <mergeCell ref="AD43:AD49"/>
    <mergeCell ref="N43:N49"/>
    <mergeCell ref="O43:O49"/>
    <mergeCell ref="P43:P49"/>
    <mergeCell ref="Q43:Q49"/>
    <mergeCell ref="R43:R49"/>
    <mergeCell ref="S43:S49"/>
    <mergeCell ref="AK43:AK49"/>
    <mergeCell ref="AL43:AL49"/>
    <mergeCell ref="AM43:AM49"/>
    <mergeCell ref="AN43:AN49"/>
    <mergeCell ref="AO43:AO49"/>
    <mergeCell ref="AP43:AP49"/>
    <mergeCell ref="AE43:AE49"/>
    <mergeCell ref="AF43:AF49"/>
    <mergeCell ref="AG43:AG49"/>
    <mergeCell ref="AH43:AH49"/>
    <mergeCell ref="AI43:AI49"/>
    <mergeCell ref="AJ43:AJ49"/>
    <mergeCell ref="AW43:AW49"/>
    <mergeCell ref="AX43:AX49"/>
    <mergeCell ref="AY43:AY49"/>
    <mergeCell ref="AZ43:AZ49"/>
    <mergeCell ref="BA43:BA49"/>
    <mergeCell ref="BB43:BB49"/>
    <mergeCell ref="AQ43:AQ49"/>
    <mergeCell ref="AR43:AR49"/>
    <mergeCell ref="AS43:AS49"/>
    <mergeCell ref="AT43:AT49"/>
    <mergeCell ref="AU43:AU49"/>
    <mergeCell ref="AV43:AV49"/>
    <mergeCell ref="BK43:BK49"/>
    <mergeCell ref="BL43:BL49"/>
    <mergeCell ref="BM43:BM49"/>
    <mergeCell ref="BN43:BN49"/>
    <mergeCell ref="BC43:BC49"/>
    <mergeCell ref="BD43:BD49"/>
    <mergeCell ref="BE43:BE49"/>
    <mergeCell ref="BF43:BF49"/>
    <mergeCell ref="BG43:BG49"/>
    <mergeCell ref="BH43:BH49"/>
    <mergeCell ref="O52:O73"/>
    <mergeCell ref="P52:P73"/>
    <mergeCell ref="Q52:Q73"/>
    <mergeCell ref="R52:R73"/>
    <mergeCell ref="BU43:BU49"/>
    <mergeCell ref="W45:W48"/>
    <mergeCell ref="D50:K50"/>
    <mergeCell ref="G52:G73"/>
    <mergeCell ref="H52:H73"/>
    <mergeCell ref="I52:I73"/>
    <mergeCell ref="J52:J73"/>
    <mergeCell ref="K52:K73"/>
    <mergeCell ref="L52:L73"/>
    <mergeCell ref="BO43:BO49"/>
    <mergeCell ref="BP43:BP49"/>
    <mergeCell ref="BQ43:BQ49"/>
    <mergeCell ref="BR43:BR49"/>
    <mergeCell ref="BS43:BS49"/>
    <mergeCell ref="BT43:BT49"/>
    <mergeCell ref="BI43:BI49"/>
    <mergeCell ref="BJ43:BJ49"/>
    <mergeCell ref="AC52:AC73"/>
    <mergeCell ref="AD52:AD73"/>
    <mergeCell ref="AE52:AE73"/>
    <mergeCell ref="AF52:AF73"/>
    <mergeCell ref="AG52:AG73"/>
    <mergeCell ref="AH52:AH73"/>
    <mergeCell ref="S52:S73"/>
    <mergeCell ref="T52:T73"/>
    <mergeCell ref="U52:U73"/>
    <mergeCell ref="V52:V73"/>
    <mergeCell ref="W52:W53"/>
    <mergeCell ref="AB52:AB73"/>
    <mergeCell ref="W71:W72"/>
    <mergeCell ref="AO52:AO73"/>
    <mergeCell ref="AP52:AP73"/>
    <mergeCell ref="AQ52:AQ73"/>
    <mergeCell ref="AR52:AR73"/>
    <mergeCell ref="AS52:AS73"/>
    <mergeCell ref="AT52:AT73"/>
    <mergeCell ref="AI52:AI73"/>
    <mergeCell ref="AJ52:AJ73"/>
    <mergeCell ref="AK52:AK73"/>
    <mergeCell ref="AL52:AL73"/>
    <mergeCell ref="AM52:AM73"/>
    <mergeCell ref="AN52:AN73"/>
    <mergeCell ref="BC52:BC73"/>
    <mergeCell ref="BD52:BD73"/>
    <mergeCell ref="BE52:BE73"/>
    <mergeCell ref="BF52:BF73"/>
    <mergeCell ref="AU52:AU73"/>
    <mergeCell ref="AV52:AV73"/>
    <mergeCell ref="AW52:AW73"/>
    <mergeCell ref="AX52:AX73"/>
    <mergeCell ref="AY52:AY73"/>
    <mergeCell ref="AZ52:AZ73"/>
    <mergeCell ref="BS52:BS73"/>
    <mergeCell ref="BT52:BT73"/>
    <mergeCell ref="BU52:BU73"/>
    <mergeCell ref="W54:W58"/>
    <mergeCell ref="W59:W60"/>
    <mergeCell ref="W61:W62"/>
    <mergeCell ref="W63:W64"/>
    <mergeCell ref="W65:W66"/>
    <mergeCell ref="W67:W68"/>
    <mergeCell ref="W69:W70"/>
    <mergeCell ref="BM52:BM73"/>
    <mergeCell ref="BN52:BN73"/>
    <mergeCell ref="BO52:BO73"/>
    <mergeCell ref="BP52:BP73"/>
    <mergeCell ref="BQ52:BQ73"/>
    <mergeCell ref="BR52:BR73"/>
    <mergeCell ref="BG52:BG73"/>
    <mergeCell ref="BH52:BH73"/>
    <mergeCell ref="BI52:BI73"/>
    <mergeCell ref="BJ52:BJ73"/>
    <mergeCell ref="BK52:BK73"/>
    <mergeCell ref="BL52:BL73"/>
    <mergeCell ref="BA52:BA73"/>
    <mergeCell ref="BB52:BB73"/>
    <mergeCell ref="N77:N79"/>
    <mergeCell ref="O77:O79"/>
    <mergeCell ref="P77:P79"/>
    <mergeCell ref="Q77:Q107"/>
    <mergeCell ref="R77:R107"/>
    <mergeCell ref="S77:S79"/>
    <mergeCell ref="P80:P107"/>
    <mergeCell ref="S80:S107"/>
    <mergeCell ref="B74:H74"/>
    <mergeCell ref="D75:M75"/>
    <mergeCell ref="F76:L76"/>
    <mergeCell ref="G77:G79"/>
    <mergeCell ref="H77:H79"/>
    <mergeCell ref="I77:I79"/>
    <mergeCell ref="J77:J79"/>
    <mergeCell ref="K77:K79"/>
    <mergeCell ref="L77:L79"/>
    <mergeCell ref="M77:M79"/>
    <mergeCell ref="A75:B146"/>
    <mergeCell ref="D109:K109"/>
    <mergeCell ref="M111:M125"/>
    <mergeCell ref="N111:N125"/>
    <mergeCell ref="O111:O125"/>
    <mergeCell ref="P111:P125"/>
    <mergeCell ref="AE77:AE107"/>
    <mergeCell ref="AF77:AF107"/>
    <mergeCell ref="AG77:AG107"/>
    <mergeCell ref="AH77:AH107"/>
    <mergeCell ref="AI77:AI107"/>
    <mergeCell ref="AJ77:AJ107"/>
    <mergeCell ref="T77:T107"/>
    <mergeCell ref="U77:U107"/>
    <mergeCell ref="V77:V107"/>
    <mergeCell ref="AB77:AB107"/>
    <mergeCell ref="AC77:AC107"/>
    <mergeCell ref="AD77:AD107"/>
    <mergeCell ref="W80:W86"/>
    <mergeCell ref="W88:W89"/>
    <mergeCell ref="W90:W91"/>
    <mergeCell ref="W92:W93"/>
    <mergeCell ref="W94:W95"/>
    <mergeCell ref="W96:W97"/>
    <mergeCell ref="W98:W99"/>
    <mergeCell ref="W101:W102"/>
    <mergeCell ref="W103:W104"/>
    <mergeCell ref="AQ77:AQ107"/>
    <mergeCell ref="AR77:AR107"/>
    <mergeCell ref="AS77:AS107"/>
    <mergeCell ref="AT77:AT107"/>
    <mergeCell ref="AU77:AU107"/>
    <mergeCell ref="AV77:AV107"/>
    <mergeCell ref="AK77:AK107"/>
    <mergeCell ref="AL77:AL107"/>
    <mergeCell ref="AM77:AM107"/>
    <mergeCell ref="AN77:AN107"/>
    <mergeCell ref="AO77:AO107"/>
    <mergeCell ref="AP77:AP107"/>
    <mergeCell ref="BD77:BD107"/>
    <mergeCell ref="BE77:BE107"/>
    <mergeCell ref="BF77:BF107"/>
    <mergeCell ref="BG77:BG107"/>
    <mergeCell ref="BH77:BH107"/>
    <mergeCell ref="AW77:AW107"/>
    <mergeCell ref="AX77:AX107"/>
    <mergeCell ref="AY77:AY107"/>
    <mergeCell ref="AZ77:AZ107"/>
    <mergeCell ref="BA77:BA107"/>
    <mergeCell ref="BB77:BB107"/>
    <mergeCell ref="M126:M142"/>
    <mergeCell ref="BU77:BU107"/>
    <mergeCell ref="G80:G107"/>
    <mergeCell ref="H80:H107"/>
    <mergeCell ref="I80:I107"/>
    <mergeCell ref="J80:J107"/>
    <mergeCell ref="K80:K107"/>
    <mergeCell ref="L80:L107"/>
    <mergeCell ref="M80:M107"/>
    <mergeCell ref="N80:N107"/>
    <mergeCell ref="O80:O107"/>
    <mergeCell ref="BO77:BO107"/>
    <mergeCell ref="BP77:BP107"/>
    <mergeCell ref="BQ77:BQ107"/>
    <mergeCell ref="BR77:BR107"/>
    <mergeCell ref="BS77:BS107"/>
    <mergeCell ref="BT77:BT107"/>
    <mergeCell ref="BI77:BI107"/>
    <mergeCell ref="BJ77:BJ107"/>
    <mergeCell ref="BK77:BK107"/>
    <mergeCell ref="BL77:BL107"/>
    <mergeCell ref="BM77:BM107"/>
    <mergeCell ref="BN77:BN107"/>
    <mergeCell ref="BC77:BC107"/>
    <mergeCell ref="E111:E142"/>
    <mergeCell ref="F111:F142"/>
    <mergeCell ref="G111:G125"/>
    <mergeCell ref="H111:H125"/>
    <mergeCell ref="I111:I125"/>
    <mergeCell ref="J111:J125"/>
    <mergeCell ref="K111:K125"/>
    <mergeCell ref="L111:L125"/>
    <mergeCell ref="G126:G142"/>
    <mergeCell ref="H126:H142"/>
    <mergeCell ref="I126:I142"/>
    <mergeCell ref="J126:J142"/>
    <mergeCell ref="K126:K142"/>
    <mergeCell ref="L126:L142"/>
    <mergeCell ref="S111:S125"/>
    <mergeCell ref="T111:T125"/>
    <mergeCell ref="U111:U125"/>
    <mergeCell ref="V111:V125"/>
    <mergeCell ref="W111:W112"/>
    <mergeCell ref="AB111:AB125"/>
    <mergeCell ref="Q111:Q125"/>
    <mergeCell ref="R111:R125"/>
    <mergeCell ref="F110:L110"/>
    <mergeCell ref="AI111:AI125"/>
    <mergeCell ref="AJ111:AJ125"/>
    <mergeCell ref="AK111:AK125"/>
    <mergeCell ref="AL111:AL125"/>
    <mergeCell ref="AM111:AM125"/>
    <mergeCell ref="AN111:AN125"/>
    <mergeCell ref="AC111:AC125"/>
    <mergeCell ref="AD111:AD125"/>
    <mergeCell ref="AE111:AE125"/>
    <mergeCell ref="AF111:AF125"/>
    <mergeCell ref="AG111:AG125"/>
    <mergeCell ref="AH111:AH125"/>
    <mergeCell ref="AU111:AU125"/>
    <mergeCell ref="AV111:AV125"/>
    <mergeCell ref="AW111:AW125"/>
    <mergeCell ref="AX111:AX125"/>
    <mergeCell ref="AY111:AY125"/>
    <mergeCell ref="AZ111:AZ125"/>
    <mergeCell ref="AO111:AO125"/>
    <mergeCell ref="AP111:AP125"/>
    <mergeCell ref="AQ111:AQ125"/>
    <mergeCell ref="AR111:AR125"/>
    <mergeCell ref="AS111:AS125"/>
    <mergeCell ref="AT111:AT125"/>
    <mergeCell ref="BS111:BS125"/>
    <mergeCell ref="BT111:BT125"/>
    <mergeCell ref="BU111:BU125"/>
    <mergeCell ref="W114:W115"/>
    <mergeCell ref="W117:W118"/>
    <mergeCell ref="W122:W125"/>
    <mergeCell ref="BM111:BM125"/>
    <mergeCell ref="BN111:BN125"/>
    <mergeCell ref="BO111:BO125"/>
    <mergeCell ref="BP111:BP125"/>
    <mergeCell ref="BQ111:BQ125"/>
    <mergeCell ref="BR111:BR125"/>
    <mergeCell ref="BG111:BG125"/>
    <mergeCell ref="BH111:BH125"/>
    <mergeCell ref="BI111:BI125"/>
    <mergeCell ref="BJ111:BJ125"/>
    <mergeCell ref="BK111:BK125"/>
    <mergeCell ref="BL111:BL125"/>
    <mergeCell ref="BA111:BA125"/>
    <mergeCell ref="BB111:BB125"/>
    <mergeCell ref="BC111:BC125"/>
    <mergeCell ref="BD111:BD125"/>
    <mergeCell ref="BE111:BE125"/>
    <mergeCell ref="BF111:BF125"/>
    <mergeCell ref="T126:T142"/>
    <mergeCell ref="U126:U142"/>
    <mergeCell ref="V126:V142"/>
    <mergeCell ref="W126:W129"/>
    <mergeCell ref="AB126:AB130"/>
    <mergeCell ref="AC126:AC130"/>
    <mergeCell ref="N126:N142"/>
    <mergeCell ref="O126:O142"/>
    <mergeCell ref="P126:P142"/>
    <mergeCell ref="Q126:Q142"/>
    <mergeCell ref="R126:R142"/>
    <mergeCell ref="S126:S142"/>
    <mergeCell ref="AJ126:AJ142"/>
    <mergeCell ref="AK126:AK142"/>
    <mergeCell ref="AL126:AL142"/>
    <mergeCell ref="AM126:AM142"/>
    <mergeCell ref="AN126:AN142"/>
    <mergeCell ref="AO126:AO142"/>
    <mergeCell ref="AD126:AD142"/>
    <mergeCell ref="AE126:AE142"/>
    <mergeCell ref="AF126:AF142"/>
    <mergeCell ref="AG126:AG142"/>
    <mergeCell ref="AH126:AH142"/>
    <mergeCell ref="AI126:AI142"/>
    <mergeCell ref="AV126:AV142"/>
    <mergeCell ref="AW126:AW142"/>
    <mergeCell ref="AX126:AX142"/>
    <mergeCell ref="AY126:AY142"/>
    <mergeCell ref="AZ126:AZ142"/>
    <mergeCell ref="BA126:BA142"/>
    <mergeCell ref="AP126:AP142"/>
    <mergeCell ref="AQ126:AQ142"/>
    <mergeCell ref="AR126:AR142"/>
    <mergeCell ref="AS126:AS142"/>
    <mergeCell ref="AT126:AT142"/>
    <mergeCell ref="AU126:AU142"/>
    <mergeCell ref="BT126:BT142"/>
    <mergeCell ref="BU126:BU142"/>
    <mergeCell ref="W130:W131"/>
    <mergeCell ref="W132:W133"/>
    <mergeCell ref="W136:W137"/>
    <mergeCell ref="W141:W142"/>
    <mergeCell ref="BN126:BN130"/>
    <mergeCell ref="BO126:BO130"/>
    <mergeCell ref="BP126:BP142"/>
    <mergeCell ref="BQ126:BQ142"/>
    <mergeCell ref="BR126:BR142"/>
    <mergeCell ref="BS126:BS142"/>
    <mergeCell ref="BH126:BH142"/>
    <mergeCell ref="BI126:BI142"/>
    <mergeCell ref="BJ126:BJ142"/>
    <mergeCell ref="BK126:BK142"/>
    <mergeCell ref="BL126:BL142"/>
    <mergeCell ref="BM126:BM142"/>
    <mergeCell ref="BB126:BB142"/>
    <mergeCell ref="BC126:BC142"/>
    <mergeCell ref="BD126:BD142"/>
    <mergeCell ref="BE126:BE142"/>
    <mergeCell ref="BF126:BF142"/>
    <mergeCell ref="BG126:BG142"/>
    <mergeCell ref="M145:M146"/>
    <mergeCell ref="N145:N146"/>
    <mergeCell ref="O145:O146"/>
    <mergeCell ref="P145:P146"/>
    <mergeCell ref="Q145:Q146"/>
    <mergeCell ref="R145:R146"/>
    <mergeCell ref="D143:J143"/>
    <mergeCell ref="F144:L144"/>
    <mergeCell ref="G145:G146"/>
    <mergeCell ref="H145:H146"/>
    <mergeCell ref="I145:I146"/>
    <mergeCell ref="J145:J146"/>
    <mergeCell ref="K145:K146"/>
    <mergeCell ref="L145:L146"/>
    <mergeCell ref="AE145:AE146"/>
    <mergeCell ref="AF145:AF146"/>
    <mergeCell ref="AG145:AG146"/>
    <mergeCell ref="AH145:AH146"/>
    <mergeCell ref="AI145:AI146"/>
    <mergeCell ref="AJ145:AJ146"/>
    <mergeCell ref="S145:S146"/>
    <mergeCell ref="T145:T146"/>
    <mergeCell ref="U145:U146"/>
    <mergeCell ref="V145:V146"/>
    <mergeCell ref="W145:W146"/>
    <mergeCell ref="AD145:AD146"/>
    <mergeCell ref="AQ145:AQ146"/>
    <mergeCell ref="AR145:AR146"/>
    <mergeCell ref="AS145:AS146"/>
    <mergeCell ref="AT145:AT146"/>
    <mergeCell ref="AU145:AU146"/>
    <mergeCell ref="AV145:AV146"/>
    <mergeCell ref="AK145:AK146"/>
    <mergeCell ref="AL145:AL146"/>
    <mergeCell ref="AM145:AM146"/>
    <mergeCell ref="AN145:AN146"/>
    <mergeCell ref="AO145:AO146"/>
    <mergeCell ref="AP145:AP146"/>
    <mergeCell ref="BQ145:BQ146"/>
    <mergeCell ref="BR145:BR146"/>
    <mergeCell ref="BS145:BS146"/>
    <mergeCell ref="BT145:BT146"/>
    <mergeCell ref="BU145:BU146"/>
    <mergeCell ref="B147:J147"/>
    <mergeCell ref="BI145:BI146"/>
    <mergeCell ref="BJ145:BJ146"/>
    <mergeCell ref="BK145:BK146"/>
    <mergeCell ref="BL145:BL146"/>
    <mergeCell ref="BM145:BM146"/>
    <mergeCell ref="BP145:BP146"/>
    <mergeCell ref="BC145:BC146"/>
    <mergeCell ref="BD145:BD146"/>
    <mergeCell ref="BE145:BE146"/>
    <mergeCell ref="BF145:BF146"/>
    <mergeCell ref="BG145:BG146"/>
    <mergeCell ref="BH145:BH146"/>
    <mergeCell ref="AW145:AW146"/>
    <mergeCell ref="AX145:AX146"/>
    <mergeCell ref="AY145:AY146"/>
    <mergeCell ref="AZ145:AZ146"/>
    <mergeCell ref="BA145:BA146"/>
    <mergeCell ref="BB145:BB146"/>
    <mergeCell ref="K150:K156"/>
    <mergeCell ref="L150:L156"/>
    <mergeCell ref="M150:M156"/>
    <mergeCell ref="N150:N156"/>
    <mergeCell ref="O150:O156"/>
    <mergeCell ref="P150:P156"/>
    <mergeCell ref="D148:J148"/>
    <mergeCell ref="E150:E155"/>
    <mergeCell ref="F150:F155"/>
    <mergeCell ref="G150:G156"/>
    <mergeCell ref="H150:H156"/>
    <mergeCell ref="I150:I156"/>
    <mergeCell ref="J150:J156"/>
    <mergeCell ref="W150:W153"/>
    <mergeCell ref="AB150:AB156"/>
    <mergeCell ref="AC150:AC156"/>
    <mergeCell ref="AD150:AD156"/>
    <mergeCell ref="AE150:AE156"/>
    <mergeCell ref="AF150:AF156"/>
    <mergeCell ref="Q150:Q156"/>
    <mergeCell ref="R150:R156"/>
    <mergeCell ref="S150:S156"/>
    <mergeCell ref="T150:T156"/>
    <mergeCell ref="U150:U156"/>
    <mergeCell ref="V150:V156"/>
    <mergeCell ref="AM150:AM156"/>
    <mergeCell ref="AN150:AN156"/>
    <mergeCell ref="AO150:AO156"/>
    <mergeCell ref="AP150:AP156"/>
    <mergeCell ref="AQ150:AQ156"/>
    <mergeCell ref="AR150:AR156"/>
    <mergeCell ref="AG150:AG156"/>
    <mergeCell ref="AH150:AH156"/>
    <mergeCell ref="AI150:AI156"/>
    <mergeCell ref="AJ150:AJ156"/>
    <mergeCell ref="AK150:AK156"/>
    <mergeCell ref="AL150:AL156"/>
    <mergeCell ref="BA150:BA156"/>
    <mergeCell ref="BB150:BB156"/>
    <mergeCell ref="BC150:BC156"/>
    <mergeCell ref="BD150:BD156"/>
    <mergeCell ref="AS150:AS156"/>
    <mergeCell ref="AT150:AT156"/>
    <mergeCell ref="AU150:AU156"/>
    <mergeCell ref="AV150:AV156"/>
    <mergeCell ref="AW150:AW156"/>
    <mergeCell ref="AX150:AX156"/>
    <mergeCell ref="BQ150:BQ156"/>
    <mergeCell ref="BR150:BR156"/>
    <mergeCell ref="BS150:BS156"/>
    <mergeCell ref="BT150:BT156"/>
    <mergeCell ref="BU150:BU156"/>
    <mergeCell ref="E158:E159"/>
    <mergeCell ref="F158:F159"/>
    <mergeCell ref="G158:G159"/>
    <mergeCell ref="H158:H159"/>
    <mergeCell ref="I158:I159"/>
    <mergeCell ref="BK150:BK156"/>
    <mergeCell ref="BL150:BL156"/>
    <mergeCell ref="BM150:BM156"/>
    <mergeCell ref="BN150:BN155"/>
    <mergeCell ref="BO150:BO155"/>
    <mergeCell ref="BP150:BP156"/>
    <mergeCell ref="BE150:BE156"/>
    <mergeCell ref="BF150:BF156"/>
    <mergeCell ref="BG150:BG156"/>
    <mergeCell ref="BH150:BH156"/>
    <mergeCell ref="BI150:BI156"/>
    <mergeCell ref="BJ150:BJ156"/>
    <mergeCell ref="AY150:AY156"/>
    <mergeCell ref="AZ150:AZ156"/>
    <mergeCell ref="P158:P159"/>
    <mergeCell ref="Q158:Q159"/>
    <mergeCell ref="R158:R159"/>
    <mergeCell ref="S158:S159"/>
    <mergeCell ref="T158:T159"/>
    <mergeCell ref="U158:U159"/>
    <mergeCell ref="J158:J159"/>
    <mergeCell ref="K158:K159"/>
    <mergeCell ref="L158:L159"/>
    <mergeCell ref="M158:M159"/>
    <mergeCell ref="N158:N159"/>
    <mergeCell ref="O158:O159"/>
    <mergeCell ref="AG158:AG159"/>
    <mergeCell ref="AH158:AH159"/>
    <mergeCell ref="AI158:AI159"/>
    <mergeCell ref="AJ158:AJ159"/>
    <mergeCell ref="AK158:AK159"/>
    <mergeCell ref="AL158:AL159"/>
    <mergeCell ref="V158:V159"/>
    <mergeCell ref="AB158:AB159"/>
    <mergeCell ref="AC158:AC159"/>
    <mergeCell ref="AD158:AD159"/>
    <mergeCell ref="AE158:AE159"/>
    <mergeCell ref="AF158:AF159"/>
    <mergeCell ref="AS158:AS159"/>
    <mergeCell ref="AT158:AT159"/>
    <mergeCell ref="AU158:AU159"/>
    <mergeCell ref="AV158:AV159"/>
    <mergeCell ref="AW158:AW159"/>
    <mergeCell ref="AX158:AX159"/>
    <mergeCell ref="AM158:AM159"/>
    <mergeCell ref="AN158:AN159"/>
    <mergeCell ref="AO158:AO159"/>
    <mergeCell ref="AP158:AP159"/>
    <mergeCell ref="AQ158:AQ159"/>
    <mergeCell ref="AR158:AR159"/>
    <mergeCell ref="BQ158:BQ159"/>
    <mergeCell ref="BR158:BR159"/>
    <mergeCell ref="BS158:BS159"/>
    <mergeCell ref="BT158:BT159"/>
    <mergeCell ref="BU158:BU159"/>
    <mergeCell ref="B160:I160"/>
    <mergeCell ref="BK158:BK159"/>
    <mergeCell ref="BL158:BL159"/>
    <mergeCell ref="BM158:BM159"/>
    <mergeCell ref="BN158:BN159"/>
    <mergeCell ref="BO158:BO159"/>
    <mergeCell ref="BP158:BP159"/>
    <mergeCell ref="BE158:BE159"/>
    <mergeCell ref="BF158:BF159"/>
    <mergeCell ref="BG158:BG159"/>
    <mergeCell ref="BH158:BH159"/>
    <mergeCell ref="BI158:BI159"/>
    <mergeCell ref="BJ158:BJ159"/>
    <mergeCell ref="AY158:AY159"/>
    <mergeCell ref="AZ158:AZ159"/>
    <mergeCell ref="BA158:BA159"/>
    <mergeCell ref="BB158:BB159"/>
    <mergeCell ref="BC158:BC159"/>
    <mergeCell ref="BD158:BD159"/>
    <mergeCell ref="T163:T171"/>
    <mergeCell ref="U163:U171"/>
    <mergeCell ref="V163:V171"/>
    <mergeCell ref="AD163:AD171"/>
    <mergeCell ref="AE163:AE171"/>
    <mergeCell ref="AF163:AF171"/>
    <mergeCell ref="D161:L161"/>
    <mergeCell ref="F162:O162"/>
    <mergeCell ref="E163:E171"/>
    <mergeCell ref="F163:F171"/>
    <mergeCell ref="Q163:Q171"/>
    <mergeCell ref="R163:R171"/>
    <mergeCell ref="N164:N167"/>
    <mergeCell ref="O164:O167"/>
    <mergeCell ref="P164:P167"/>
    <mergeCell ref="S164:S167"/>
    <mergeCell ref="W164:W167"/>
    <mergeCell ref="AM163:AM171"/>
    <mergeCell ref="AN163:AN171"/>
    <mergeCell ref="AO163:AO171"/>
    <mergeCell ref="AP163:AP171"/>
    <mergeCell ref="AQ163:AQ171"/>
    <mergeCell ref="AR163:AR171"/>
    <mergeCell ref="AG163:AG171"/>
    <mergeCell ref="AH163:AH171"/>
    <mergeCell ref="AI163:AI171"/>
    <mergeCell ref="AJ163:AJ171"/>
    <mergeCell ref="AK163:AK171"/>
    <mergeCell ref="AL163:AL171"/>
    <mergeCell ref="BA163:BA171"/>
    <mergeCell ref="BB163:BB171"/>
    <mergeCell ref="BC163:BC171"/>
    <mergeCell ref="BD163:BD171"/>
    <mergeCell ref="AS163:AS171"/>
    <mergeCell ref="AT163:AT171"/>
    <mergeCell ref="AU163:AU171"/>
    <mergeCell ref="AV163:AV171"/>
    <mergeCell ref="AW163:AW171"/>
    <mergeCell ref="AX163:AX171"/>
    <mergeCell ref="BS163:BS171"/>
    <mergeCell ref="BT163:BT171"/>
    <mergeCell ref="BU163:BU171"/>
    <mergeCell ref="G164:G167"/>
    <mergeCell ref="H164:H167"/>
    <mergeCell ref="I164:I167"/>
    <mergeCell ref="J164:J167"/>
    <mergeCell ref="K164:K167"/>
    <mergeCell ref="L164:L167"/>
    <mergeCell ref="M164:M167"/>
    <mergeCell ref="BK163:BK171"/>
    <mergeCell ref="BL163:BL171"/>
    <mergeCell ref="BM163:BM171"/>
    <mergeCell ref="BP163:BP171"/>
    <mergeCell ref="BQ163:BQ171"/>
    <mergeCell ref="BR163:BR171"/>
    <mergeCell ref="BE163:BE171"/>
    <mergeCell ref="BF163:BF171"/>
    <mergeCell ref="BG163:BG171"/>
    <mergeCell ref="BH163:BH171"/>
    <mergeCell ref="BI163:BI171"/>
    <mergeCell ref="BJ163:BJ171"/>
    <mergeCell ref="AY163:AY171"/>
    <mergeCell ref="AZ163:AZ17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233"/>
  <sheetViews>
    <sheetView showGridLines="0" topLeftCell="BB1" zoomScale="70" zoomScaleNormal="70" workbookViewId="0">
      <selection activeCell="BG13" sqref="BG13:BG21"/>
    </sheetView>
  </sheetViews>
  <sheetFormatPr baseColWidth="10" defaultColWidth="13.140625" defaultRowHeight="27" customHeight="1" x14ac:dyDescent="0.25"/>
  <cols>
    <col min="1" max="1" width="9.7109375" style="2152" customWidth="1"/>
    <col min="2" max="2" width="10.42578125" style="1962" customWidth="1"/>
    <col min="3" max="3" width="11.5703125" style="1962" customWidth="1"/>
    <col min="4" max="4" width="12.5703125" style="1962" customWidth="1"/>
    <col min="5" max="5" width="13.140625" style="1962" customWidth="1"/>
    <col min="6" max="6" width="16.5703125" style="1962" customWidth="1"/>
    <col min="7" max="7" width="14.7109375" style="1962" customWidth="1"/>
    <col min="8" max="8" width="23.85546875" style="2153" customWidth="1"/>
    <col min="9" max="9" width="24.140625" style="1962" customWidth="1"/>
    <col min="10" max="10" width="28.28515625" style="2153" customWidth="1"/>
    <col min="11" max="11" width="19.42578125" style="2006" customWidth="1"/>
    <col min="12" max="12" width="24.42578125" style="2153" customWidth="1"/>
    <col min="13" max="13" width="26" style="2006" customWidth="1"/>
    <col min="14" max="14" width="27.85546875" style="2153" customWidth="1"/>
    <col min="15" max="16" width="17" style="2006" customWidth="1"/>
    <col min="17" max="17" width="20.85546875" style="2006" customWidth="1"/>
    <col min="18" max="18" width="30.5703125" style="2153" customWidth="1"/>
    <col min="19" max="19" width="22.42578125" style="2154" customWidth="1"/>
    <col min="20" max="20" width="29.140625" style="2155" customWidth="1"/>
    <col min="21" max="21" width="27.85546875" style="2153" customWidth="1"/>
    <col min="22" max="22" width="31" style="2153" customWidth="1"/>
    <col min="23" max="23" width="47.140625" style="2153" customWidth="1"/>
    <col min="24" max="25" width="29.5703125" style="2156" customWidth="1"/>
    <col min="26" max="26" width="32.5703125" style="2156" customWidth="1"/>
    <col min="27" max="27" width="51.42578125" style="2157" customWidth="1"/>
    <col min="28" max="28" width="17.5703125" style="2158" customWidth="1"/>
    <col min="29" max="29" width="30.140625" style="2153" customWidth="1"/>
    <col min="30" max="30" width="11.85546875" style="1962" customWidth="1"/>
    <col min="31" max="31" width="10.140625" style="1962" customWidth="1"/>
    <col min="32" max="32" width="14.42578125" style="1962" customWidth="1"/>
    <col min="33" max="37" width="10.140625" style="1962" customWidth="1"/>
    <col min="38" max="38" width="13.28515625" style="1962" customWidth="1"/>
    <col min="39" max="59" width="10.140625" style="1962" customWidth="1"/>
    <col min="60" max="61" width="13.140625" style="1962"/>
    <col min="62" max="62" width="16.5703125" style="1962" customWidth="1"/>
    <col min="63" max="63" width="24.140625" style="2159" customWidth="1"/>
    <col min="64" max="64" width="26.85546875" style="2159" customWidth="1"/>
    <col min="65" max="65" width="21" style="2162" customWidth="1"/>
    <col min="66" max="66" width="13.140625" style="1962"/>
    <col min="67" max="67" width="15.85546875" style="1962" customWidth="1"/>
    <col min="68" max="68" width="21.85546875" style="1962" customWidth="1"/>
    <col min="69" max="70" width="13.140625" style="1962"/>
    <col min="71" max="71" width="17.42578125" style="1962" customWidth="1"/>
    <col min="72" max="72" width="17.28515625" style="1962" customWidth="1"/>
    <col min="73" max="73" width="27.28515625" style="1962" customWidth="1"/>
    <col min="74" max="16384" width="13.140625" style="1962"/>
  </cols>
  <sheetData>
    <row r="1" spans="1:93" s="1717" customFormat="1" ht="27.75" customHeight="1" x14ac:dyDescent="0.25">
      <c r="A1" s="2858" t="s">
        <v>2968</v>
      </c>
      <c r="B1" s="2858"/>
      <c r="C1" s="2858"/>
      <c r="D1" s="2858"/>
      <c r="E1" s="2858"/>
      <c r="F1" s="2858"/>
      <c r="G1" s="2858"/>
      <c r="H1" s="2858"/>
      <c r="I1" s="2858"/>
      <c r="J1" s="2858"/>
      <c r="K1" s="2858"/>
      <c r="L1" s="2858"/>
      <c r="M1" s="2858"/>
      <c r="N1" s="2858"/>
      <c r="O1" s="2858"/>
      <c r="P1" s="2858"/>
      <c r="Q1" s="2858"/>
      <c r="R1" s="2858"/>
      <c r="S1" s="2858"/>
      <c r="T1" s="2858"/>
      <c r="U1" s="2858"/>
      <c r="V1" s="2858"/>
      <c r="W1" s="2858"/>
      <c r="X1" s="2858"/>
      <c r="Y1" s="2858"/>
      <c r="Z1" s="2858"/>
      <c r="AA1" s="2858"/>
      <c r="AB1" s="2858"/>
      <c r="AC1" s="2858"/>
      <c r="AD1" s="2858"/>
      <c r="AE1" s="2858"/>
      <c r="AF1" s="2858"/>
      <c r="AG1" s="2858"/>
      <c r="AH1" s="2858"/>
      <c r="AI1" s="2858"/>
      <c r="AJ1" s="2858"/>
      <c r="AK1" s="2858"/>
      <c r="AL1" s="2858"/>
      <c r="AM1" s="2858"/>
      <c r="AN1" s="2858"/>
      <c r="AO1" s="2858"/>
      <c r="AP1" s="2858"/>
      <c r="AQ1" s="2858"/>
      <c r="AR1" s="2858"/>
      <c r="AS1" s="2858"/>
      <c r="AT1" s="2858"/>
      <c r="AU1" s="2858"/>
      <c r="AV1" s="2858"/>
      <c r="AW1" s="2858"/>
      <c r="AX1" s="2858"/>
      <c r="AY1" s="2858"/>
      <c r="AZ1" s="2858"/>
      <c r="BA1" s="2858"/>
      <c r="BB1" s="2858"/>
      <c r="BC1" s="2858"/>
      <c r="BD1" s="2858"/>
      <c r="BE1" s="2858"/>
      <c r="BF1" s="2858"/>
      <c r="BG1" s="2858"/>
      <c r="BH1" s="2858"/>
      <c r="BI1" s="2858"/>
      <c r="BJ1" s="2858"/>
      <c r="BK1" s="2858"/>
      <c r="BL1" s="2858"/>
      <c r="BM1" s="2858"/>
      <c r="BN1" s="2858"/>
      <c r="BO1" s="2858"/>
      <c r="BP1" s="2858"/>
      <c r="BQ1" s="2858"/>
      <c r="BR1" s="2858"/>
      <c r="BS1" s="2859"/>
      <c r="BT1" s="1720" t="s">
        <v>0</v>
      </c>
      <c r="BU1" s="2163" t="s">
        <v>1703</v>
      </c>
      <c r="BV1" s="1716"/>
      <c r="BW1" s="1716"/>
      <c r="BX1" s="1716"/>
      <c r="BY1" s="1716"/>
      <c r="BZ1" s="1716"/>
      <c r="CA1" s="1716"/>
      <c r="CB1" s="1716"/>
      <c r="CC1" s="1716"/>
      <c r="CD1" s="1716"/>
      <c r="CE1" s="1716"/>
      <c r="CF1" s="1716"/>
      <c r="CG1" s="1716"/>
      <c r="CH1" s="1716"/>
      <c r="CI1" s="1716"/>
      <c r="CJ1" s="1716"/>
      <c r="CK1" s="1716"/>
      <c r="CL1" s="1716"/>
      <c r="CM1" s="1716"/>
      <c r="CN1" s="1716"/>
      <c r="CO1" s="1716"/>
    </row>
    <row r="2" spans="1:93" s="1717" customFormat="1" ht="27.75" customHeight="1" x14ac:dyDescent="0.25">
      <c r="A2" s="2858"/>
      <c r="B2" s="2858"/>
      <c r="C2" s="2858"/>
      <c r="D2" s="2858"/>
      <c r="E2" s="2858"/>
      <c r="F2" s="2858"/>
      <c r="G2" s="2858"/>
      <c r="H2" s="2858"/>
      <c r="I2" s="2858"/>
      <c r="J2" s="2858"/>
      <c r="K2" s="2858"/>
      <c r="L2" s="2858"/>
      <c r="M2" s="2858"/>
      <c r="N2" s="2858"/>
      <c r="O2" s="2858"/>
      <c r="P2" s="2858"/>
      <c r="Q2" s="2858"/>
      <c r="R2" s="2858"/>
      <c r="S2" s="2858"/>
      <c r="T2" s="2858"/>
      <c r="U2" s="2858"/>
      <c r="V2" s="2858"/>
      <c r="W2" s="2858"/>
      <c r="X2" s="2858"/>
      <c r="Y2" s="2858"/>
      <c r="Z2" s="2858"/>
      <c r="AA2" s="2858"/>
      <c r="AB2" s="2858"/>
      <c r="AC2" s="2858"/>
      <c r="AD2" s="2858"/>
      <c r="AE2" s="2858"/>
      <c r="AF2" s="2858"/>
      <c r="AG2" s="2858"/>
      <c r="AH2" s="2858"/>
      <c r="AI2" s="2858"/>
      <c r="AJ2" s="2858"/>
      <c r="AK2" s="2858"/>
      <c r="AL2" s="2858"/>
      <c r="AM2" s="2858"/>
      <c r="AN2" s="2858"/>
      <c r="AO2" s="2858"/>
      <c r="AP2" s="2858"/>
      <c r="AQ2" s="2858"/>
      <c r="AR2" s="2858"/>
      <c r="AS2" s="2858"/>
      <c r="AT2" s="2858"/>
      <c r="AU2" s="2858"/>
      <c r="AV2" s="2858"/>
      <c r="AW2" s="2858"/>
      <c r="AX2" s="2858"/>
      <c r="AY2" s="2858"/>
      <c r="AZ2" s="2858"/>
      <c r="BA2" s="2858"/>
      <c r="BB2" s="2858"/>
      <c r="BC2" s="2858"/>
      <c r="BD2" s="2858"/>
      <c r="BE2" s="2858"/>
      <c r="BF2" s="2858"/>
      <c r="BG2" s="2858"/>
      <c r="BH2" s="2858"/>
      <c r="BI2" s="2858"/>
      <c r="BJ2" s="2858"/>
      <c r="BK2" s="2858"/>
      <c r="BL2" s="2858"/>
      <c r="BM2" s="2858"/>
      <c r="BN2" s="2858"/>
      <c r="BO2" s="2858"/>
      <c r="BP2" s="2858"/>
      <c r="BQ2" s="2858"/>
      <c r="BR2" s="2858"/>
      <c r="BS2" s="2859"/>
      <c r="BT2" s="1720" t="s">
        <v>2</v>
      </c>
      <c r="BU2" s="1958" t="s">
        <v>1073</v>
      </c>
      <c r="BV2" s="1716"/>
      <c r="BW2" s="1716"/>
      <c r="BX2" s="1716"/>
      <c r="BY2" s="1716"/>
      <c r="BZ2" s="1716"/>
      <c r="CA2" s="1716"/>
      <c r="CB2" s="1716"/>
      <c r="CC2" s="1716"/>
      <c r="CD2" s="1716"/>
      <c r="CE2" s="1716"/>
      <c r="CF2" s="1716"/>
      <c r="CG2" s="1716"/>
      <c r="CH2" s="1716"/>
      <c r="CI2" s="1716"/>
      <c r="CJ2" s="1716"/>
      <c r="CK2" s="1716"/>
      <c r="CL2" s="1716"/>
      <c r="CM2" s="1716"/>
      <c r="CN2" s="1716"/>
      <c r="CO2" s="1716"/>
    </row>
    <row r="3" spans="1:93" s="1717" customFormat="1" ht="27.75" customHeight="1" x14ac:dyDescent="0.25">
      <c r="A3" s="2858"/>
      <c r="B3" s="2858"/>
      <c r="C3" s="2858"/>
      <c r="D3" s="2858"/>
      <c r="E3" s="2858"/>
      <c r="F3" s="2858"/>
      <c r="G3" s="2858"/>
      <c r="H3" s="2858"/>
      <c r="I3" s="2858"/>
      <c r="J3" s="2858"/>
      <c r="K3" s="2858"/>
      <c r="L3" s="2858"/>
      <c r="M3" s="2858"/>
      <c r="N3" s="2858"/>
      <c r="O3" s="2858"/>
      <c r="P3" s="2858"/>
      <c r="Q3" s="2858"/>
      <c r="R3" s="2858"/>
      <c r="S3" s="2858"/>
      <c r="T3" s="2858"/>
      <c r="U3" s="2858"/>
      <c r="V3" s="2858"/>
      <c r="W3" s="2858"/>
      <c r="X3" s="2858"/>
      <c r="Y3" s="2858"/>
      <c r="Z3" s="2858"/>
      <c r="AA3" s="2858"/>
      <c r="AB3" s="2858"/>
      <c r="AC3" s="2858"/>
      <c r="AD3" s="2858"/>
      <c r="AE3" s="2858"/>
      <c r="AF3" s="2858"/>
      <c r="AG3" s="2858"/>
      <c r="AH3" s="2858"/>
      <c r="AI3" s="2858"/>
      <c r="AJ3" s="2858"/>
      <c r="AK3" s="2858"/>
      <c r="AL3" s="2858"/>
      <c r="AM3" s="2858"/>
      <c r="AN3" s="2858"/>
      <c r="AO3" s="2858"/>
      <c r="AP3" s="2858"/>
      <c r="AQ3" s="2858"/>
      <c r="AR3" s="2858"/>
      <c r="AS3" s="2858"/>
      <c r="AT3" s="2858"/>
      <c r="AU3" s="2858"/>
      <c r="AV3" s="2858"/>
      <c r="AW3" s="2858"/>
      <c r="AX3" s="2858"/>
      <c r="AY3" s="2858"/>
      <c r="AZ3" s="2858"/>
      <c r="BA3" s="2858"/>
      <c r="BB3" s="2858"/>
      <c r="BC3" s="2858"/>
      <c r="BD3" s="2858"/>
      <c r="BE3" s="2858"/>
      <c r="BF3" s="2858"/>
      <c r="BG3" s="2858"/>
      <c r="BH3" s="2858"/>
      <c r="BI3" s="2858"/>
      <c r="BJ3" s="2858"/>
      <c r="BK3" s="2858"/>
      <c r="BL3" s="2858"/>
      <c r="BM3" s="2858"/>
      <c r="BN3" s="2858"/>
      <c r="BO3" s="2858"/>
      <c r="BP3" s="2858"/>
      <c r="BQ3" s="2858"/>
      <c r="BR3" s="2858"/>
      <c r="BS3" s="2859"/>
      <c r="BT3" s="1720" t="s">
        <v>4</v>
      </c>
      <c r="BU3" s="2231">
        <v>44266</v>
      </c>
      <c r="BV3" s="1716"/>
      <c r="BW3" s="1716"/>
      <c r="BX3" s="1716"/>
      <c r="BY3" s="1716"/>
      <c r="BZ3" s="1716"/>
      <c r="CA3" s="1716"/>
      <c r="CB3" s="1716"/>
      <c r="CC3" s="1716"/>
      <c r="CD3" s="1716"/>
      <c r="CE3" s="1716"/>
      <c r="CF3" s="1716"/>
      <c r="CG3" s="1716"/>
      <c r="CH3" s="1716"/>
      <c r="CI3" s="1716"/>
      <c r="CJ3" s="1716"/>
      <c r="CK3" s="1716"/>
      <c r="CL3" s="1716"/>
      <c r="CM3" s="1716"/>
      <c r="CN3" s="1716"/>
      <c r="CO3" s="1716"/>
    </row>
    <row r="4" spans="1:93" s="1717" customFormat="1" ht="27.75" customHeight="1" x14ac:dyDescent="0.25">
      <c r="A4" s="2860"/>
      <c r="B4" s="2860"/>
      <c r="C4" s="2860"/>
      <c r="D4" s="2860"/>
      <c r="E4" s="2860"/>
      <c r="F4" s="2860"/>
      <c r="G4" s="2860"/>
      <c r="H4" s="2860"/>
      <c r="I4" s="2860"/>
      <c r="J4" s="2860"/>
      <c r="K4" s="2860"/>
      <c r="L4" s="2860"/>
      <c r="M4" s="2860"/>
      <c r="N4" s="2860"/>
      <c r="O4" s="2860"/>
      <c r="P4" s="2860"/>
      <c r="Q4" s="2860"/>
      <c r="R4" s="2860"/>
      <c r="S4" s="2860"/>
      <c r="T4" s="2860"/>
      <c r="U4" s="2860"/>
      <c r="V4" s="2860"/>
      <c r="W4" s="2860"/>
      <c r="X4" s="2860"/>
      <c r="Y4" s="2860"/>
      <c r="Z4" s="2860"/>
      <c r="AA4" s="2860"/>
      <c r="AB4" s="2860"/>
      <c r="AC4" s="2860"/>
      <c r="AD4" s="2860"/>
      <c r="AE4" s="2860"/>
      <c r="AF4" s="2860"/>
      <c r="AG4" s="2860"/>
      <c r="AH4" s="2860"/>
      <c r="AI4" s="2860"/>
      <c r="AJ4" s="2860"/>
      <c r="AK4" s="2860"/>
      <c r="AL4" s="2860"/>
      <c r="AM4" s="2860"/>
      <c r="AN4" s="2860"/>
      <c r="AO4" s="2860"/>
      <c r="AP4" s="2860"/>
      <c r="AQ4" s="2860"/>
      <c r="AR4" s="2860"/>
      <c r="AS4" s="2860"/>
      <c r="AT4" s="2860"/>
      <c r="AU4" s="2860"/>
      <c r="AV4" s="2860"/>
      <c r="AW4" s="2860"/>
      <c r="AX4" s="2860"/>
      <c r="AY4" s="2860"/>
      <c r="AZ4" s="2860"/>
      <c r="BA4" s="2860"/>
      <c r="BB4" s="2860"/>
      <c r="BC4" s="2860"/>
      <c r="BD4" s="2860"/>
      <c r="BE4" s="2860"/>
      <c r="BF4" s="2860"/>
      <c r="BG4" s="2860"/>
      <c r="BH4" s="2860"/>
      <c r="BI4" s="2860"/>
      <c r="BJ4" s="2860"/>
      <c r="BK4" s="2860"/>
      <c r="BL4" s="2860"/>
      <c r="BM4" s="2860"/>
      <c r="BN4" s="2860"/>
      <c r="BO4" s="2860"/>
      <c r="BP4" s="2860"/>
      <c r="BQ4" s="2860"/>
      <c r="BR4" s="2860"/>
      <c r="BS4" s="2861"/>
      <c r="BT4" s="1720" t="s">
        <v>5</v>
      </c>
      <c r="BU4" s="367" t="s">
        <v>6</v>
      </c>
      <c r="BV4" s="1716"/>
      <c r="BW4" s="1716"/>
      <c r="BX4" s="1716"/>
      <c r="BY4" s="1716"/>
      <c r="BZ4" s="1716"/>
      <c r="CA4" s="1716"/>
      <c r="CB4" s="1716"/>
      <c r="CC4" s="1716"/>
      <c r="CD4" s="1716"/>
      <c r="CE4" s="1716"/>
      <c r="CF4" s="1716"/>
      <c r="CG4" s="1716"/>
      <c r="CH4" s="1716"/>
      <c r="CI4" s="1716"/>
      <c r="CJ4" s="1716"/>
      <c r="CK4" s="1716"/>
      <c r="CL4" s="1716"/>
      <c r="CM4" s="1716"/>
      <c r="CN4" s="1716"/>
      <c r="CO4" s="1716"/>
    </row>
    <row r="5" spans="1:93" s="1717" customFormat="1" ht="40.5" customHeight="1" x14ac:dyDescent="0.25">
      <c r="A5" s="2862" t="s">
        <v>1870</v>
      </c>
      <c r="B5" s="2862"/>
      <c r="C5" s="2862"/>
      <c r="D5" s="2862"/>
      <c r="E5" s="2862"/>
      <c r="F5" s="2862"/>
      <c r="G5" s="2862"/>
      <c r="H5" s="2862"/>
      <c r="I5" s="2862"/>
      <c r="J5" s="2862"/>
      <c r="K5" s="2862"/>
      <c r="L5" s="2862"/>
      <c r="M5" s="2862"/>
      <c r="N5" s="2862"/>
      <c r="O5" s="2862"/>
      <c r="P5" s="1715"/>
      <c r="Q5" s="2864"/>
      <c r="R5" s="2864"/>
      <c r="S5" s="2864"/>
      <c r="T5" s="2864"/>
      <c r="U5" s="2864"/>
      <c r="V5" s="2864"/>
      <c r="W5" s="2864"/>
      <c r="X5" s="2864"/>
      <c r="Y5" s="2864"/>
      <c r="Z5" s="2864"/>
      <c r="AA5" s="2864"/>
      <c r="AB5" s="2864"/>
      <c r="AC5" s="2864"/>
      <c r="AD5" s="2864"/>
      <c r="AE5" s="2864"/>
      <c r="AF5" s="2864"/>
      <c r="AG5" s="2864"/>
      <c r="AH5" s="2864"/>
      <c r="AI5" s="2864"/>
      <c r="AJ5" s="2864"/>
      <c r="AK5" s="2864"/>
      <c r="AL5" s="2864"/>
      <c r="AM5" s="2864"/>
      <c r="AN5" s="2864"/>
      <c r="AO5" s="2864"/>
      <c r="AP5" s="2864"/>
      <c r="AQ5" s="2864"/>
      <c r="AR5" s="2864"/>
      <c r="AS5" s="2864"/>
      <c r="AT5" s="2864"/>
      <c r="AU5" s="2864"/>
      <c r="AV5" s="2864"/>
      <c r="AW5" s="2864"/>
      <c r="AX5" s="2864"/>
      <c r="AY5" s="2864"/>
      <c r="AZ5" s="2864"/>
      <c r="BA5" s="2864"/>
      <c r="BB5" s="2864"/>
      <c r="BC5" s="2864"/>
      <c r="BD5" s="2864"/>
      <c r="BE5" s="2864"/>
      <c r="BF5" s="2864"/>
      <c r="BG5" s="2864"/>
      <c r="BH5" s="2864"/>
      <c r="BI5" s="2864"/>
      <c r="BJ5" s="2864"/>
      <c r="BK5" s="2864"/>
      <c r="BL5" s="2864"/>
      <c r="BM5" s="2864"/>
      <c r="BN5" s="2864"/>
      <c r="BO5" s="2864"/>
      <c r="BP5" s="2864"/>
      <c r="BQ5" s="2864"/>
      <c r="BR5" s="2864"/>
      <c r="BS5" s="2864"/>
      <c r="BT5" s="2864"/>
      <c r="BU5" s="2864"/>
      <c r="BV5" s="1716"/>
      <c r="BW5" s="1716"/>
      <c r="BX5" s="1716"/>
      <c r="BY5" s="1716"/>
      <c r="BZ5" s="1716"/>
      <c r="CA5" s="1716"/>
      <c r="CB5" s="1716"/>
      <c r="CC5" s="1716"/>
      <c r="CD5" s="1716"/>
      <c r="CE5" s="1716"/>
      <c r="CF5" s="1716"/>
      <c r="CG5" s="1716"/>
      <c r="CH5" s="1716"/>
      <c r="CI5" s="1716"/>
      <c r="CJ5" s="1716"/>
      <c r="CK5" s="1716"/>
      <c r="CL5" s="1716"/>
      <c r="CM5" s="1716"/>
      <c r="CN5" s="1716"/>
      <c r="CO5" s="1716"/>
    </row>
    <row r="6" spans="1:93" s="1717" customFormat="1" ht="27" customHeight="1" x14ac:dyDescent="0.25">
      <c r="A6" s="2863"/>
      <c r="B6" s="2863"/>
      <c r="C6" s="2863"/>
      <c r="D6" s="2863"/>
      <c r="E6" s="2863"/>
      <c r="F6" s="2863"/>
      <c r="G6" s="2863"/>
      <c r="H6" s="2863"/>
      <c r="I6" s="2863"/>
      <c r="J6" s="2863"/>
      <c r="K6" s="2863"/>
      <c r="L6" s="2863"/>
      <c r="M6" s="2863"/>
      <c r="N6" s="2863"/>
      <c r="O6" s="2863"/>
      <c r="P6" s="1724"/>
      <c r="Q6" s="1724"/>
      <c r="R6" s="1959"/>
      <c r="S6" s="1724"/>
      <c r="T6" s="1724"/>
      <c r="U6" s="1959"/>
      <c r="V6" s="1959"/>
      <c r="W6" s="1959"/>
      <c r="X6" s="1724"/>
      <c r="Y6" s="1724"/>
      <c r="Z6" s="1724"/>
      <c r="AA6" s="1724"/>
      <c r="AB6" s="1724"/>
      <c r="AC6" s="1724"/>
      <c r="AD6" s="2865" t="s">
        <v>8</v>
      </c>
      <c r="AE6" s="2866"/>
      <c r="AF6" s="2866"/>
      <c r="AG6" s="2866"/>
      <c r="AH6" s="2866"/>
      <c r="AI6" s="2866"/>
      <c r="AJ6" s="2866"/>
      <c r="AK6" s="2866"/>
      <c r="AL6" s="2866"/>
      <c r="AM6" s="2866"/>
      <c r="AN6" s="2866"/>
      <c r="AO6" s="2866"/>
      <c r="AP6" s="2866"/>
      <c r="AQ6" s="2866"/>
      <c r="AR6" s="2866"/>
      <c r="AS6" s="2866"/>
      <c r="AT6" s="2866"/>
      <c r="AU6" s="2866"/>
      <c r="AV6" s="2866"/>
      <c r="AW6" s="2866"/>
      <c r="AX6" s="2866"/>
      <c r="AY6" s="2866"/>
      <c r="AZ6" s="2866"/>
      <c r="BA6" s="2866"/>
      <c r="BB6" s="2866"/>
      <c r="BC6" s="2866"/>
      <c r="BD6" s="2866"/>
      <c r="BE6" s="2866"/>
      <c r="BF6" s="2866"/>
      <c r="BG6" s="2866"/>
      <c r="BH6" s="2866"/>
      <c r="BI6" s="2866"/>
      <c r="BJ6" s="1724"/>
      <c r="BK6" s="1960"/>
      <c r="BL6" s="1960"/>
      <c r="BM6" s="1961"/>
      <c r="BN6" s="1724"/>
      <c r="BO6" s="1724"/>
      <c r="BP6" s="1724"/>
      <c r="BQ6" s="1724"/>
      <c r="BR6" s="1724"/>
      <c r="BS6" s="1724"/>
      <c r="BT6" s="1724"/>
      <c r="BU6" s="1797"/>
      <c r="BV6" s="1716"/>
      <c r="BW6" s="1716"/>
      <c r="BX6" s="1716"/>
      <c r="BY6" s="1716"/>
      <c r="BZ6" s="1716"/>
      <c r="CA6" s="1716"/>
      <c r="CB6" s="1716"/>
      <c r="CC6" s="1716"/>
      <c r="CD6" s="1716"/>
      <c r="CE6" s="1716"/>
      <c r="CF6" s="1716"/>
      <c r="CG6" s="1716"/>
      <c r="CH6" s="1716"/>
      <c r="CI6" s="1716"/>
      <c r="CJ6" s="1716"/>
      <c r="CK6" s="1716"/>
      <c r="CL6" s="1716"/>
      <c r="CM6" s="1716"/>
      <c r="CN6" s="1716"/>
      <c r="CO6" s="1716"/>
    </row>
    <row r="7" spans="1:93" ht="36.75" customHeight="1" x14ac:dyDescent="0.25">
      <c r="A7" s="2867" t="s">
        <v>9</v>
      </c>
      <c r="B7" s="2868"/>
      <c r="C7" s="2869" t="s">
        <v>10</v>
      </c>
      <c r="D7" s="2867"/>
      <c r="E7" s="2867" t="s">
        <v>11</v>
      </c>
      <c r="F7" s="2868"/>
      <c r="G7" s="2870" t="s">
        <v>12</v>
      </c>
      <c r="H7" s="2871"/>
      <c r="I7" s="2871"/>
      <c r="J7" s="2871"/>
      <c r="K7" s="2870" t="s">
        <v>13</v>
      </c>
      <c r="L7" s="2871"/>
      <c r="M7" s="2871"/>
      <c r="N7" s="2871"/>
      <c r="O7" s="2872" t="s">
        <v>14</v>
      </c>
      <c r="P7" s="2873"/>
      <c r="Q7" s="2873"/>
      <c r="R7" s="2873"/>
      <c r="S7" s="2873"/>
      <c r="T7" s="2873"/>
      <c r="U7" s="2873"/>
      <c r="V7" s="2873"/>
      <c r="W7" s="2873"/>
      <c r="X7" s="2873"/>
      <c r="Y7" s="2873"/>
      <c r="Z7" s="2874"/>
      <c r="AA7" s="2867" t="s">
        <v>15</v>
      </c>
      <c r="AB7" s="2867"/>
      <c r="AC7" s="2868"/>
      <c r="AD7" s="2885" t="s">
        <v>16</v>
      </c>
      <c r="AE7" s="2886"/>
      <c r="AF7" s="2886"/>
      <c r="AG7" s="2887"/>
      <c r="AH7" s="2875" t="s">
        <v>17</v>
      </c>
      <c r="AI7" s="2876"/>
      <c r="AJ7" s="2876"/>
      <c r="AK7" s="2876"/>
      <c r="AL7" s="2876"/>
      <c r="AM7" s="2876"/>
      <c r="AN7" s="2876"/>
      <c r="AO7" s="2877"/>
      <c r="AP7" s="2888" t="s">
        <v>18</v>
      </c>
      <c r="AQ7" s="2889"/>
      <c r="AR7" s="2889"/>
      <c r="AS7" s="2889"/>
      <c r="AT7" s="2889"/>
      <c r="AU7" s="2889"/>
      <c r="AV7" s="2889"/>
      <c r="AW7" s="2889"/>
      <c r="AX7" s="2889"/>
      <c r="AY7" s="2889"/>
      <c r="AZ7" s="2889"/>
      <c r="BA7" s="2890"/>
      <c r="BB7" s="2875" t="s">
        <v>19</v>
      </c>
      <c r="BC7" s="2876"/>
      <c r="BD7" s="2876"/>
      <c r="BE7" s="2876"/>
      <c r="BF7" s="2876"/>
      <c r="BG7" s="2877"/>
      <c r="BH7" s="2891" t="s">
        <v>20</v>
      </c>
      <c r="BI7" s="2892"/>
      <c r="BJ7" s="2875" t="s">
        <v>1705</v>
      </c>
      <c r="BK7" s="2876"/>
      <c r="BL7" s="2876"/>
      <c r="BM7" s="2876"/>
      <c r="BN7" s="2876"/>
      <c r="BO7" s="2876"/>
      <c r="BP7" s="2877"/>
      <c r="BQ7" s="2878" t="s">
        <v>1509</v>
      </c>
      <c r="BR7" s="2879"/>
      <c r="BS7" s="2878" t="s">
        <v>2573</v>
      </c>
      <c r="BT7" s="2879"/>
      <c r="BU7" s="2882" t="s">
        <v>24</v>
      </c>
    </row>
    <row r="8" spans="1:93" ht="84.75" customHeight="1" x14ac:dyDescent="0.25">
      <c r="A8" s="2883" t="s">
        <v>25</v>
      </c>
      <c r="B8" s="2884" t="s">
        <v>26</v>
      </c>
      <c r="C8" s="2883" t="s">
        <v>25</v>
      </c>
      <c r="D8" s="2884" t="s">
        <v>26</v>
      </c>
      <c r="E8" s="2884" t="s">
        <v>25</v>
      </c>
      <c r="F8" s="2884" t="s">
        <v>26</v>
      </c>
      <c r="G8" s="2903" t="s">
        <v>27</v>
      </c>
      <c r="H8" s="2903" t="s">
        <v>28</v>
      </c>
      <c r="I8" s="2903" t="s">
        <v>29</v>
      </c>
      <c r="J8" s="2903" t="s">
        <v>131</v>
      </c>
      <c r="K8" s="2903" t="s">
        <v>27</v>
      </c>
      <c r="L8" s="2903" t="s">
        <v>31</v>
      </c>
      <c r="M8" s="2903" t="s">
        <v>32</v>
      </c>
      <c r="N8" s="2903" t="s">
        <v>33</v>
      </c>
      <c r="O8" s="2904" t="s">
        <v>130</v>
      </c>
      <c r="P8" s="2904"/>
      <c r="Q8" s="2884" t="s">
        <v>35</v>
      </c>
      <c r="R8" s="2884" t="s">
        <v>36</v>
      </c>
      <c r="S8" s="2905" t="s">
        <v>37</v>
      </c>
      <c r="T8" s="2899" t="s">
        <v>38</v>
      </c>
      <c r="U8" s="2884" t="s">
        <v>39</v>
      </c>
      <c r="V8" s="2884" t="s">
        <v>40</v>
      </c>
      <c r="W8" s="2884" t="s">
        <v>41</v>
      </c>
      <c r="X8" s="2900" t="s">
        <v>38</v>
      </c>
      <c r="Y8" s="2901"/>
      <c r="Z8" s="2902"/>
      <c r="AA8" s="2884" t="s">
        <v>43</v>
      </c>
      <c r="AB8" s="2883" t="s">
        <v>44</v>
      </c>
      <c r="AC8" s="2884" t="s">
        <v>26</v>
      </c>
      <c r="AD8" s="2895" t="s">
        <v>45</v>
      </c>
      <c r="AE8" s="2896"/>
      <c r="AF8" s="2897" t="s">
        <v>46</v>
      </c>
      <c r="AG8" s="2898"/>
      <c r="AH8" s="2895" t="s">
        <v>47</v>
      </c>
      <c r="AI8" s="2896"/>
      <c r="AJ8" s="2895" t="s">
        <v>48</v>
      </c>
      <c r="AK8" s="2896"/>
      <c r="AL8" s="2895" t="s">
        <v>134</v>
      </c>
      <c r="AM8" s="2896"/>
      <c r="AN8" s="2895" t="s">
        <v>50</v>
      </c>
      <c r="AO8" s="2896"/>
      <c r="AP8" s="2895" t="s">
        <v>51</v>
      </c>
      <c r="AQ8" s="2896"/>
      <c r="AR8" s="2895" t="s">
        <v>52</v>
      </c>
      <c r="AS8" s="2896"/>
      <c r="AT8" s="2895" t="s">
        <v>53</v>
      </c>
      <c r="AU8" s="2896"/>
      <c r="AV8" s="2895" t="s">
        <v>135</v>
      </c>
      <c r="AW8" s="2896"/>
      <c r="AX8" s="2895" t="s">
        <v>55</v>
      </c>
      <c r="AY8" s="2896"/>
      <c r="AZ8" s="2895" t="s">
        <v>56</v>
      </c>
      <c r="BA8" s="2896"/>
      <c r="BB8" s="2895" t="s">
        <v>57</v>
      </c>
      <c r="BC8" s="2896"/>
      <c r="BD8" s="2895" t="s">
        <v>58</v>
      </c>
      <c r="BE8" s="2896"/>
      <c r="BF8" s="2895" t="s">
        <v>59</v>
      </c>
      <c r="BG8" s="2896"/>
      <c r="BH8" s="2893"/>
      <c r="BI8" s="2894"/>
      <c r="BJ8" s="2926" t="s">
        <v>1706</v>
      </c>
      <c r="BK8" s="2928" t="s">
        <v>136</v>
      </c>
      <c r="BL8" s="2928" t="s">
        <v>137</v>
      </c>
      <c r="BM8" s="2930" t="s">
        <v>63</v>
      </c>
      <c r="BN8" s="2932" t="s">
        <v>1707</v>
      </c>
      <c r="BO8" s="2933"/>
      <c r="BP8" s="2914" t="s">
        <v>65</v>
      </c>
      <c r="BQ8" s="2880"/>
      <c r="BR8" s="2881"/>
      <c r="BS8" s="2880"/>
      <c r="BT8" s="2881"/>
      <c r="BU8" s="2882"/>
    </row>
    <row r="9" spans="1:93" ht="42.75" customHeight="1" x14ac:dyDescent="0.25">
      <c r="A9" s="2883"/>
      <c r="B9" s="2884"/>
      <c r="C9" s="2883"/>
      <c r="D9" s="2884"/>
      <c r="E9" s="2884"/>
      <c r="F9" s="2884"/>
      <c r="G9" s="2903"/>
      <c r="H9" s="2903"/>
      <c r="I9" s="2903"/>
      <c r="J9" s="2903"/>
      <c r="K9" s="2903"/>
      <c r="L9" s="2903"/>
      <c r="M9" s="2903"/>
      <c r="N9" s="2903"/>
      <c r="O9" s="1963" t="s">
        <v>66</v>
      </c>
      <c r="P9" s="1963" t="s">
        <v>67</v>
      </c>
      <c r="Q9" s="2884"/>
      <c r="R9" s="2884"/>
      <c r="S9" s="2905"/>
      <c r="T9" s="2899"/>
      <c r="U9" s="2884"/>
      <c r="V9" s="2884"/>
      <c r="W9" s="2884"/>
      <c r="X9" s="1727" t="s">
        <v>68</v>
      </c>
      <c r="Y9" s="1727" t="s">
        <v>69</v>
      </c>
      <c r="Z9" s="1727" t="s">
        <v>70</v>
      </c>
      <c r="AA9" s="2884"/>
      <c r="AB9" s="2883"/>
      <c r="AC9" s="2884"/>
      <c r="AD9" s="1964" t="s">
        <v>66</v>
      </c>
      <c r="AE9" s="1964" t="s">
        <v>67</v>
      </c>
      <c r="AF9" s="1965" t="s">
        <v>66</v>
      </c>
      <c r="AG9" s="1965" t="s">
        <v>67</v>
      </c>
      <c r="AH9" s="1964" t="s">
        <v>66</v>
      </c>
      <c r="AI9" s="1964" t="s">
        <v>67</v>
      </c>
      <c r="AJ9" s="1964" t="s">
        <v>66</v>
      </c>
      <c r="AK9" s="1964" t="s">
        <v>67</v>
      </c>
      <c r="AL9" s="1964" t="s">
        <v>66</v>
      </c>
      <c r="AM9" s="1964" t="s">
        <v>67</v>
      </c>
      <c r="AN9" s="1964" t="s">
        <v>66</v>
      </c>
      <c r="AO9" s="1964" t="s">
        <v>67</v>
      </c>
      <c r="AP9" s="1964" t="s">
        <v>66</v>
      </c>
      <c r="AQ9" s="1964" t="s">
        <v>67</v>
      </c>
      <c r="AR9" s="1964" t="s">
        <v>66</v>
      </c>
      <c r="AS9" s="1964" t="s">
        <v>67</v>
      </c>
      <c r="AT9" s="1964" t="s">
        <v>66</v>
      </c>
      <c r="AU9" s="1964" t="s">
        <v>67</v>
      </c>
      <c r="AV9" s="1964" t="s">
        <v>66</v>
      </c>
      <c r="AW9" s="1964" t="s">
        <v>67</v>
      </c>
      <c r="AX9" s="1964" t="s">
        <v>66</v>
      </c>
      <c r="AY9" s="1964" t="s">
        <v>67</v>
      </c>
      <c r="AZ9" s="1964" t="s">
        <v>66</v>
      </c>
      <c r="BA9" s="1964" t="s">
        <v>67</v>
      </c>
      <c r="BB9" s="1964" t="s">
        <v>66</v>
      </c>
      <c r="BC9" s="1964" t="s">
        <v>67</v>
      </c>
      <c r="BD9" s="1964" t="s">
        <v>66</v>
      </c>
      <c r="BE9" s="1964" t="s">
        <v>67</v>
      </c>
      <c r="BF9" s="1964" t="s">
        <v>66</v>
      </c>
      <c r="BG9" s="1964" t="s">
        <v>67</v>
      </c>
      <c r="BH9" s="1966" t="s">
        <v>66</v>
      </c>
      <c r="BI9" s="1966" t="s">
        <v>67</v>
      </c>
      <c r="BJ9" s="2927"/>
      <c r="BK9" s="2929"/>
      <c r="BL9" s="2929"/>
      <c r="BM9" s="2931"/>
      <c r="BN9" s="1727" t="s">
        <v>1708</v>
      </c>
      <c r="BO9" s="1727" t="s">
        <v>1075</v>
      </c>
      <c r="BP9" s="2915"/>
      <c r="BQ9" s="1729" t="s">
        <v>66</v>
      </c>
      <c r="BR9" s="1729" t="s">
        <v>67</v>
      </c>
      <c r="BS9" s="1729" t="s">
        <v>66</v>
      </c>
      <c r="BT9" s="1729" t="s">
        <v>67</v>
      </c>
      <c r="BU9" s="2882"/>
    </row>
    <row r="10" spans="1:93" s="1981" customFormat="1" ht="27" customHeight="1" x14ac:dyDescent="0.25">
      <c r="A10" s="1967">
        <v>1</v>
      </c>
      <c r="B10" s="2916" t="s">
        <v>1081</v>
      </c>
      <c r="C10" s="2917"/>
      <c r="D10" s="2917"/>
      <c r="E10" s="2917"/>
      <c r="F10" s="2917"/>
      <c r="G10" s="1968"/>
      <c r="H10" s="1969"/>
      <c r="I10" s="1968"/>
      <c r="J10" s="1970"/>
      <c r="K10" s="1971"/>
      <c r="L10" s="1970"/>
      <c r="M10" s="1971"/>
      <c r="N10" s="1970"/>
      <c r="O10" s="1971"/>
      <c r="P10" s="1971"/>
      <c r="Q10" s="1971"/>
      <c r="R10" s="1970"/>
      <c r="S10" s="1972"/>
      <c r="T10" s="1973"/>
      <c r="U10" s="1970"/>
      <c r="V10" s="1970"/>
      <c r="W10" s="1970"/>
      <c r="X10" s="1974"/>
      <c r="Y10" s="1974"/>
      <c r="Z10" s="1974"/>
      <c r="AA10" s="1971"/>
      <c r="AB10" s="1975"/>
      <c r="AC10" s="1970"/>
      <c r="AD10" s="1976"/>
      <c r="AE10" s="1976"/>
      <c r="AF10" s="1976"/>
      <c r="AG10" s="1976"/>
      <c r="AH10" s="1976"/>
      <c r="AI10" s="1976"/>
      <c r="AJ10" s="1976"/>
      <c r="AK10" s="1976"/>
      <c r="AL10" s="1976"/>
      <c r="AM10" s="1976"/>
      <c r="AN10" s="1976"/>
      <c r="AO10" s="1976"/>
      <c r="AP10" s="1976"/>
      <c r="AQ10" s="1976"/>
      <c r="AR10" s="1976"/>
      <c r="AS10" s="1976"/>
      <c r="AT10" s="1976"/>
      <c r="AU10" s="1976"/>
      <c r="AV10" s="1976"/>
      <c r="AW10" s="1976"/>
      <c r="AX10" s="1976"/>
      <c r="AY10" s="1976"/>
      <c r="AZ10" s="1976"/>
      <c r="BA10" s="1976"/>
      <c r="BB10" s="1976"/>
      <c r="BC10" s="1976"/>
      <c r="BD10" s="1976"/>
      <c r="BE10" s="1976"/>
      <c r="BF10" s="1976"/>
      <c r="BG10" s="1976"/>
      <c r="BH10" s="1976"/>
      <c r="BI10" s="1976"/>
      <c r="BJ10" s="1971"/>
      <c r="BK10" s="1977"/>
      <c r="BL10" s="1977"/>
      <c r="BM10" s="1978"/>
      <c r="BN10" s="1971"/>
      <c r="BO10" s="1971"/>
      <c r="BP10" s="1971"/>
      <c r="BQ10" s="1979"/>
      <c r="BR10" s="1979"/>
      <c r="BS10" s="1979"/>
      <c r="BT10" s="1979"/>
      <c r="BU10" s="1980"/>
    </row>
    <row r="11" spans="1:93" s="1994" customFormat="1" ht="27" customHeight="1" x14ac:dyDescent="0.25">
      <c r="A11" s="1982"/>
      <c r="B11" s="1983"/>
      <c r="C11" s="31">
        <v>12</v>
      </c>
      <c r="D11" s="2918" t="s">
        <v>409</v>
      </c>
      <c r="E11" s="2919"/>
      <c r="F11" s="2919"/>
      <c r="G11" s="2919"/>
      <c r="H11" s="2919"/>
      <c r="I11" s="2919"/>
      <c r="J11" s="1984"/>
      <c r="K11" s="1985"/>
      <c r="L11" s="1984"/>
      <c r="M11" s="1985"/>
      <c r="N11" s="1984"/>
      <c r="O11" s="1985"/>
      <c r="P11" s="1985"/>
      <c r="Q11" s="1985"/>
      <c r="R11" s="1984"/>
      <c r="S11" s="1986"/>
      <c r="T11" s="1987"/>
      <c r="U11" s="1984"/>
      <c r="V11" s="1984"/>
      <c r="W11" s="1984"/>
      <c r="X11" s="1988"/>
      <c r="Y11" s="1988"/>
      <c r="Z11" s="1988"/>
      <c r="AA11" s="1985"/>
      <c r="AB11" s="1989"/>
      <c r="AC11" s="1984"/>
      <c r="AD11" s="1985"/>
      <c r="AE11" s="1985"/>
      <c r="AF11" s="1985"/>
      <c r="AG11" s="1985"/>
      <c r="AH11" s="1985"/>
      <c r="AI11" s="1985"/>
      <c r="AJ11" s="1985"/>
      <c r="AK11" s="1985"/>
      <c r="AL11" s="1985"/>
      <c r="AM11" s="1985"/>
      <c r="AN11" s="1985"/>
      <c r="AO11" s="1985"/>
      <c r="AP11" s="1985"/>
      <c r="AQ11" s="1985"/>
      <c r="AR11" s="1985"/>
      <c r="AS11" s="1985"/>
      <c r="AT11" s="1985"/>
      <c r="AU11" s="1985"/>
      <c r="AV11" s="1985"/>
      <c r="AW11" s="1985"/>
      <c r="AX11" s="1985"/>
      <c r="AY11" s="1985"/>
      <c r="AZ11" s="1985"/>
      <c r="BA11" s="1985"/>
      <c r="BB11" s="1985"/>
      <c r="BC11" s="1985"/>
      <c r="BD11" s="1985"/>
      <c r="BE11" s="1985"/>
      <c r="BF11" s="1985"/>
      <c r="BG11" s="1985"/>
      <c r="BH11" s="1985"/>
      <c r="BI11" s="1985"/>
      <c r="BJ11" s="1985"/>
      <c r="BK11" s="1990"/>
      <c r="BL11" s="1990"/>
      <c r="BM11" s="1991"/>
      <c r="BN11" s="1985"/>
      <c r="BO11" s="1985"/>
      <c r="BP11" s="1985"/>
      <c r="BQ11" s="1992"/>
      <c r="BR11" s="1992"/>
      <c r="BS11" s="1992"/>
      <c r="BT11" s="1992"/>
      <c r="BU11" s="1993"/>
    </row>
    <row r="12" spans="1:93" s="2006" customFormat="1" ht="27" customHeight="1" x14ac:dyDescent="0.25">
      <c r="A12" s="2920"/>
      <c r="B12" s="2921"/>
      <c r="C12" s="1995"/>
      <c r="D12" s="1996"/>
      <c r="E12" s="1997">
        <v>1202</v>
      </c>
      <c r="F12" s="2922" t="s">
        <v>2969</v>
      </c>
      <c r="G12" s="2923"/>
      <c r="H12" s="2923"/>
      <c r="I12" s="2923"/>
      <c r="J12" s="2923"/>
      <c r="K12" s="2923"/>
      <c r="L12" s="2923"/>
      <c r="M12" s="2923"/>
      <c r="N12" s="2923"/>
      <c r="O12" s="2923"/>
      <c r="P12" s="2923"/>
      <c r="Q12" s="2923"/>
      <c r="R12" s="1998"/>
      <c r="S12" s="1999"/>
      <c r="T12" s="2000"/>
      <c r="U12" s="1998"/>
      <c r="V12" s="1998"/>
      <c r="W12" s="1998"/>
      <c r="X12" s="2001"/>
      <c r="Y12" s="2001"/>
      <c r="Z12" s="2001"/>
      <c r="AA12" s="2002"/>
      <c r="AB12" s="1999"/>
      <c r="AC12" s="1998"/>
      <c r="AD12" s="1999"/>
      <c r="AE12" s="1999"/>
      <c r="AF12" s="1999"/>
      <c r="AG12" s="1999"/>
      <c r="AH12" s="1999"/>
      <c r="AI12" s="1999"/>
      <c r="AJ12" s="1999"/>
      <c r="AK12" s="1999"/>
      <c r="AL12" s="1999"/>
      <c r="AM12" s="1999"/>
      <c r="AN12" s="1999"/>
      <c r="AO12" s="1999"/>
      <c r="AP12" s="1999"/>
      <c r="AQ12" s="1999"/>
      <c r="AR12" s="1999"/>
      <c r="AS12" s="1999"/>
      <c r="AT12" s="1999"/>
      <c r="AU12" s="1999"/>
      <c r="AV12" s="1999"/>
      <c r="AW12" s="1999"/>
      <c r="AX12" s="1999"/>
      <c r="AY12" s="1999"/>
      <c r="AZ12" s="1999"/>
      <c r="BA12" s="1999"/>
      <c r="BB12" s="1999"/>
      <c r="BC12" s="1999"/>
      <c r="BD12" s="1999"/>
      <c r="BE12" s="1999"/>
      <c r="BF12" s="1999"/>
      <c r="BG12" s="1999"/>
      <c r="BH12" s="1999"/>
      <c r="BI12" s="1999"/>
      <c r="BJ12" s="1999"/>
      <c r="BK12" s="2003"/>
      <c r="BL12" s="2003"/>
      <c r="BM12" s="2004"/>
      <c r="BN12" s="1999"/>
      <c r="BO12" s="1999"/>
      <c r="BP12" s="1999"/>
      <c r="BQ12" s="1999"/>
      <c r="BR12" s="1999"/>
      <c r="BS12" s="1999"/>
      <c r="BT12" s="1999"/>
      <c r="BU12" s="2005"/>
    </row>
    <row r="13" spans="1:93" s="2006" customFormat="1" ht="48" customHeight="1" x14ac:dyDescent="0.25">
      <c r="A13" s="2920"/>
      <c r="B13" s="2921"/>
      <c r="C13" s="2007"/>
      <c r="D13" s="2008"/>
      <c r="E13" s="2924"/>
      <c r="F13" s="2924"/>
      <c r="G13" s="2906">
        <v>1202004</v>
      </c>
      <c r="H13" s="2908" t="s">
        <v>2970</v>
      </c>
      <c r="I13" s="2906">
        <v>1202004</v>
      </c>
      <c r="J13" s="2908" t="s">
        <v>2970</v>
      </c>
      <c r="K13" s="2910">
        <v>120200400</v>
      </c>
      <c r="L13" s="2912" t="s">
        <v>247</v>
      </c>
      <c r="M13" s="2910">
        <v>120200400</v>
      </c>
      <c r="N13" s="2912" t="s">
        <v>247</v>
      </c>
      <c r="O13" s="2943">
        <v>12</v>
      </c>
      <c r="P13" s="2943">
        <v>12</v>
      </c>
      <c r="Q13" s="2945" t="s">
        <v>2971</v>
      </c>
      <c r="R13" s="2948" t="s">
        <v>2972</v>
      </c>
      <c r="S13" s="2951">
        <f>T13/SUM(X13:X21)</f>
        <v>1</v>
      </c>
      <c r="T13" s="2952">
        <f>SUM(X13:X21)</f>
        <v>149000000</v>
      </c>
      <c r="U13" s="2937" t="s">
        <v>2973</v>
      </c>
      <c r="V13" s="2938" t="s">
        <v>2974</v>
      </c>
      <c r="W13" s="2941" t="s">
        <v>2975</v>
      </c>
      <c r="X13" s="2009">
        <v>15400000</v>
      </c>
      <c r="Y13" s="2009">
        <v>11540000</v>
      </c>
      <c r="Z13" s="2009">
        <v>8655000</v>
      </c>
      <c r="AA13" s="1708" t="s">
        <v>2976</v>
      </c>
      <c r="AB13" s="2010">
        <v>20</v>
      </c>
      <c r="AC13" s="2011" t="s">
        <v>734</v>
      </c>
      <c r="AD13" s="2934">
        <v>291786</v>
      </c>
      <c r="AE13" s="2934">
        <v>291786</v>
      </c>
      <c r="AF13" s="2934">
        <v>270331</v>
      </c>
      <c r="AG13" s="2934">
        <v>270331</v>
      </c>
      <c r="AH13" s="2934">
        <v>102045</v>
      </c>
      <c r="AI13" s="2934">
        <v>102045</v>
      </c>
      <c r="AJ13" s="2934">
        <v>39183</v>
      </c>
      <c r="AK13" s="2934">
        <v>39183</v>
      </c>
      <c r="AL13" s="2934">
        <v>310195</v>
      </c>
      <c r="AM13" s="2934">
        <v>310195</v>
      </c>
      <c r="AN13" s="2934">
        <v>110694</v>
      </c>
      <c r="AO13" s="2934">
        <v>110694</v>
      </c>
      <c r="AP13" s="2934">
        <v>2145</v>
      </c>
      <c r="AQ13" s="2934"/>
      <c r="AR13" s="2934">
        <v>12718</v>
      </c>
      <c r="AS13" s="2934"/>
      <c r="AT13" s="2934">
        <v>26</v>
      </c>
      <c r="AU13" s="2934"/>
      <c r="AV13" s="2934">
        <v>37</v>
      </c>
      <c r="AW13" s="2934">
        <v>0</v>
      </c>
      <c r="AX13" s="2934"/>
      <c r="AY13" s="2934">
        <v>0</v>
      </c>
      <c r="AZ13" s="2934"/>
      <c r="BA13" s="2934">
        <v>0</v>
      </c>
      <c r="BB13" s="2934">
        <v>44350</v>
      </c>
      <c r="BC13" s="2934"/>
      <c r="BD13" s="2934">
        <v>21944</v>
      </c>
      <c r="BE13" s="2934"/>
      <c r="BF13" s="2934">
        <v>75687</v>
      </c>
      <c r="BG13" s="2934"/>
      <c r="BH13" s="2934">
        <f>+AE13+AG13</f>
        <v>562117</v>
      </c>
      <c r="BI13" s="2963">
        <f>AI13+AK13+AM13+AO13</f>
        <v>562117</v>
      </c>
      <c r="BJ13" s="2963">
        <v>9</v>
      </c>
      <c r="BK13" s="2958">
        <f>SUM(Y13:Y21)</f>
        <v>88240000</v>
      </c>
      <c r="BL13" s="2958">
        <f>SUM(Z13:Z21)</f>
        <v>59630000</v>
      </c>
      <c r="BM13" s="2961">
        <f>BL13/BK13</f>
        <v>0.67577062556663647</v>
      </c>
      <c r="BN13" s="2963">
        <v>20</v>
      </c>
      <c r="BO13" s="2965" t="s">
        <v>734</v>
      </c>
      <c r="BP13" s="2967" t="s">
        <v>2977</v>
      </c>
      <c r="BQ13" s="2953">
        <v>44211</v>
      </c>
      <c r="BR13" s="2953">
        <v>44228</v>
      </c>
      <c r="BS13" s="2953">
        <v>44560</v>
      </c>
      <c r="BT13" s="2953">
        <v>44484</v>
      </c>
      <c r="BU13" s="2955" t="s">
        <v>2978</v>
      </c>
    </row>
    <row r="14" spans="1:93" s="2006" customFormat="1" ht="48" customHeight="1" x14ac:dyDescent="0.25">
      <c r="A14" s="2920"/>
      <c r="B14" s="2921"/>
      <c r="C14" s="2007"/>
      <c r="D14" s="2008"/>
      <c r="E14" s="2924"/>
      <c r="F14" s="2924"/>
      <c r="G14" s="2906"/>
      <c r="H14" s="2908"/>
      <c r="I14" s="2906"/>
      <c r="J14" s="2908"/>
      <c r="K14" s="2910"/>
      <c r="L14" s="2912"/>
      <c r="M14" s="2910"/>
      <c r="N14" s="2912"/>
      <c r="O14" s="2943"/>
      <c r="P14" s="2943"/>
      <c r="Q14" s="2945"/>
      <c r="R14" s="2949"/>
      <c r="S14" s="2951"/>
      <c r="T14" s="2952"/>
      <c r="U14" s="2937"/>
      <c r="V14" s="2939"/>
      <c r="W14" s="2942"/>
      <c r="X14" s="2009">
        <v>25000000</v>
      </c>
      <c r="Y14" s="2009">
        <v>0</v>
      </c>
      <c r="Z14" s="2009">
        <v>0</v>
      </c>
      <c r="AA14" s="1708" t="s">
        <v>2979</v>
      </c>
      <c r="AB14" s="2010">
        <v>88</v>
      </c>
      <c r="AC14" s="2011" t="s">
        <v>2980</v>
      </c>
      <c r="AD14" s="2935"/>
      <c r="AE14" s="2935"/>
      <c r="AF14" s="2935"/>
      <c r="AG14" s="2935"/>
      <c r="AH14" s="2935"/>
      <c r="AI14" s="2935"/>
      <c r="AJ14" s="2935"/>
      <c r="AK14" s="2935"/>
      <c r="AL14" s="2935"/>
      <c r="AM14" s="2935"/>
      <c r="AN14" s="2935"/>
      <c r="AO14" s="2935"/>
      <c r="AP14" s="2935"/>
      <c r="AQ14" s="2935"/>
      <c r="AR14" s="2935"/>
      <c r="AS14" s="2935"/>
      <c r="AT14" s="2935"/>
      <c r="AU14" s="2935"/>
      <c r="AV14" s="2935"/>
      <c r="AW14" s="2935"/>
      <c r="AX14" s="2935"/>
      <c r="AY14" s="2935"/>
      <c r="AZ14" s="2935"/>
      <c r="BA14" s="2935"/>
      <c r="BB14" s="2935"/>
      <c r="BC14" s="2935"/>
      <c r="BD14" s="2935"/>
      <c r="BE14" s="2935"/>
      <c r="BF14" s="2935"/>
      <c r="BG14" s="2935"/>
      <c r="BH14" s="2935"/>
      <c r="BI14" s="2964"/>
      <c r="BJ14" s="2964"/>
      <c r="BK14" s="2959"/>
      <c r="BL14" s="2959"/>
      <c r="BM14" s="2962"/>
      <c r="BN14" s="2964"/>
      <c r="BO14" s="2966"/>
      <c r="BP14" s="2968"/>
      <c r="BQ14" s="2954"/>
      <c r="BR14" s="2954"/>
      <c r="BS14" s="2954"/>
      <c r="BT14" s="2954"/>
      <c r="BU14" s="2956"/>
    </row>
    <row r="15" spans="1:93" s="2006" customFormat="1" ht="59.25" customHeight="1" x14ac:dyDescent="0.25">
      <c r="A15" s="2920"/>
      <c r="B15" s="2921"/>
      <c r="C15" s="2007"/>
      <c r="D15" s="2008"/>
      <c r="E15" s="2924"/>
      <c r="F15" s="2924"/>
      <c r="G15" s="2907"/>
      <c r="H15" s="2908"/>
      <c r="I15" s="2907"/>
      <c r="J15" s="2908"/>
      <c r="K15" s="2910"/>
      <c r="L15" s="2912"/>
      <c r="M15" s="2910"/>
      <c r="N15" s="2912"/>
      <c r="O15" s="2943"/>
      <c r="P15" s="2943"/>
      <c r="Q15" s="2946"/>
      <c r="R15" s="2949"/>
      <c r="S15" s="2951"/>
      <c r="T15" s="2952"/>
      <c r="U15" s="2937"/>
      <c r="V15" s="2939"/>
      <c r="W15" s="2012" t="s">
        <v>2981</v>
      </c>
      <c r="X15" s="2009">
        <v>15400000</v>
      </c>
      <c r="Y15" s="2009">
        <v>5770000</v>
      </c>
      <c r="Z15" s="2009">
        <v>2885000</v>
      </c>
      <c r="AA15" s="1708" t="s">
        <v>2976</v>
      </c>
      <c r="AB15" s="2010">
        <v>20</v>
      </c>
      <c r="AC15" s="2011" t="s">
        <v>734</v>
      </c>
      <c r="AD15" s="2935"/>
      <c r="AE15" s="2935"/>
      <c r="AF15" s="2935"/>
      <c r="AG15" s="2935"/>
      <c r="AH15" s="2935"/>
      <c r="AI15" s="2935"/>
      <c r="AJ15" s="2935"/>
      <c r="AK15" s="2935"/>
      <c r="AL15" s="2935"/>
      <c r="AM15" s="2935"/>
      <c r="AN15" s="2935"/>
      <c r="AO15" s="2935"/>
      <c r="AP15" s="2935"/>
      <c r="AQ15" s="2935"/>
      <c r="AR15" s="2935"/>
      <c r="AS15" s="2935"/>
      <c r="AT15" s="2935"/>
      <c r="AU15" s="2935"/>
      <c r="AV15" s="2935"/>
      <c r="AW15" s="2935"/>
      <c r="AX15" s="2935"/>
      <c r="AY15" s="2935"/>
      <c r="AZ15" s="2935"/>
      <c r="BA15" s="2935"/>
      <c r="BB15" s="2935"/>
      <c r="BC15" s="2935"/>
      <c r="BD15" s="2935"/>
      <c r="BE15" s="2935"/>
      <c r="BF15" s="2935"/>
      <c r="BG15" s="2935"/>
      <c r="BH15" s="2935"/>
      <c r="BI15" s="2964"/>
      <c r="BJ15" s="2964"/>
      <c r="BK15" s="2959"/>
      <c r="BL15" s="2959"/>
      <c r="BM15" s="2962"/>
      <c r="BN15" s="2964"/>
      <c r="BO15" s="2966"/>
      <c r="BP15" s="2968"/>
      <c r="BQ15" s="2954"/>
      <c r="BR15" s="2954"/>
      <c r="BS15" s="2954"/>
      <c r="BT15" s="2954"/>
      <c r="BU15" s="2956"/>
    </row>
    <row r="16" spans="1:93" s="2006" customFormat="1" ht="45.95" customHeight="1" x14ac:dyDescent="0.25">
      <c r="A16" s="2920"/>
      <c r="B16" s="2921"/>
      <c r="C16" s="2007"/>
      <c r="D16" s="2008"/>
      <c r="E16" s="2924"/>
      <c r="F16" s="2924"/>
      <c r="G16" s="2907"/>
      <c r="H16" s="2908"/>
      <c r="I16" s="2907"/>
      <c r="J16" s="2908"/>
      <c r="K16" s="2910"/>
      <c r="L16" s="2912"/>
      <c r="M16" s="2910"/>
      <c r="N16" s="2912"/>
      <c r="O16" s="2943"/>
      <c r="P16" s="2943"/>
      <c r="Q16" s="2946"/>
      <c r="R16" s="2949"/>
      <c r="S16" s="2951"/>
      <c r="T16" s="2952"/>
      <c r="U16" s="2937"/>
      <c r="V16" s="2939"/>
      <c r="W16" s="2941" t="s">
        <v>2982</v>
      </c>
      <c r="X16" s="2009">
        <v>15400000</v>
      </c>
      <c r="Y16" s="2009">
        <v>9540000</v>
      </c>
      <c r="Z16" s="2009">
        <v>1540000</v>
      </c>
      <c r="AA16" s="1708" t="s">
        <v>2976</v>
      </c>
      <c r="AB16" s="2010">
        <v>20</v>
      </c>
      <c r="AC16" s="2011" t="s">
        <v>734</v>
      </c>
      <c r="AD16" s="2935"/>
      <c r="AE16" s="2935"/>
      <c r="AF16" s="2935"/>
      <c r="AG16" s="2935"/>
      <c r="AH16" s="2935"/>
      <c r="AI16" s="2935"/>
      <c r="AJ16" s="2935"/>
      <c r="AK16" s="2935"/>
      <c r="AL16" s="2935"/>
      <c r="AM16" s="2935"/>
      <c r="AN16" s="2935"/>
      <c r="AO16" s="2935"/>
      <c r="AP16" s="2935"/>
      <c r="AQ16" s="2935"/>
      <c r="AR16" s="2935"/>
      <c r="AS16" s="2935"/>
      <c r="AT16" s="2935"/>
      <c r="AU16" s="2935"/>
      <c r="AV16" s="2935"/>
      <c r="AW16" s="2935"/>
      <c r="AX16" s="2935"/>
      <c r="AY16" s="2935"/>
      <c r="AZ16" s="2935"/>
      <c r="BA16" s="2935"/>
      <c r="BB16" s="2935"/>
      <c r="BC16" s="2935"/>
      <c r="BD16" s="2935"/>
      <c r="BE16" s="2935"/>
      <c r="BF16" s="2935"/>
      <c r="BG16" s="2935"/>
      <c r="BH16" s="2935"/>
      <c r="BI16" s="2964"/>
      <c r="BJ16" s="2964"/>
      <c r="BK16" s="2959"/>
      <c r="BL16" s="2959"/>
      <c r="BM16" s="2962"/>
      <c r="BN16" s="2964"/>
      <c r="BO16" s="2966"/>
      <c r="BP16" s="2968"/>
      <c r="BQ16" s="2954"/>
      <c r="BR16" s="2954"/>
      <c r="BS16" s="2954"/>
      <c r="BT16" s="2954"/>
      <c r="BU16" s="2956"/>
    </row>
    <row r="17" spans="1:73" s="2006" customFormat="1" ht="45.95" customHeight="1" x14ac:dyDescent="0.25">
      <c r="A17" s="2920"/>
      <c r="B17" s="2921"/>
      <c r="C17" s="2007"/>
      <c r="D17" s="2008"/>
      <c r="E17" s="2924"/>
      <c r="F17" s="2924"/>
      <c r="G17" s="2907"/>
      <c r="H17" s="2908"/>
      <c r="I17" s="2907"/>
      <c r="J17" s="2908"/>
      <c r="K17" s="2910"/>
      <c r="L17" s="2912"/>
      <c r="M17" s="2910"/>
      <c r="N17" s="2912"/>
      <c r="O17" s="2943"/>
      <c r="P17" s="2943"/>
      <c r="Q17" s="2946"/>
      <c r="R17" s="2949"/>
      <c r="S17" s="2951"/>
      <c r="T17" s="2952"/>
      <c r="U17" s="2937"/>
      <c r="V17" s="2939"/>
      <c r="W17" s="2942"/>
      <c r="X17" s="2009">
        <v>10000000</v>
      </c>
      <c r="Y17" s="2009">
        <v>0</v>
      </c>
      <c r="Z17" s="2009">
        <v>0</v>
      </c>
      <c r="AA17" s="1708" t="s">
        <v>2979</v>
      </c>
      <c r="AB17" s="2010">
        <v>88</v>
      </c>
      <c r="AC17" s="2011" t="s">
        <v>2980</v>
      </c>
      <c r="AD17" s="2935"/>
      <c r="AE17" s="2935"/>
      <c r="AF17" s="2935"/>
      <c r="AG17" s="2935"/>
      <c r="AH17" s="2935"/>
      <c r="AI17" s="2935"/>
      <c r="AJ17" s="2935"/>
      <c r="AK17" s="2935"/>
      <c r="AL17" s="2935"/>
      <c r="AM17" s="2935"/>
      <c r="AN17" s="2935"/>
      <c r="AO17" s="2935"/>
      <c r="AP17" s="2935"/>
      <c r="AQ17" s="2935"/>
      <c r="AR17" s="2935"/>
      <c r="AS17" s="2935"/>
      <c r="AT17" s="2935"/>
      <c r="AU17" s="2935"/>
      <c r="AV17" s="2935"/>
      <c r="AW17" s="2935"/>
      <c r="AX17" s="2935"/>
      <c r="AY17" s="2935"/>
      <c r="AZ17" s="2935"/>
      <c r="BA17" s="2935"/>
      <c r="BB17" s="2935"/>
      <c r="BC17" s="2935"/>
      <c r="BD17" s="2935"/>
      <c r="BE17" s="2935"/>
      <c r="BF17" s="2935"/>
      <c r="BG17" s="2935"/>
      <c r="BH17" s="2935"/>
      <c r="BI17" s="2964"/>
      <c r="BJ17" s="2964"/>
      <c r="BK17" s="2959"/>
      <c r="BL17" s="2959"/>
      <c r="BM17" s="2962"/>
      <c r="BN17" s="2964"/>
      <c r="BO17" s="2966"/>
      <c r="BP17" s="2968"/>
      <c r="BQ17" s="2954"/>
      <c r="BR17" s="2954"/>
      <c r="BS17" s="2954"/>
      <c r="BT17" s="2954"/>
      <c r="BU17" s="2956"/>
    </row>
    <row r="18" spans="1:73" s="2006" customFormat="1" ht="42.75" customHeight="1" x14ac:dyDescent="0.25">
      <c r="A18" s="2920"/>
      <c r="B18" s="2921"/>
      <c r="C18" s="2007"/>
      <c r="D18" s="2008"/>
      <c r="E18" s="2924"/>
      <c r="F18" s="2924"/>
      <c r="G18" s="2907"/>
      <c r="H18" s="2908"/>
      <c r="I18" s="2907"/>
      <c r="J18" s="2908"/>
      <c r="K18" s="2910"/>
      <c r="L18" s="2912"/>
      <c r="M18" s="2910"/>
      <c r="N18" s="2912"/>
      <c r="O18" s="2943"/>
      <c r="P18" s="2943"/>
      <c r="Q18" s="2946"/>
      <c r="R18" s="2949"/>
      <c r="S18" s="2951"/>
      <c r="T18" s="2952"/>
      <c r="U18" s="2937"/>
      <c r="V18" s="2939"/>
      <c r="W18" s="2013" t="s">
        <v>2983</v>
      </c>
      <c r="X18" s="2009">
        <v>2000000</v>
      </c>
      <c r="Y18" s="2009">
        <v>0</v>
      </c>
      <c r="Z18" s="2009">
        <v>0</v>
      </c>
      <c r="AA18" s="1708" t="s">
        <v>2984</v>
      </c>
      <c r="AB18" s="2010">
        <v>20</v>
      </c>
      <c r="AC18" s="2011" t="s">
        <v>734</v>
      </c>
      <c r="AD18" s="2935"/>
      <c r="AE18" s="2935"/>
      <c r="AF18" s="2935"/>
      <c r="AG18" s="2935"/>
      <c r="AH18" s="2935"/>
      <c r="AI18" s="2935"/>
      <c r="AJ18" s="2935"/>
      <c r="AK18" s="2935"/>
      <c r="AL18" s="2935"/>
      <c r="AM18" s="2935"/>
      <c r="AN18" s="2935"/>
      <c r="AO18" s="2935"/>
      <c r="AP18" s="2935"/>
      <c r="AQ18" s="2935"/>
      <c r="AR18" s="2935"/>
      <c r="AS18" s="2935"/>
      <c r="AT18" s="2935"/>
      <c r="AU18" s="2935"/>
      <c r="AV18" s="2935"/>
      <c r="AW18" s="2935"/>
      <c r="AX18" s="2935"/>
      <c r="AY18" s="2935"/>
      <c r="AZ18" s="2935"/>
      <c r="BA18" s="2935"/>
      <c r="BB18" s="2935"/>
      <c r="BC18" s="2935"/>
      <c r="BD18" s="2935"/>
      <c r="BE18" s="2935"/>
      <c r="BF18" s="2935"/>
      <c r="BG18" s="2935"/>
      <c r="BH18" s="2935"/>
      <c r="BI18" s="2964"/>
      <c r="BJ18" s="2964"/>
      <c r="BK18" s="2959"/>
      <c r="BL18" s="2959"/>
      <c r="BM18" s="2962"/>
      <c r="BN18" s="2964"/>
      <c r="BO18" s="2966"/>
      <c r="BP18" s="2968"/>
      <c r="BQ18" s="2954"/>
      <c r="BR18" s="2954"/>
      <c r="BS18" s="2954"/>
      <c r="BT18" s="2954"/>
      <c r="BU18" s="2956"/>
    </row>
    <row r="19" spans="1:73" s="2006" customFormat="1" ht="60" customHeight="1" x14ac:dyDescent="0.25">
      <c r="A19" s="2920"/>
      <c r="B19" s="2921"/>
      <c r="C19" s="2007"/>
      <c r="D19" s="2008"/>
      <c r="E19" s="2924"/>
      <c r="F19" s="2924"/>
      <c r="G19" s="2907"/>
      <c r="H19" s="2908"/>
      <c r="I19" s="2907"/>
      <c r="J19" s="2908"/>
      <c r="K19" s="2910"/>
      <c r="L19" s="2912"/>
      <c r="M19" s="2910"/>
      <c r="N19" s="2912"/>
      <c r="O19" s="2943"/>
      <c r="P19" s="2943"/>
      <c r="Q19" s="2946"/>
      <c r="R19" s="2949"/>
      <c r="S19" s="2951"/>
      <c r="T19" s="2952"/>
      <c r="U19" s="2937"/>
      <c r="V19" s="2939"/>
      <c r="W19" s="2014" t="s">
        <v>2985</v>
      </c>
      <c r="X19" s="2009">
        <v>3000000</v>
      </c>
      <c r="Y19" s="2009">
        <v>3000000</v>
      </c>
      <c r="Z19" s="2009">
        <v>3000000</v>
      </c>
      <c r="AA19" s="1708" t="s">
        <v>2984</v>
      </c>
      <c r="AB19" s="2010">
        <v>20</v>
      </c>
      <c r="AC19" s="2011" t="s">
        <v>734</v>
      </c>
      <c r="AD19" s="2935"/>
      <c r="AE19" s="2935"/>
      <c r="AF19" s="2935"/>
      <c r="AG19" s="2935"/>
      <c r="AH19" s="2935"/>
      <c r="AI19" s="2935"/>
      <c r="AJ19" s="2935"/>
      <c r="AK19" s="2935"/>
      <c r="AL19" s="2935"/>
      <c r="AM19" s="2935"/>
      <c r="AN19" s="2935"/>
      <c r="AO19" s="2935"/>
      <c r="AP19" s="2935"/>
      <c r="AQ19" s="2935"/>
      <c r="AR19" s="2935"/>
      <c r="AS19" s="2935"/>
      <c r="AT19" s="2935"/>
      <c r="AU19" s="2935"/>
      <c r="AV19" s="2935"/>
      <c r="AW19" s="2935"/>
      <c r="AX19" s="2935"/>
      <c r="AY19" s="2935"/>
      <c r="AZ19" s="2935"/>
      <c r="BA19" s="2935"/>
      <c r="BB19" s="2935"/>
      <c r="BC19" s="2935"/>
      <c r="BD19" s="2935"/>
      <c r="BE19" s="2935"/>
      <c r="BF19" s="2935"/>
      <c r="BG19" s="2935"/>
      <c r="BH19" s="2935"/>
      <c r="BI19" s="2964"/>
      <c r="BJ19" s="2964"/>
      <c r="BK19" s="2959"/>
      <c r="BL19" s="2959"/>
      <c r="BM19" s="2962"/>
      <c r="BN19" s="2964"/>
      <c r="BO19" s="2966"/>
      <c r="BP19" s="2968"/>
      <c r="BQ19" s="2954"/>
      <c r="BR19" s="2954"/>
      <c r="BS19" s="2954"/>
      <c r="BT19" s="2954"/>
      <c r="BU19" s="2956"/>
    </row>
    <row r="20" spans="1:73" s="2006" customFormat="1" ht="74.25" customHeight="1" x14ac:dyDescent="0.25">
      <c r="A20" s="2920"/>
      <c r="B20" s="2921"/>
      <c r="C20" s="2007"/>
      <c r="D20" s="2008"/>
      <c r="E20" s="2924"/>
      <c r="F20" s="2924"/>
      <c r="G20" s="2907"/>
      <c r="H20" s="2908"/>
      <c r="I20" s="2907"/>
      <c r="J20" s="2908"/>
      <c r="K20" s="2910"/>
      <c r="L20" s="2912"/>
      <c r="M20" s="2910"/>
      <c r="N20" s="2912"/>
      <c r="O20" s="2943"/>
      <c r="P20" s="2943"/>
      <c r="Q20" s="2946"/>
      <c r="R20" s="2949"/>
      <c r="S20" s="2951"/>
      <c r="T20" s="2952"/>
      <c r="U20" s="2937"/>
      <c r="V20" s="2939"/>
      <c r="W20" s="2014" t="s">
        <v>2986</v>
      </c>
      <c r="X20" s="2009">
        <v>2800000</v>
      </c>
      <c r="Y20" s="2009">
        <v>0</v>
      </c>
      <c r="Z20" s="2009">
        <v>0</v>
      </c>
      <c r="AA20" s="1708" t="s">
        <v>2976</v>
      </c>
      <c r="AB20" s="2015">
        <v>20</v>
      </c>
      <c r="AC20" s="2016" t="s">
        <v>734</v>
      </c>
      <c r="AD20" s="2935"/>
      <c r="AE20" s="2935"/>
      <c r="AF20" s="2935"/>
      <c r="AG20" s="2935"/>
      <c r="AH20" s="2935"/>
      <c r="AI20" s="2935"/>
      <c r="AJ20" s="2935"/>
      <c r="AK20" s="2935"/>
      <c r="AL20" s="2935"/>
      <c r="AM20" s="2935"/>
      <c r="AN20" s="2935"/>
      <c r="AO20" s="2935"/>
      <c r="AP20" s="2935"/>
      <c r="AQ20" s="2935"/>
      <c r="AR20" s="2935"/>
      <c r="AS20" s="2935"/>
      <c r="AT20" s="2935"/>
      <c r="AU20" s="2935"/>
      <c r="AV20" s="2935"/>
      <c r="AW20" s="2935"/>
      <c r="AX20" s="2935"/>
      <c r="AY20" s="2935"/>
      <c r="AZ20" s="2935"/>
      <c r="BA20" s="2935"/>
      <c r="BB20" s="2935"/>
      <c r="BC20" s="2935"/>
      <c r="BD20" s="2935"/>
      <c r="BE20" s="2935"/>
      <c r="BF20" s="2935"/>
      <c r="BG20" s="2935"/>
      <c r="BH20" s="2935"/>
      <c r="BI20" s="2964"/>
      <c r="BJ20" s="2964"/>
      <c r="BK20" s="2959"/>
      <c r="BL20" s="2959"/>
      <c r="BM20" s="2962"/>
      <c r="BN20" s="2964"/>
      <c r="BO20" s="2966"/>
      <c r="BP20" s="2968"/>
      <c r="BQ20" s="2954"/>
      <c r="BR20" s="2954"/>
      <c r="BS20" s="2954"/>
      <c r="BT20" s="2954"/>
      <c r="BU20" s="2956"/>
    </row>
    <row r="21" spans="1:73" s="2006" customFormat="1" ht="57" customHeight="1" x14ac:dyDescent="0.25">
      <c r="A21" s="2920"/>
      <c r="B21" s="2921"/>
      <c r="C21" s="2007"/>
      <c r="D21" s="2008"/>
      <c r="E21" s="2924"/>
      <c r="F21" s="2925"/>
      <c r="G21" s="2907"/>
      <c r="H21" s="2909"/>
      <c r="I21" s="2907"/>
      <c r="J21" s="2909"/>
      <c r="K21" s="2911"/>
      <c r="L21" s="2913"/>
      <c r="M21" s="2911"/>
      <c r="N21" s="2913"/>
      <c r="O21" s="2944"/>
      <c r="P21" s="2944"/>
      <c r="Q21" s="2947"/>
      <c r="R21" s="2950"/>
      <c r="S21" s="2951"/>
      <c r="T21" s="2952"/>
      <c r="U21" s="2937"/>
      <c r="V21" s="2940"/>
      <c r="W21" s="2017" t="s">
        <v>2987</v>
      </c>
      <c r="X21" s="2009">
        <v>60000000</v>
      </c>
      <c r="Y21" s="2009">
        <v>58390000</v>
      </c>
      <c r="Z21" s="2009">
        <v>43550000</v>
      </c>
      <c r="AA21" s="1708" t="s">
        <v>2976</v>
      </c>
      <c r="AB21" s="2018">
        <v>20</v>
      </c>
      <c r="AC21" s="2019" t="s">
        <v>734</v>
      </c>
      <c r="AD21" s="2936"/>
      <c r="AE21" s="2936"/>
      <c r="AF21" s="2936"/>
      <c r="AG21" s="2936"/>
      <c r="AH21" s="2936"/>
      <c r="AI21" s="2936"/>
      <c r="AJ21" s="2936"/>
      <c r="AK21" s="2936"/>
      <c r="AL21" s="2936"/>
      <c r="AM21" s="2936"/>
      <c r="AN21" s="2936"/>
      <c r="AO21" s="2936"/>
      <c r="AP21" s="2936"/>
      <c r="AQ21" s="2936"/>
      <c r="AR21" s="2936"/>
      <c r="AS21" s="2936"/>
      <c r="AT21" s="2936"/>
      <c r="AU21" s="2936"/>
      <c r="AV21" s="2936"/>
      <c r="AW21" s="2936"/>
      <c r="AX21" s="2936"/>
      <c r="AY21" s="2936"/>
      <c r="AZ21" s="2936"/>
      <c r="BA21" s="2936"/>
      <c r="BB21" s="2936"/>
      <c r="BC21" s="2936"/>
      <c r="BD21" s="2936"/>
      <c r="BE21" s="2936"/>
      <c r="BF21" s="2936"/>
      <c r="BG21" s="2936"/>
      <c r="BH21" s="2936"/>
      <c r="BI21" s="2969"/>
      <c r="BJ21" s="2969"/>
      <c r="BK21" s="2960"/>
      <c r="BL21" s="2960"/>
      <c r="BM21" s="2962"/>
      <c r="BN21" s="2964"/>
      <c r="BO21" s="2966"/>
      <c r="BP21" s="2968"/>
      <c r="BQ21" s="2954"/>
      <c r="BR21" s="2954"/>
      <c r="BS21" s="2954"/>
      <c r="BT21" s="2954"/>
      <c r="BU21" s="2957"/>
    </row>
    <row r="22" spans="1:73" s="2006" customFormat="1" ht="35.1" customHeight="1" x14ac:dyDescent="0.25">
      <c r="A22" s="2920"/>
      <c r="B22" s="2921"/>
      <c r="C22" s="2007"/>
      <c r="D22" s="2008"/>
      <c r="E22" s="2020">
        <v>1203</v>
      </c>
      <c r="F22" s="2975" t="s">
        <v>2988</v>
      </c>
      <c r="G22" s="2976"/>
      <c r="H22" s="2976"/>
      <c r="I22" s="2976"/>
      <c r="J22" s="2976"/>
      <c r="K22" s="2976"/>
      <c r="L22" s="2976"/>
      <c r="M22" s="2976"/>
      <c r="N22" s="2976"/>
      <c r="O22" s="2021"/>
      <c r="P22" s="2021"/>
      <c r="Q22" s="2022"/>
      <c r="R22" s="1998"/>
      <c r="S22" s="1999"/>
      <c r="T22" s="2000"/>
      <c r="U22" s="1998"/>
      <c r="V22" s="1998"/>
      <c r="W22" s="1998"/>
      <c r="X22" s="2023"/>
      <c r="Y22" s="2023"/>
      <c r="Z22" s="2023"/>
      <c r="AA22" s="2024"/>
      <c r="AB22" s="2021"/>
      <c r="AC22" s="2025"/>
      <c r="AD22" s="1999"/>
      <c r="AE22" s="1999"/>
      <c r="AF22" s="1999"/>
      <c r="AG22" s="1999"/>
      <c r="AH22" s="1999"/>
      <c r="AI22" s="1999"/>
      <c r="AJ22" s="1999"/>
      <c r="AK22" s="1999"/>
      <c r="AL22" s="1999"/>
      <c r="AM22" s="1999"/>
      <c r="AN22" s="1999"/>
      <c r="AO22" s="1999"/>
      <c r="AP22" s="1999"/>
      <c r="AQ22" s="1999"/>
      <c r="AR22" s="1999"/>
      <c r="AS22" s="1999"/>
      <c r="AT22" s="1999"/>
      <c r="AU22" s="1999"/>
      <c r="AV22" s="1999"/>
      <c r="AW22" s="1999"/>
      <c r="AX22" s="1999"/>
      <c r="AY22" s="1999"/>
      <c r="AZ22" s="1999"/>
      <c r="BA22" s="1999"/>
      <c r="BB22" s="1999"/>
      <c r="BC22" s="1999"/>
      <c r="BD22" s="1999"/>
      <c r="BE22" s="1999"/>
      <c r="BF22" s="1999"/>
      <c r="BG22" s="1999"/>
      <c r="BH22" s="1999"/>
      <c r="BI22" s="1999"/>
      <c r="BJ22" s="2977"/>
      <c r="BK22" s="2978"/>
      <c r="BL22" s="2978"/>
      <c r="BM22" s="2978"/>
      <c r="BN22" s="2978"/>
      <c r="BO22" s="2978"/>
      <c r="BP22" s="2978"/>
      <c r="BQ22" s="2978"/>
      <c r="BR22" s="2978"/>
      <c r="BS22" s="2978"/>
      <c r="BT22" s="2978"/>
      <c r="BU22" s="2979"/>
    </row>
    <row r="23" spans="1:73" s="2006" customFormat="1" ht="36.75" customHeight="1" x14ac:dyDescent="0.25">
      <c r="A23" s="2920"/>
      <c r="B23" s="2921"/>
      <c r="C23" s="2007"/>
      <c r="D23" s="2008"/>
      <c r="E23" s="2924"/>
      <c r="F23" s="2980"/>
      <c r="G23" s="2981">
        <v>1203002</v>
      </c>
      <c r="H23" s="2982" t="s">
        <v>2989</v>
      </c>
      <c r="I23" s="2981">
        <v>1203002</v>
      </c>
      <c r="J23" s="2982" t="s">
        <v>2989</v>
      </c>
      <c r="K23" s="2983">
        <v>120300200</v>
      </c>
      <c r="L23" s="2986" t="s">
        <v>2990</v>
      </c>
      <c r="M23" s="2983">
        <v>120300200</v>
      </c>
      <c r="N23" s="2986" t="s">
        <v>2990</v>
      </c>
      <c r="O23" s="3014">
        <v>40</v>
      </c>
      <c r="P23" s="3014">
        <v>26</v>
      </c>
      <c r="Q23" s="2970" t="s">
        <v>2991</v>
      </c>
      <c r="R23" s="2972" t="s">
        <v>2992</v>
      </c>
      <c r="S23" s="3009">
        <f>T23/SUM(X23:X25)</f>
        <v>1</v>
      </c>
      <c r="T23" s="3012">
        <f>SUM(X23:X25)</f>
        <v>69028401</v>
      </c>
      <c r="U23" s="3013" t="s">
        <v>2993</v>
      </c>
      <c r="V23" s="2938" t="s">
        <v>2994</v>
      </c>
      <c r="W23" s="2941" t="s">
        <v>2995</v>
      </c>
      <c r="X23" s="1653">
        <v>7000000</v>
      </c>
      <c r="Y23" s="1653">
        <v>7000000</v>
      </c>
      <c r="Z23" s="1653">
        <v>7000000</v>
      </c>
      <c r="AA23" s="1708" t="s">
        <v>2996</v>
      </c>
      <c r="AB23" s="2018">
        <v>20</v>
      </c>
      <c r="AC23" s="2026" t="s">
        <v>734</v>
      </c>
      <c r="AD23" s="2664">
        <v>291786</v>
      </c>
      <c r="AE23" s="2664">
        <v>116687</v>
      </c>
      <c r="AF23" s="2664">
        <v>270331</v>
      </c>
      <c r="AG23" s="2664">
        <v>108106</v>
      </c>
      <c r="AH23" s="2664">
        <v>102045</v>
      </c>
      <c r="AI23" s="2664">
        <v>60694</v>
      </c>
      <c r="AJ23" s="2664">
        <v>39183</v>
      </c>
      <c r="AK23" s="2664">
        <v>31471</v>
      </c>
      <c r="AL23" s="2664">
        <v>310195</v>
      </c>
      <c r="AM23" s="2664">
        <v>101157</v>
      </c>
      <c r="AN23" s="2664">
        <v>110694</v>
      </c>
      <c r="AO23" s="3024">
        <v>31471</v>
      </c>
      <c r="AP23" s="2664">
        <v>2145</v>
      </c>
      <c r="AQ23" s="2988"/>
      <c r="AR23" s="2664">
        <v>12718</v>
      </c>
      <c r="AS23" s="2988"/>
      <c r="AT23" s="2664">
        <v>26</v>
      </c>
      <c r="AU23" s="2988"/>
      <c r="AV23" s="2294">
        <v>37</v>
      </c>
      <c r="AW23" s="2987"/>
      <c r="AX23" s="2294">
        <v>0</v>
      </c>
      <c r="AY23" s="2987"/>
      <c r="AZ23" s="2294">
        <v>0</v>
      </c>
      <c r="BA23" s="2987"/>
      <c r="BB23" s="2294">
        <v>44350</v>
      </c>
      <c r="BC23" s="2987"/>
      <c r="BD23" s="2294">
        <v>21944</v>
      </c>
      <c r="BE23" s="2987"/>
      <c r="BF23" s="2294">
        <v>75687</v>
      </c>
      <c r="BG23" s="2987"/>
      <c r="BH23" s="2294">
        <f>+AD23+AF23</f>
        <v>562117</v>
      </c>
      <c r="BI23" s="2294">
        <f>+AE23+AG23</f>
        <v>224793</v>
      </c>
      <c r="BJ23" s="2989">
        <v>3</v>
      </c>
      <c r="BK23" s="3000">
        <f>SUM(Y23:Y25)</f>
        <v>35580000</v>
      </c>
      <c r="BL23" s="3000">
        <f>SUM(Z23:Z25)</f>
        <v>20655000</v>
      </c>
      <c r="BM23" s="3003">
        <f>+BL23/BK23</f>
        <v>0.5805227655986509</v>
      </c>
      <c r="BN23" s="3006">
        <v>20</v>
      </c>
      <c r="BO23" s="2325" t="s">
        <v>86</v>
      </c>
      <c r="BP23" s="2664" t="s">
        <v>2977</v>
      </c>
      <c r="BQ23" s="2999">
        <v>44211</v>
      </c>
      <c r="BR23" s="2999">
        <v>44228</v>
      </c>
      <c r="BS23" s="2999">
        <v>44560</v>
      </c>
      <c r="BT23" s="2999">
        <v>44489</v>
      </c>
      <c r="BU23" s="2989" t="s">
        <v>2978</v>
      </c>
    </row>
    <row r="24" spans="1:73" s="2006" customFormat="1" ht="108" customHeight="1" x14ac:dyDescent="0.25">
      <c r="A24" s="2920"/>
      <c r="B24" s="2921"/>
      <c r="C24" s="2007"/>
      <c r="D24" s="2008"/>
      <c r="E24" s="2924"/>
      <c r="F24" s="2924"/>
      <c r="G24" s="2981"/>
      <c r="H24" s="2908"/>
      <c r="I24" s="2981"/>
      <c r="J24" s="2908"/>
      <c r="K24" s="2984"/>
      <c r="L24" s="2912"/>
      <c r="M24" s="2984"/>
      <c r="N24" s="2912"/>
      <c r="O24" s="2971"/>
      <c r="P24" s="2971"/>
      <c r="Q24" s="2971"/>
      <c r="R24" s="2973"/>
      <c r="S24" s="3010"/>
      <c r="T24" s="3012"/>
      <c r="U24" s="2994"/>
      <c r="V24" s="2939"/>
      <c r="W24" s="2942"/>
      <c r="X24" s="1653">
        <v>33028401</v>
      </c>
      <c r="Y24" s="1653">
        <v>10040000</v>
      </c>
      <c r="Z24" s="1653">
        <v>0</v>
      </c>
      <c r="AA24" s="1708" t="s">
        <v>2997</v>
      </c>
      <c r="AB24" s="2010">
        <v>88</v>
      </c>
      <c r="AC24" s="2027" t="s">
        <v>2980</v>
      </c>
      <c r="AD24" s="2664"/>
      <c r="AE24" s="2664"/>
      <c r="AF24" s="2664"/>
      <c r="AG24" s="2664"/>
      <c r="AH24" s="2664"/>
      <c r="AI24" s="2664"/>
      <c r="AJ24" s="2664"/>
      <c r="AK24" s="2664"/>
      <c r="AL24" s="2664"/>
      <c r="AM24" s="2664"/>
      <c r="AN24" s="2664"/>
      <c r="AO24" s="3024"/>
      <c r="AP24" s="2664"/>
      <c r="AQ24" s="2988"/>
      <c r="AR24" s="2664"/>
      <c r="AS24" s="2988"/>
      <c r="AT24" s="2664"/>
      <c r="AU24" s="2988"/>
      <c r="AV24" s="2294"/>
      <c r="AW24" s="2987"/>
      <c r="AX24" s="2294"/>
      <c r="AY24" s="2987"/>
      <c r="AZ24" s="2294"/>
      <c r="BA24" s="2987"/>
      <c r="BB24" s="2294"/>
      <c r="BC24" s="2987"/>
      <c r="BD24" s="2294"/>
      <c r="BE24" s="2987"/>
      <c r="BF24" s="2294"/>
      <c r="BG24" s="2987"/>
      <c r="BH24" s="2294"/>
      <c r="BI24" s="2294"/>
      <c r="BJ24" s="2989"/>
      <c r="BK24" s="3001"/>
      <c r="BL24" s="3001"/>
      <c r="BM24" s="3004"/>
      <c r="BN24" s="3007"/>
      <c r="BO24" s="2326"/>
      <c r="BP24" s="2664"/>
      <c r="BQ24" s="2999"/>
      <c r="BR24" s="2989"/>
      <c r="BS24" s="2999"/>
      <c r="BT24" s="2989"/>
      <c r="BU24" s="2989"/>
    </row>
    <row r="25" spans="1:73" s="2006" customFormat="1" ht="65.25" customHeight="1" x14ac:dyDescent="0.25">
      <c r="A25" s="2920"/>
      <c r="B25" s="2921"/>
      <c r="C25" s="2007"/>
      <c r="D25" s="2008"/>
      <c r="E25" s="2924"/>
      <c r="F25" s="2925"/>
      <c r="G25" s="2981"/>
      <c r="H25" s="2909"/>
      <c r="I25" s="2981"/>
      <c r="J25" s="2909"/>
      <c r="K25" s="2985"/>
      <c r="L25" s="2913"/>
      <c r="M25" s="2985"/>
      <c r="N25" s="2913"/>
      <c r="O25" s="3015"/>
      <c r="P25" s="3015"/>
      <c r="Q25" s="2945"/>
      <c r="R25" s="2974"/>
      <c r="S25" s="3011"/>
      <c r="T25" s="3012"/>
      <c r="U25" s="2996"/>
      <c r="V25" s="2940"/>
      <c r="W25" s="2012" t="s">
        <v>2998</v>
      </c>
      <c r="X25" s="1653">
        <v>29000000</v>
      </c>
      <c r="Y25" s="1653">
        <v>18540000</v>
      </c>
      <c r="Z25" s="1653">
        <v>13655000</v>
      </c>
      <c r="AA25" s="1708" t="s">
        <v>2996</v>
      </c>
      <c r="AB25" s="2018">
        <v>20</v>
      </c>
      <c r="AC25" s="2026" t="s">
        <v>734</v>
      </c>
      <c r="AD25" s="2664"/>
      <c r="AE25" s="2664"/>
      <c r="AF25" s="2664"/>
      <c r="AG25" s="2664"/>
      <c r="AH25" s="2664"/>
      <c r="AI25" s="2664"/>
      <c r="AJ25" s="2664"/>
      <c r="AK25" s="2664"/>
      <c r="AL25" s="2664"/>
      <c r="AM25" s="2664"/>
      <c r="AN25" s="2664"/>
      <c r="AO25" s="3024"/>
      <c r="AP25" s="2664"/>
      <c r="AQ25" s="2988"/>
      <c r="AR25" s="2664"/>
      <c r="AS25" s="2988"/>
      <c r="AT25" s="2664"/>
      <c r="AU25" s="2988"/>
      <c r="AV25" s="2294"/>
      <c r="AW25" s="2987"/>
      <c r="AX25" s="2294"/>
      <c r="AY25" s="2987"/>
      <c r="AZ25" s="2294"/>
      <c r="BA25" s="2987"/>
      <c r="BB25" s="2294"/>
      <c r="BC25" s="2987"/>
      <c r="BD25" s="2294"/>
      <c r="BE25" s="2987"/>
      <c r="BF25" s="2294"/>
      <c r="BG25" s="2987"/>
      <c r="BH25" s="2294"/>
      <c r="BI25" s="2294"/>
      <c r="BJ25" s="2989"/>
      <c r="BK25" s="3002"/>
      <c r="BL25" s="3002"/>
      <c r="BM25" s="3005"/>
      <c r="BN25" s="3008"/>
      <c r="BO25" s="2327"/>
      <c r="BP25" s="2664"/>
      <c r="BQ25" s="2999"/>
      <c r="BR25" s="2989"/>
      <c r="BS25" s="2999"/>
      <c r="BT25" s="2989"/>
      <c r="BU25" s="2989"/>
    </row>
    <row r="26" spans="1:73" s="2006" customFormat="1" ht="32.1" customHeight="1" x14ac:dyDescent="0.25">
      <c r="A26" s="2920"/>
      <c r="B26" s="2921"/>
      <c r="C26" s="2007"/>
      <c r="D26" s="2008"/>
      <c r="E26" s="2020">
        <v>1206</v>
      </c>
      <c r="F26" s="2990" t="s">
        <v>2999</v>
      </c>
      <c r="G26" s="2272"/>
      <c r="H26" s="2272"/>
      <c r="I26" s="2272"/>
      <c r="J26" s="2272"/>
      <c r="K26" s="2272"/>
      <c r="L26" s="2272"/>
      <c r="M26" s="2272"/>
      <c r="N26" s="2272"/>
      <c r="O26" s="2022"/>
      <c r="P26" s="2022"/>
      <c r="Q26" s="1999"/>
      <c r="R26" s="1998"/>
      <c r="S26" s="1999"/>
      <c r="T26" s="2000"/>
      <c r="U26" s="1998"/>
      <c r="V26" s="1998"/>
      <c r="W26" s="1998"/>
      <c r="X26" s="2023"/>
      <c r="Y26" s="2023"/>
      <c r="Z26" s="2023"/>
      <c r="AA26" s="2024"/>
      <c r="AB26" s="2021"/>
      <c r="AC26" s="2028"/>
      <c r="AD26" s="1999"/>
      <c r="AE26" s="1999"/>
      <c r="AF26" s="1999"/>
      <c r="AG26" s="1999"/>
      <c r="AH26" s="1999"/>
      <c r="AI26" s="1999"/>
      <c r="AJ26" s="1999"/>
      <c r="AK26" s="1999"/>
      <c r="AL26" s="1999"/>
      <c r="AM26" s="1999"/>
      <c r="AN26" s="1999"/>
      <c r="AO26" s="1999"/>
      <c r="AP26" s="1999"/>
      <c r="AQ26" s="1999"/>
      <c r="AR26" s="1999"/>
      <c r="AS26" s="1999"/>
      <c r="AT26" s="1999"/>
      <c r="AU26" s="1999"/>
      <c r="AV26" s="1999"/>
      <c r="AW26" s="1999"/>
      <c r="AX26" s="1999"/>
      <c r="AY26" s="1999"/>
      <c r="AZ26" s="1999"/>
      <c r="BA26" s="1999"/>
      <c r="BB26" s="1999"/>
      <c r="BC26" s="1999"/>
      <c r="BD26" s="1999"/>
      <c r="BE26" s="1999"/>
      <c r="BF26" s="1999"/>
      <c r="BG26" s="1999"/>
      <c r="BH26" s="1999"/>
      <c r="BI26" s="2002"/>
      <c r="BJ26" s="2991"/>
      <c r="BK26" s="2991"/>
      <c r="BL26" s="2991"/>
      <c r="BM26" s="2991"/>
      <c r="BN26" s="2991"/>
      <c r="BO26" s="2991"/>
      <c r="BP26" s="2991"/>
      <c r="BQ26" s="2991"/>
      <c r="BR26" s="2991"/>
      <c r="BS26" s="2991"/>
      <c r="BT26" s="2991"/>
      <c r="BU26" s="2991"/>
    </row>
    <row r="27" spans="1:73" s="2006" customFormat="1" ht="93" customHeight="1" x14ac:dyDescent="0.25">
      <c r="A27" s="2920"/>
      <c r="B27" s="2921"/>
      <c r="C27" s="2007"/>
      <c r="D27" s="2008"/>
      <c r="E27" s="2924"/>
      <c r="F27" s="2924"/>
      <c r="G27" s="2992">
        <v>1206005</v>
      </c>
      <c r="H27" s="2994" t="s">
        <v>3000</v>
      </c>
      <c r="I27" s="2992">
        <v>1206005</v>
      </c>
      <c r="J27" s="2994" t="s">
        <v>3000</v>
      </c>
      <c r="K27" s="2997">
        <v>120600500</v>
      </c>
      <c r="L27" s="2973" t="s">
        <v>3001</v>
      </c>
      <c r="M27" s="2997">
        <v>120600500</v>
      </c>
      <c r="N27" s="2973" t="s">
        <v>3001</v>
      </c>
      <c r="O27" s="3025">
        <v>20</v>
      </c>
      <c r="P27" s="3025">
        <v>3</v>
      </c>
      <c r="Q27" s="2970" t="s">
        <v>3002</v>
      </c>
      <c r="R27" s="3019" t="s">
        <v>3003</v>
      </c>
      <c r="S27" s="2951">
        <f>T27/SUM(X27:X31)</f>
        <v>1</v>
      </c>
      <c r="T27" s="3020">
        <f>SUM(X27:X31)</f>
        <v>36000000</v>
      </c>
      <c r="U27" s="3021" t="s">
        <v>3004</v>
      </c>
      <c r="V27" s="2938" t="s">
        <v>3005</v>
      </c>
      <c r="W27" s="2029" t="s">
        <v>3006</v>
      </c>
      <c r="X27" s="1653">
        <v>20000000</v>
      </c>
      <c r="Y27" s="1653">
        <v>0</v>
      </c>
      <c r="Z27" s="1653">
        <v>0</v>
      </c>
      <c r="AA27" s="1708" t="s">
        <v>3007</v>
      </c>
      <c r="AB27" s="2030">
        <v>20</v>
      </c>
      <c r="AC27" s="2031" t="s">
        <v>734</v>
      </c>
      <c r="AD27" s="3016">
        <v>290</v>
      </c>
      <c r="AE27" s="3016">
        <v>290</v>
      </c>
      <c r="AF27" s="3016">
        <v>1260</v>
      </c>
      <c r="AG27" s="3016">
        <v>1260</v>
      </c>
      <c r="AH27" s="3016">
        <v>0</v>
      </c>
      <c r="AI27" s="3016">
        <v>0</v>
      </c>
      <c r="AJ27" s="3016">
        <v>150</v>
      </c>
      <c r="AK27" s="3016">
        <v>150</v>
      </c>
      <c r="AL27" s="3016">
        <v>1350</v>
      </c>
      <c r="AM27" s="3016">
        <v>0</v>
      </c>
      <c r="AN27" s="3016">
        <v>50</v>
      </c>
      <c r="AO27" s="3016">
        <v>0</v>
      </c>
      <c r="AP27" s="3016">
        <v>0</v>
      </c>
      <c r="AQ27" s="3016"/>
      <c r="AR27" s="3016">
        <v>0</v>
      </c>
      <c r="AS27" s="3016"/>
      <c r="AT27" s="3016">
        <v>0</v>
      </c>
      <c r="AU27" s="3016"/>
      <c r="AV27" s="3016">
        <v>0</v>
      </c>
      <c r="AW27" s="3016"/>
      <c r="AX27" s="3016">
        <v>0</v>
      </c>
      <c r="AY27" s="3016"/>
      <c r="AZ27" s="3016">
        <v>0</v>
      </c>
      <c r="BA27" s="3016"/>
      <c r="BB27" s="3016">
        <v>0</v>
      </c>
      <c r="BC27" s="3016"/>
      <c r="BD27" s="3016">
        <v>0</v>
      </c>
      <c r="BE27" s="3016"/>
      <c r="BF27" s="3016">
        <v>0</v>
      </c>
      <c r="BG27" s="3016">
        <v>0</v>
      </c>
      <c r="BH27" s="3016">
        <f>+AD27+AF27</f>
        <v>1550</v>
      </c>
      <c r="BI27" s="3016">
        <f>+AE27+AG27</f>
        <v>1550</v>
      </c>
      <c r="BJ27" s="3044">
        <v>1</v>
      </c>
      <c r="BK27" s="3048">
        <f>SUM(Y27:Y31)</f>
        <v>10000000</v>
      </c>
      <c r="BL27" s="3048">
        <f>SUM(Z27:Z31)</f>
        <v>10000000</v>
      </c>
      <c r="BM27" s="3050">
        <f>+BL27/BK27</f>
        <v>1</v>
      </c>
      <c r="BN27" s="3044">
        <v>20</v>
      </c>
      <c r="BO27" s="3044" t="s">
        <v>86</v>
      </c>
      <c r="BP27" s="3044" t="s">
        <v>2977</v>
      </c>
      <c r="BQ27" s="3046">
        <v>44198</v>
      </c>
      <c r="BR27" s="3046">
        <v>44228</v>
      </c>
      <c r="BS27" s="3046">
        <v>44560</v>
      </c>
      <c r="BT27" s="3046">
        <v>44489</v>
      </c>
      <c r="BU27" s="2987" t="s">
        <v>2978</v>
      </c>
    </row>
    <row r="28" spans="1:73" s="2006" customFormat="1" ht="93" customHeight="1" x14ac:dyDescent="0.25">
      <c r="A28" s="2920"/>
      <c r="B28" s="2921"/>
      <c r="C28" s="2007"/>
      <c r="D28" s="2008"/>
      <c r="E28" s="2924"/>
      <c r="F28" s="2924"/>
      <c r="G28" s="2993"/>
      <c r="H28" s="2994"/>
      <c r="I28" s="2993"/>
      <c r="J28" s="2994"/>
      <c r="K28" s="2997"/>
      <c r="L28" s="2973"/>
      <c r="M28" s="2997"/>
      <c r="N28" s="2973"/>
      <c r="O28" s="2943"/>
      <c r="P28" s="2943"/>
      <c r="Q28" s="2971"/>
      <c r="R28" s="3019"/>
      <c r="S28" s="2951"/>
      <c r="T28" s="3020"/>
      <c r="U28" s="2908"/>
      <c r="V28" s="2939"/>
      <c r="W28" s="3037" t="s">
        <v>3008</v>
      </c>
      <c r="X28" s="1653">
        <v>10000000</v>
      </c>
      <c r="Y28" s="1653">
        <v>10000000</v>
      </c>
      <c r="Z28" s="1653">
        <v>10000000</v>
      </c>
      <c r="AA28" s="1708" t="s">
        <v>3007</v>
      </c>
      <c r="AB28" s="3039">
        <v>20</v>
      </c>
      <c r="AC28" s="3040" t="s">
        <v>734</v>
      </c>
      <c r="AD28" s="3017"/>
      <c r="AE28" s="3017"/>
      <c r="AF28" s="3017"/>
      <c r="AG28" s="3017"/>
      <c r="AH28" s="3017"/>
      <c r="AI28" s="3017"/>
      <c r="AJ28" s="3017"/>
      <c r="AK28" s="3017"/>
      <c r="AL28" s="3017"/>
      <c r="AM28" s="3017"/>
      <c r="AN28" s="3017"/>
      <c r="AO28" s="3017"/>
      <c r="AP28" s="3017"/>
      <c r="AQ28" s="3017"/>
      <c r="AR28" s="3017"/>
      <c r="AS28" s="3017"/>
      <c r="AT28" s="3017"/>
      <c r="AU28" s="3017"/>
      <c r="AV28" s="3017"/>
      <c r="AW28" s="3017"/>
      <c r="AX28" s="3017"/>
      <c r="AY28" s="3017"/>
      <c r="AZ28" s="3017"/>
      <c r="BA28" s="3017"/>
      <c r="BB28" s="3017"/>
      <c r="BC28" s="3017"/>
      <c r="BD28" s="3017"/>
      <c r="BE28" s="3017"/>
      <c r="BF28" s="3017"/>
      <c r="BG28" s="3017"/>
      <c r="BH28" s="3017"/>
      <c r="BI28" s="3017"/>
      <c r="BJ28" s="3045"/>
      <c r="BK28" s="3049"/>
      <c r="BL28" s="3049"/>
      <c r="BM28" s="3051"/>
      <c r="BN28" s="3045"/>
      <c r="BO28" s="3045"/>
      <c r="BP28" s="3045"/>
      <c r="BQ28" s="3047"/>
      <c r="BR28" s="3047"/>
      <c r="BS28" s="3047"/>
      <c r="BT28" s="3047"/>
      <c r="BU28" s="2987"/>
    </row>
    <row r="29" spans="1:73" s="2006" customFormat="1" ht="93" customHeight="1" x14ac:dyDescent="0.25">
      <c r="A29" s="2920"/>
      <c r="B29" s="2921"/>
      <c r="C29" s="2007"/>
      <c r="D29" s="2008"/>
      <c r="E29" s="2924"/>
      <c r="F29" s="2924"/>
      <c r="G29" s="2993"/>
      <c r="H29" s="2994"/>
      <c r="I29" s="2993"/>
      <c r="J29" s="2994"/>
      <c r="K29" s="2997"/>
      <c r="L29" s="2973"/>
      <c r="M29" s="2997"/>
      <c r="N29" s="2973"/>
      <c r="O29" s="2943"/>
      <c r="P29" s="2943"/>
      <c r="Q29" s="2971"/>
      <c r="R29" s="3019"/>
      <c r="S29" s="2951"/>
      <c r="T29" s="3020"/>
      <c r="U29" s="2908"/>
      <c r="V29" s="2939"/>
      <c r="W29" s="3038"/>
      <c r="X29" s="1653">
        <v>3000000</v>
      </c>
      <c r="Y29" s="1653">
        <v>0</v>
      </c>
      <c r="Z29" s="1653">
        <v>0</v>
      </c>
      <c r="AA29" s="1708" t="s">
        <v>3009</v>
      </c>
      <c r="AB29" s="3039"/>
      <c r="AC29" s="3041"/>
      <c r="AD29" s="3017"/>
      <c r="AE29" s="3017"/>
      <c r="AF29" s="3017"/>
      <c r="AG29" s="3017"/>
      <c r="AH29" s="3017"/>
      <c r="AI29" s="3017"/>
      <c r="AJ29" s="3017"/>
      <c r="AK29" s="3017"/>
      <c r="AL29" s="3017"/>
      <c r="AM29" s="3017"/>
      <c r="AN29" s="3017"/>
      <c r="AO29" s="3017"/>
      <c r="AP29" s="3017"/>
      <c r="AQ29" s="3017"/>
      <c r="AR29" s="3017"/>
      <c r="AS29" s="3017"/>
      <c r="AT29" s="3017"/>
      <c r="AU29" s="3017"/>
      <c r="AV29" s="3017"/>
      <c r="AW29" s="3017"/>
      <c r="AX29" s="3017"/>
      <c r="AY29" s="3017"/>
      <c r="AZ29" s="3017"/>
      <c r="BA29" s="3017"/>
      <c r="BB29" s="3017"/>
      <c r="BC29" s="3017"/>
      <c r="BD29" s="3017"/>
      <c r="BE29" s="3017"/>
      <c r="BF29" s="3017"/>
      <c r="BG29" s="3017"/>
      <c r="BH29" s="3017"/>
      <c r="BI29" s="3017"/>
      <c r="BJ29" s="3045"/>
      <c r="BK29" s="3049"/>
      <c r="BL29" s="3049"/>
      <c r="BM29" s="3051"/>
      <c r="BN29" s="3045"/>
      <c r="BO29" s="3045"/>
      <c r="BP29" s="3045"/>
      <c r="BQ29" s="3047"/>
      <c r="BR29" s="3047"/>
      <c r="BS29" s="3047"/>
      <c r="BT29" s="3047"/>
      <c r="BU29" s="2987"/>
    </row>
    <row r="30" spans="1:73" s="2006" customFormat="1" ht="33" customHeight="1" x14ac:dyDescent="0.25">
      <c r="A30" s="2920"/>
      <c r="B30" s="2921"/>
      <c r="C30" s="2007"/>
      <c r="D30" s="2008"/>
      <c r="E30" s="2924"/>
      <c r="F30" s="2924"/>
      <c r="G30" s="2993"/>
      <c r="H30" s="2994"/>
      <c r="I30" s="2993"/>
      <c r="J30" s="2994"/>
      <c r="K30" s="2997"/>
      <c r="L30" s="2973"/>
      <c r="M30" s="2997"/>
      <c r="N30" s="2973"/>
      <c r="O30" s="2943"/>
      <c r="P30" s="2943"/>
      <c r="Q30" s="2971"/>
      <c r="R30" s="3019"/>
      <c r="S30" s="2951"/>
      <c r="T30" s="3020"/>
      <c r="U30" s="2908"/>
      <c r="V30" s="2939"/>
      <c r="W30" s="3038"/>
      <c r="X30" s="1653">
        <v>2900000</v>
      </c>
      <c r="Y30" s="1653">
        <v>0</v>
      </c>
      <c r="Z30" s="1653">
        <v>0</v>
      </c>
      <c r="AA30" s="1708" t="s">
        <v>3010</v>
      </c>
      <c r="AB30" s="3039"/>
      <c r="AC30" s="3042"/>
      <c r="AD30" s="3017"/>
      <c r="AE30" s="3017"/>
      <c r="AF30" s="3017"/>
      <c r="AG30" s="3017"/>
      <c r="AH30" s="3017"/>
      <c r="AI30" s="3017"/>
      <c r="AJ30" s="3017"/>
      <c r="AK30" s="3017"/>
      <c r="AL30" s="3017"/>
      <c r="AM30" s="3017"/>
      <c r="AN30" s="3017"/>
      <c r="AO30" s="3017"/>
      <c r="AP30" s="3017"/>
      <c r="AQ30" s="3017"/>
      <c r="AR30" s="3017"/>
      <c r="AS30" s="3017"/>
      <c r="AT30" s="3017"/>
      <c r="AU30" s="3017"/>
      <c r="AV30" s="3017"/>
      <c r="AW30" s="3017"/>
      <c r="AX30" s="3017"/>
      <c r="AY30" s="3017"/>
      <c r="AZ30" s="3017"/>
      <c r="BA30" s="3017"/>
      <c r="BB30" s="3017"/>
      <c r="BC30" s="3017"/>
      <c r="BD30" s="3017"/>
      <c r="BE30" s="3017"/>
      <c r="BF30" s="3017"/>
      <c r="BG30" s="3017"/>
      <c r="BH30" s="3017"/>
      <c r="BI30" s="3017"/>
      <c r="BJ30" s="3045"/>
      <c r="BK30" s="3049"/>
      <c r="BL30" s="3049"/>
      <c r="BM30" s="3051"/>
      <c r="BN30" s="3045"/>
      <c r="BO30" s="3045"/>
      <c r="BP30" s="3045"/>
      <c r="BQ30" s="3047"/>
      <c r="BR30" s="3047"/>
      <c r="BS30" s="3047"/>
      <c r="BT30" s="3047"/>
      <c r="BU30" s="2987"/>
    </row>
    <row r="31" spans="1:73" s="2006" customFormat="1" ht="63.95" customHeight="1" x14ac:dyDescent="0.25">
      <c r="A31" s="2920"/>
      <c r="B31" s="2921"/>
      <c r="C31" s="2032"/>
      <c r="D31" s="2033"/>
      <c r="E31" s="2925"/>
      <c r="F31" s="2925"/>
      <c r="G31" s="2993"/>
      <c r="H31" s="2995"/>
      <c r="I31" s="2993"/>
      <c r="J31" s="2996"/>
      <c r="K31" s="2998"/>
      <c r="L31" s="2974"/>
      <c r="M31" s="2998"/>
      <c r="N31" s="2974"/>
      <c r="O31" s="3026"/>
      <c r="P31" s="3026"/>
      <c r="Q31" s="2945"/>
      <c r="R31" s="3019"/>
      <c r="S31" s="2951"/>
      <c r="T31" s="3020"/>
      <c r="U31" s="3022"/>
      <c r="V31" s="3023"/>
      <c r="W31" s="2034" t="s">
        <v>3011</v>
      </c>
      <c r="X31" s="1653">
        <v>100000</v>
      </c>
      <c r="Y31" s="1653">
        <v>0</v>
      </c>
      <c r="Z31" s="1653">
        <v>0</v>
      </c>
      <c r="AA31" s="1708" t="s">
        <v>3010</v>
      </c>
      <c r="AB31" s="2030">
        <v>20</v>
      </c>
      <c r="AC31" s="2031" t="s">
        <v>734</v>
      </c>
      <c r="AD31" s="3018"/>
      <c r="AE31" s="3018"/>
      <c r="AF31" s="3018"/>
      <c r="AG31" s="3018"/>
      <c r="AH31" s="3018"/>
      <c r="AI31" s="3018"/>
      <c r="AJ31" s="3018"/>
      <c r="AK31" s="3018"/>
      <c r="AL31" s="3018"/>
      <c r="AM31" s="3018"/>
      <c r="AN31" s="3018"/>
      <c r="AO31" s="3018"/>
      <c r="AP31" s="3018"/>
      <c r="AQ31" s="3018"/>
      <c r="AR31" s="3018"/>
      <c r="AS31" s="3018"/>
      <c r="AT31" s="3018"/>
      <c r="AU31" s="3018"/>
      <c r="AV31" s="3018"/>
      <c r="AW31" s="3018"/>
      <c r="AX31" s="3018"/>
      <c r="AY31" s="3018"/>
      <c r="AZ31" s="3018"/>
      <c r="BA31" s="3018"/>
      <c r="BB31" s="3018"/>
      <c r="BC31" s="3018"/>
      <c r="BD31" s="3018"/>
      <c r="BE31" s="3018"/>
      <c r="BF31" s="3018"/>
      <c r="BG31" s="3018"/>
      <c r="BH31" s="3018"/>
      <c r="BI31" s="3018"/>
      <c r="BJ31" s="3045"/>
      <c r="BK31" s="3049"/>
      <c r="BL31" s="3049"/>
      <c r="BM31" s="3051"/>
      <c r="BN31" s="3045"/>
      <c r="BO31" s="3045"/>
      <c r="BP31" s="3045"/>
      <c r="BQ31" s="3047"/>
      <c r="BR31" s="3047"/>
      <c r="BS31" s="3047"/>
      <c r="BT31" s="3047"/>
      <c r="BU31" s="2987"/>
    </row>
    <row r="32" spans="1:73" s="2052" customFormat="1" ht="31.5" customHeight="1" x14ac:dyDescent="0.25">
      <c r="A32" s="325"/>
      <c r="B32" s="334"/>
      <c r="C32" s="2035">
        <v>22</v>
      </c>
      <c r="D32" s="2918" t="s">
        <v>442</v>
      </c>
      <c r="E32" s="2919"/>
      <c r="F32" s="2919"/>
      <c r="G32" s="2919"/>
      <c r="H32" s="2036"/>
      <c r="I32" s="2037"/>
      <c r="J32" s="2036"/>
      <c r="K32" s="2038"/>
      <c r="L32" s="2039"/>
      <c r="M32" s="2038"/>
      <c r="N32" s="2039"/>
      <c r="O32" s="2040"/>
      <c r="P32" s="2040"/>
      <c r="Q32" s="2040"/>
      <c r="R32" s="2041"/>
      <c r="S32" s="2042"/>
      <c r="T32" s="2043"/>
      <c r="U32" s="2036"/>
      <c r="V32" s="2044"/>
      <c r="W32" s="2045"/>
      <c r="X32" s="2046"/>
      <c r="Y32" s="2046"/>
      <c r="Z32" s="2046"/>
      <c r="AA32" s="565"/>
      <c r="AB32" s="2047"/>
      <c r="AC32" s="2048"/>
      <c r="AD32" s="2049"/>
      <c r="AE32" s="2049"/>
      <c r="AF32" s="2049"/>
      <c r="AG32" s="2049"/>
      <c r="AH32" s="2049"/>
      <c r="AI32" s="2049"/>
      <c r="AJ32" s="2049"/>
      <c r="AK32" s="2049"/>
      <c r="AL32" s="2049"/>
      <c r="AM32" s="2049"/>
      <c r="AN32" s="2049"/>
      <c r="AO32" s="2049"/>
      <c r="AP32" s="2049"/>
      <c r="AQ32" s="2049"/>
      <c r="AR32" s="2049"/>
      <c r="AS32" s="2049"/>
      <c r="AT32" s="2049"/>
      <c r="AU32" s="2049"/>
      <c r="AV32" s="2049"/>
      <c r="AW32" s="2049"/>
      <c r="AX32" s="2049"/>
      <c r="AY32" s="2049"/>
      <c r="AZ32" s="2049"/>
      <c r="BA32" s="2049"/>
      <c r="BB32" s="2049"/>
      <c r="BC32" s="2049"/>
      <c r="BD32" s="2049"/>
      <c r="BE32" s="2049"/>
      <c r="BF32" s="2049"/>
      <c r="BG32" s="2050"/>
      <c r="BH32" s="2051"/>
      <c r="BI32" s="2051"/>
      <c r="BJ32" s="3043"/>
      <c r="BK32" s="3043"/>
      <c r="BL32" s="3043"/>
      <c r="BM32" s="3043"/>
      <c r="BN32" s="3043"/>
      <c r="BO32" s="3043"/>
      <c r="BP32" s="3043"/>
      <c r="BQ32" s="3043"/>
      <c r="BR32" s="3043"/>
      <c r="BS32" s="3043"/>
      <c r="BT32" s="3043"/>
      <c r="BU32" s="3043"/>
    </row>
    <row r="33" spans="1:73" s="2006" customFormat="1" ht="39.950000000000003" customHeight="1" x14ac:dyDescent="0.25">
      <c r="A33" s="2053"/>
      <c r="B33" s="2008"/>
      <c r="C33" s="2007"/>
      <c r="D33" s="2008"/>
      <c r="E33" s="1408">
        <v>2201</v>
      </c>
      <c r="F33" s="2271" t="s">
        <v>2576</v>
      </c>
      <c r="G33" s="2272"/>
      <c r="H33" s="2272"/>
      <c r="I33" s="2272"/>
      <c r="J33" s="2272"/>
      <c r="K33" s="2272"/>
      <c r="L33" s="2272"/>
      <c r="M33" s="2272"/>
      <c r="N33" s="2272"/>
      <c r="O33" s="1999"/>
      <c r="P33" s="1999"/>
      <c r="Q33" s="1999"/>
      <c r="R33" s="1998"/>
      <c r="S33" s="1999"/>
      <c r="T33" s="2000"/>
      <c r="U33" s="1998"/>
      <c r="V33" s="1998"/>
      <c r="W33" s="1998"/>
      <c r="X33" s="2023"/>
      <c r="Y33" s="2023"/>
      <c r="Z33" s="2023"/>
      <c r="AA33" s="2024"/>
      <c r="AB33" s="2002"/>
      <c r="AC33" s="2054"/>
      <c r="AD33" s="1999"/>
      <c r="AE33" s="1999"/>
      <c r="AF33" s="1999"/>
      <c r="AG33" s="1999"/>
      <c r="AH33" s="1999"/>
      <c r="AI33" s="1999"/>
      <c r="AJ33" s="1999"/>
      <c r="AK33" s="1999"/>
      <c r="AL33" s="1999"/>
      <c r="AM33" s="1999"/>
      <c r="AN33" s="1999"/>
      <c r="AO33" s="1999"/>
      <c r="AP33" s="1999"/>
      <c r="AQ33" s="1999"/>
      <c r="AR33" s="1999"/>
      <c r="AS33" s="1999"/>
      <c r="AT33" s="1999"/>
      <c r="AU33" s="1999"/>
      <c r="AV33" s="1999"/>
      <c r="AW33" s="1999"/>
      <c r="AX33" s="1999"/>
      <c r="AY33" s="1999"/>
      <c r="AZ33" s="1999"/>
      <c r="BA33" s="1999"/>
      <c r="BB33" s="1999"/>
      <c r="BC33" s="1999"/>
      <c r="BD33" s="1999"/>
      <c r="BE33" s="1999"/>
      <c r="BF33" s="1999"/>
      <c r="BG33" s="1999"/>
      <c r="BH33" s="1999"/>
      <c r="BI33" s="1999"/>
      <c r="BJ33" s="3027"/>
      <c r="BK33" s="3028"/>
      <c r="BL33" s="3028"/>
      <c r="BM33" s="3028"/>
      <c r="BN33" s="3028"/>
      <c r="BO33" s="3028"/>
      <c r="BP33" s="3028"/>
      <c r="BQ33" s="3028"/>
      <c r="BR33" s="3028"/>
      <c r="BS33" s="3028"/>
      <c r="BT33" s="3028"/>
      <c r="BU33" s="3029"/>
    </row>
    <row r="34" spans="1:73" s="2006" customFormat="1" ht="53.25" customHeight="1" x14ac:dyDescent="0.25">
      <c r="A34" s="2053"/>
      <c r="B34" s="2008"/>
      <c r="C34" s="2007"/>
      <c r="D34" s="2008"/>
      <c r="E34" s="3030"/>
      <c r="F34" s="3030"/>
      <c r="G34" s="3032">
        <v>2201068</v>
      </c>
      <c r="H34" s="3034" t="s">
        <v>2682</v>
      </c>
      <c r="I34" s="3032">
        <v>2201068</v>
      </c>
      <c r="J34" s="3034" t="s">
        <v>2682</v>
      </c>
      <c r="K34" s="3007">
        <v>220106800</v>
      </c>
      <c r="L34" s="3036" t="s">
        <v>2683</v>
      </c>
      <c r="M34" s="3007">
        <v>220106800</v>
      </c>
      <c r="N34" s="3036" t="s">
        <v>2683</v>
      </c>
      <c r="O34" s="3006">
        <v>70</v>
      </c>
      <c r="P34" s="3006">
        <v>0</v>
      </c>
      <c r="Q34" s="3006" t="s">
        <v>3012</v>
      </c>
      <c r="R34" s="2478" t="s">
        <v>3013</v>
      </c>
      <c r="S34" s="3055">
        <f>SUM(X34:X39)/T34</f>
        <v>1</v>
      </c>
      <c r="T34" s="3057">
        <f>SUM(X34:X39)</f>
        <v>124287500</v>
      </c>
      <c r="U34" s="2478" t="s">
        <v>3014</v>
      </c>
      <c r="V34" s="2478" t="s">
        <v>3015</v>
      </c>
      <c r="W34" s="3059" t="s">
        <v>3016</v>
      </c>
      <c r="X34" s="2009">
        <f>14000000-2200000</f>
        <v>11800000</v>
      </c>
      <c r="Y34" s="2009">
        <v>8842500</v>
      </c>
      <c r="Z34" s="2009">
        <v>6767500</v>
      </c>
      <c r="AA34" s="1708" t="s">
        <v>3017</v>
      </c>
      <c r="AB34" s="2055">
        <v>20</v>
      </c>
      <c r="AC34" s="1709" t="s">
        <v>734</v>
      </c>
      <c r="AD34" s="3061">
        <v>19507</v>
      </c>
      <c r="AE34" s="3052">
        <v>0</v>
      </c>
      <c r="AF34" s="3052">
        <v>19809</v>
      </c>
      <c r="AG34" s="3052">
        <v>0</v>
      </c>
      <c r="AH34" s="3052">
        <v>27714</v>
      </c>
      <c r="AI34" s="3052">
        <v>0</v>
      </c>
      <c r="AJ34" s="3052">
        <v>10230</v>
      </c>
      <c r="AK34" s="3052"/>
      <c r="AL34" s="3052">
        <v>1292</v>
      </c>
      <c r="AM34" s="3052"/>
      <c r="AN34" s="3052">
        <v>80</v>
      </c>
      <c r="AO34" s="3052"/>
      <c r="AP34" s="3052">
        <v>291</v>
      </c>
      <c r="AQ34" s="3052"/>
      <c r="AR34" s="3052">
        <v>334</v>
      </c>
      <c r="AS34" s="3052"/>
      <c r="AT34" s="3052">
        <v>0</v>
      </c>
      <c r="AU34" s="3052"/>
      <c r="AV34" s="3052">
        <v>0</v>
      </c>
      <c r="AW34" s="3052"/>
      <c r="AX34" s="3052">
        <v>0</v>
      </c>
      <c r="AY34" s="3052"/>
      <c r="AZ34" s="3052">
        <v>0</v>
      </c>
      <c r="BA34" s="3052"/>
      <c r="BB34" s="3052">
        <v>3158</v>
      </c>
      <c r="BC34" s="3052"/>
      <c r="BD34" s="3052">
        <v>2437</v>
      </c>
      <c r="BE34" s="3052"/>
      <c r="BF34" s="3052">
        <v>990</v>
      </c>
      <c r="BG34" s="3052"/>
      <c r="BH34" s="3052">
        <v>39316</v>
      </c>
      <c r="BI34" s="3052">
        <f>+AE34+AG34</f>
        <v>0</v>
      </c>
      <c r="BJ34" s="2988">
        <v>7</v>
      </c>
      <c r="BK34" s="3068">
        <f>SUM(Y34:Y39)</f>
        <v>27042500</v>
      </c>
      <c r="BL34" s="3068">
        <f>SUM(Z34:Z39)</f>
        <v>18387500</v>
      </c>
      <c r="BM34" s="3069">
        <f>+BL34/BK34</f>
        <v>0.67994822963853196</v>
      </c>
      <c r="BN34" s="2988">
        <v>20</v>
      </c>
      <c r="BO34" s="2988" t="s">
        <v>86</v>
      </c>
      <c r="BP34" s="2988" t="s">
        <v>3018</v>
      </c>
      <c r="BQ34" s="3067">
        <v>44198</v>
      </c>
      <c r="BR34" s="3067">
        <v>44251</v>
      </c>
      <c r="BS34" s="3067">
        <v>44560</v>
      </c>
      <c r="BT34" s="3067">
        <v>44491</v>
      </c>
      <c r="BU34" s="2988" t="s">
        <v>2978</v>
      </c>
    </row>
    <row r="35" spans="1:73" s="2006" customFormat="1" ht="60" customHeight="1" x14ac:dyDescent="0.25">
      <c r="A35" s="2053"/>
      <c r="B35" s="2008"/>
      <c r="C35" s="2007"/>
      <c r="D35" s="2008"/>
      <c r="E35" s="3030"/>
      <c r="F35" s="3030"/>
      <c r="G35" s="3032"/>
      <c r="H35" s="3034"/>
      <c r="I35" s="3032"/>
      <c r="J35" s="3034"/>
      <c r="K35" s="3007"/>
      <c r="L35" s="3036"/>
      <c r="M35" s="3007"/>
      <c r="N35" s="3036"/>
      <c r="O35" s="3007"/>
      <c r="P35" s="3007"/>
      <c r="Q35" s="3007"/>
      <c r="R35" s="3036"/>
      <c r="S35" s="3056"/>
      <c r="T35" s="3058"/>
      <c r="U35" s="3036"/>
      <c r="V35" s="3036"/>
      <c r="W35" s="3060"/>
      <c r="X35" s="2009">
        <f>10000000+21217500</f>
        <v>31217500</v>
      </c>
      <c r="Y35" s="2009">
        <v>0</v>
      </c>
      <c r="Z35" s="2009">
        <v>0</v>
      </c>
      <c r="AA35" s="1708" t="s">
        <v>3019</v>
      </c>
      <c r="AB35" s="2056">
        <v>88</v>
      </c>
      <c r="AC35" s="1714" t="s">
        <v>2980</v>
      </c>
      <c r="AD35" s="3062"/>
      <c r="AE35" s="3053"/>
      <c r="AF35" s="3053"/>
      <c r="AG35" s="3053"/>
      <c r="AH35" s="3053"/>
      <c r="AI35" s="3053"/>
      <c r="AJ35" s="3053"/>
      <c r="AK35" s="3053"/>
      <c r="AL35" s="3053"/>
      <c r="AM35" s="3053"/>
      <c r="AN35" s="3053"/>
      <c r="AO35" s="3053"/>
      <c r="AP35" s="3053"/>
      <c r="AQ35" s="3053"/>
      <c r="AR35" s="3053"/>
      <c r="AS35" s="3053"/>
      <c r="AT35" s="3053"/>
      <c r="AU35" s="3053"/>
      <c r="AV35" s="3053"/>
      <c r="AW35" s="3053"/>
      <c r="AX35" s="3053"/>
      <c r="AY35" s="3053"/>
      <c r="AZ35" s="3053"/>
      <c r="BA35" s="3053"/>
      <c r="BB35" s="3053"/>
      <c r="BC35" s="3053"/>
      <c r="BD35" s="3053"/>
      <c r="BE35" s="3053"/>
      <c r="BF35" s="3053"/>
      <c r="BG35" s="3053"/>
      <c r="BH35" s="3053"/>
      <c r="BI35" s="3053"/>
      <c r="BJ35" s="2988"/>
      <c r="BK35" s="3068"/>
      <c r="BL35" s="3068"/>
      <c r="BM35" s="3069"/>
      <c r="BN35" s="2988"/>
      <c r="BO35" s="2988"/>
      <c r="BP35" s="2988"/>
      <c r="BQ35" s="3067"/>
      <c r="BR35" s="3067"/>
      <c r="BS35" s="3067"/>
      <c r="BT35" s="3067"/>
      <c r="BU35" s="2988"/>
    </row>
    <row r="36" spans="1:73" s="2006" customFormat="1" ht="43.5" customHeight="1" x14ac:dyDescent="0.25">
      <c r="A36" s="2053"/>
      <c r="B36" s="2008"/>
      <c r="C36" s="2007"/>
      <c r="D36" s="2008"/>
      <c r="E36" s="3030"/>
      <c r="F36" s="3030"/>
      <c r="G36" s="3033"/>
      <c r="H36" s="3034"/>
      <c r="I36" s="3033"/>
      <c r="J36" s="3034"/>
      <c r="K36" s="3007"/>
      <c r="L36" s="3036"/>
      <c r="M36" s="3007"/>
      <c r="N36" s="3036"/>
      <c r="O36" s="3007"/>
      <c r="P36" s="3007"/>
      <c r="Q36" s="3007"/>
      <c r="R36" s="3036"/>
      <c r="S36" s="3056"/>
      <c r="T36" s="3058"/>
      <c r="U36" s="3036"/>
      <c r="V36" s="2580"/>
      <c r="W36" s="3074" t="s">
        <v>3020</v>
      </c>
      <c r="X36" s="2009">
        <f>2000000-2000000</f>
        <v>0</v>
      </c>
      <c r="Y36" s="2009">
        <v>0</v>
      </c>
      <c r="Z36" s="2009">
        <v>0</v>
      </c>
      <c r="AA36" s="1708" t="s">
        <v>3017</v>
      </c>
      <c r="AB36" s="2055">
        <v>20</v>
      </c>
      <c r="AC36" s="1709" t="s">
        <v>734</v>
      </c>
      <c r="AD36" s="3062"/>
      <c r="AE36" s="3053"/>
      <c r="AF36" s="3053"/>
      <c r="AG36" s="3053"/>
      <c r="AH36" s="3053"/>
      <c r="AI36" s="3053"/>
      <c r="AJ36" s="3053"/>
      <c r="AK36" s="3053"/>
      <c r="AL36" s="3053"/>
      <c r="AM36" s="3053"/>
      <c r="AN36" s="3053"/>
      <c r="AO36" s="3053"/>
      <c r="AP36" s="3053"/>
      <c r="AQ36" s="3053"/>
      <c r="AR36" s="3053"/>
      <c r="AS36" s="3053"/>
      <c r="AT36" s="3053"/>
      <c r="AU36" s="3053"/>
      <c r="AV36" s="3053"/>
      <c r="AW36" s="3053"/>
      <c r="AX36" s="3053"/>
      <c r="AY36" s="3053"/>
      <c r="AZ36" s="3053"/>
      <c r="BA36" s="3053"/>
      <c r="BB36" s="3053"/>
      <c r="BC36" s="3053"/>
      <c r="BD36" s="3053"/>
      <c r="BE36" s="3053"/>
      <c r="BF36" s="3053"/>
      <c r="BG36" s="3053"/>
      <c r="BH36" s="3053"/>
      <c r="BI36" s="3053"/>
      <c r="BJ36" s="2988"/>
      <c r="BK36" s="3068"/>
      <c r="BL36" s="3068"/>
      <c r="BM36" s="3069"/>
      <c r="BN36" s="2988"/>
      <c r="BO36" s="2988"/>
      <c r="BP36" s="2988"/>
      <c r="BQ36" s="3067"/>
      <c r="BR36" s="3067"/>
      <c r="BS36" s="3067"/>
      <c r="BT36" s="3067"/>
      <c r="BU36" s="2988"/>
    </row>
    <row r="37" spans="1:73" s="2006" customFormat="1" ht="59.1" customHeight="1" x14ac:dyDescent="0.25">
      <c r="A37" s="2053"/>
      <c r="B37" s="2008"/>
      <c r="C37" s="2007"/>
      <c r="D37" s="2008"/>
      <c r="E37" s="3030"/>
      <c r="F37" s="3030"/>
      <c r="G37" s="3033"/>
      <c r="H37" s="3034"/>
      <c r="I37" s="3033"/>
      <c r="J37" s="3034"/>
      <c r="K37" s="3007"/>
      <c r="L37" s="3036"/>
      <c r="M37" s="3007"/>
      <c r="N37" s="3036"/>
      <c r="O37" s="3007"/>
      <c r="P37" s="3007"/>
      <c r="Q37" s="3007"/>
      <c r="R37" s="3036"/>
      <c r="S37" s="3056"/>
      <c r="T37" s="3058"/>
      <c r="U37" s="3036"/>
      <c r="V37" s="2580"/>
      <c r="W37" s="3074"/>
      <c r="X37" s="2009">
        <f>10000000+21535000</f>
        <v>31535000</v>
      </c>
      <c r="Y37" s="2009">
        <v>0</v>
      </c>
      <c r="Z37" s="2009">
        <v>0</v>
      </c>
      <c r="AA37" s="1708" t="s">
        <v>3019</v>
      </c>
      <c r="AB37" s="2056">
        <v>88</v>
      </c>
      <c r="AC37" s="1714" t="s">
        <v>2980</v>
      </c>
      <c r="AD37" s="3062"/>
      <c r="AE37" s="3053"/>
      <c r="AF37" s="3053"/>
      <c r="AG37" s="3053"/>
      <c r="AH37" s="3053"/>
      <c r="AI37" s="3053"/>
      <c r="AJ37" s="3053"/>
      <c r="AK37" s="3053"/>
      <c r="AL37" s="3053"/>
      <c r="AM37" s="3053"/>
      <c r="AN37" s="3053"/>
      <c r="AO37" s="3053"/>
      <c r="AP37" s="3053"/>
      <c r="AQ37" s="3053"/>
      <c r="AR37" s="3053"/>
      <c r="AS37" s="3053"/>
      <c r="AT37" s="3053"/>
      <c r="AU37" s="3053"/>
      <c r="AV37" s="3053"/>
      <c r="AW37" s="3053"/>
      <c r="AX37" s="3053"/>
      <c r="AY37" s="3053"/>
      <c r="AZ37" s="3053"/>
      <c r="BA37" s="3053"/>
      <c r="BB37" s="3053"/>
      <c r="BC37" s="3053"/>
      <c r="BD37" s="3053"/>
      <c r="BE37" s="3053"/>
      <c r="BF37" s="3053"/>
      <c r="BG37" s="3053"/>
      <c r="BH37" s="3053"/>
      <c r="BI37" s="3053"/>
      <c r="BJ37" s="2988"/>
      <c r="BK37" s="3068"/>
      <c r="BL37" s="3068"/>
      <c r="BM37" s="3069"/>
      <c r="BN37" s="2988"/>
      <c r="BO37" s="2988"/>
      <c r="BP37" s="2988"/>
      <c r="BQ37" s="3067"/>
      <c r="BR37" s="3067"/>
      <c r="BS37" s="3067"/>
      <c r="BT37" s="3067"/>
      <c r="BU37" s="2988"/>
    </row>
    <row r="38" spans="1:73" s="2006" customFormat="1" ht="59.1" customHeight="1" x14ac:dyDescent="0.25">
      <c r="A38" s="2053"/>
      <c r="B38" s="2008"/>
      <c r="C38" s="2007"/>
      <c r="D38" s="2008"/>
      <c r="E38" s="3030"/>
      <c r="F38" s="3030"/>
      <c r="G38" s="3033"/>
      <c r="H38" s="3034"/>
      <c r="I38" s="3033"/>
      <c r="J38" s="3034"/>
      <c r="K38" s="3007"/>
      <c r="L38" s="3036"/>
      <c r="M38" s="3007"/>
      <c r="N38" s="3036"/>
      <c r="O38" s="3007"/>
      <c r="P38" s="3007"/>
      <c r="Q38" s="3007"/>
      <c r="R38" s="3036"/>
      <c r="S38" s="3056"/>
      <c r="T38" s="3058"/>
      <c r="U38" s="3036"/>
      <c r="V38" s="2580"/>
      <c r="W38" s="3075" t="s">
        <v>3021</v>
      </c>
      <c r="X38" s="2009">
        <f>14000000+4200000</f>
        <v>18200000</v>
      </c>
      <c r="Y38" s="2009">
        <v>18200000</v>
      </c>
      <c r="Z38" s="2009">
        <v>11620000</v>
      </c>
      <c r="AA38" s="1708" t="s">
        <v>3017</v>
      </c>
      <c r="AB38" s="2055">
        <v>20</v>
      </c>
      <c r="AC38" s="1709" t="s">
        <v>734</v>
      </c>
      <c r="AD38" s="3062"/>
      <c r="AE38" s="3053"/>
      <c r="AF38" s="3053"/>
      <c r="AG38" s="3053"/>
      <c r="AH38" s="3053"/>
      <c r="AI38" s="3053"/>
      <c r="AJ38" s="3053"/>
      <c r="AK38" s="3053"/>
      <c r="AL38" s="3053"/>
      <c r="AM38" s="3053"/>
      <c r="AN38" s="3053"/>
      <c r="AO38" s="3053"/>
      <c r="AP38" s="3053"/>
      <c r="AQ38" s="3053"/>
      <c r="AR38" s="3053"/>
      <c r="AS38" s="3053"/>
      <c r="AT38" s="3053"/>
      <c r="AU38" s="3053"/>
      <c r="AV38" s="3053"/>
      <c r="AW38" s="3053"/>
      <c r="AX38" s="3053"/>
      <c r="AY38" s="3053"/>
      <c r="AZ38" s="3053"/>
      <c r="BA38" s="3053"/>
      <c r="BB38" s="3053"/>
      <c r="BC38" s="3053"/>
      <c r="BD38" s="3053"/>
      <c r="BE38" s="3053"/>
      <c r="BF38" s="3053"/>
      <c r="BG38" s="3053"/>
      <c r="BH38" s="3053"/>
      <c r="BI38" s="3053"/>
      <c r="BJ38" s="2988"/>
      <c r="BK38" s="3068"/>
      <c r="BL38" s="3068"/>
      <c r="BM38" s="3069"/>
      <c r="BN38" s="2988"/>
      <c r="BO38" s="2988"/>
      <c r="BP38" s="2988"/>
      <c r="BQ38" s="3067"/>
      <c r="BR38" s="3067"/>
      <c r="BS38" s="3067"/>
      <c r="BT38" s="3067"/>
      <c r="BU38" s="2988"/>
    </row>
    <row r="39" spans="1:73" s="2006" customFormat="1" ht="54.75" customHeight="1" x14ac:dyDescent="0.25">
      <c r="A39" s="2053"/>
      <c r="B39" s="2008"/>
      <c r="C39" s="2057"/>
      <c r="D39" s="2008"/>
      <c r="E39" s="3031"/>
      <c r="F39" s="3031"/>
      <c r="G39" s="3033"/>
      <c r="H39" s="3035"/>
      <c r="I39" s="3033"/>
      <c r="J39" s="3035"/>
      <c r="K39" s="3007"/>
      <c r="L39" s="3036"/>
      <c r="M39" s="3007"/>
      <c r="N39" s="3036"/>
      <c r="O39" s="3007"/>
      <c r="P39" s="3007"/>
      <c r="Q39" s="3007"/>
      <c r="R39" s="3036"/>
      <c r="S39" s="3056"/>
      <c r="T39" s="3058"/>
      <c r="U39" s="3036"/>
      <c r="V39" s="2580"/>
      <c r="W39" s="3076"/>
      <c r="X39" s="2009">
        <f>16000000+15535000</f>
        <v>31535000</v>
      </c>
      <c r="Y39" s="2009">
        <v>0</v>
      </c>
      <c r="Z39" s="2009">
        <v>0</v>
      </c>
      <c r="AA39" s="1708" t="s">
        <v>3019</v>
      </c>
      <c r="AB39" s="2056">
        <v>88</v>
      </c>
      <c r="AC39" s="1714" t="s">
        <v>2980</v>
      </c>
      <c r="AD39" s="3063"/>
      <c r="AE39" s="3054"/>
      <c r="AF39" s="3054"/>
      <c r="AG39" s="3054"/>
      <c r="AH39" s="3054"/>
      <c r="AI39" s="3054"/>
      <c r="AJ39" s="3054"/>
      <c r="AK39" s="3054"/>
      <c r="AL39" s="3054"/>
      <c r="AM39" s="3054"/>
      <c r="AN39" s="3054"/>
      <c r="AO39" s="3054"/>
      <c r="AP39" s="3054"/>
      <c r="AQ39" s="3054"/>
      <c r="AR39" s="3054"/>
      <c r="AS39" s="3054"/>
      <c r="AT39" s="3054"/>
      <c r="AU39" s="3054"/>
      <c r="AV39" s="3054"/>
      <c r="AW39" s="3054"/>
      <c r="AX39" s="3054"/>
      <c r="AY39" s="3054"/>
      <c r="AZ39" s="3054"/>
      <c r="BA39" s="3054"/>
      <c r="BB39" s="3054"/>
      <c r="BC39" s="3054"/>
      <c r="BD39" s="3054"/>
      <c r="BE39" s="3054"/>
      <c r="BF39" s="3054"/>
      <c r="BG39" s="3054"/>
      <c r="BH39" s="3054"/>
      <c r="BI39" s="3054"/>
      <c r="BJ39" s="2988"/>
      <c r="BK39" s="3068"/>
      <c r="BL39" s="3068"/>
      <c r="BM39" s="3069"/>
      <c r="BN39" s="2988"/>
      <c r="BO39" s="2988"/>
      <c r="BP39" s="2988"/>
      <c r="BQ39" s="3067"/>
      <c r="BR39" s="3067"/>
      <c r="BS39" s="3067"/>
      <c r="BT39" s="3067"/>
      <c r="BU39" s="2988"/>
    </row>
    <row r="40" spans="1:73" s="2052" customFormat="1" ht="37.5" customHeight="1" x14ac:dyDescent="0.25">
      <c r="A40" s="325"/>
      <c r="B40" s="348"/>
      <c r="C40" s="309">
        <v>41</v>
      </c>
      <c r="D40" s="3077" t="s">
        <v>3022</v>
      </c>
      <c r="E40" s="2324"/>
      <c r="F40" s="2324"/>
      <c r="G40" s="2324"/>
      <c r="H40" s="2324"/>
      <c r="I40" s="2324"/>
      <c r="J40" s="2058"/>
      <c r="K40" s="2059"/>
      <c r="L40" s="2060"/>
      <c r="M40" s="2059"/>
      <c r="N40" s="2060"/>
      <c r="O40" s="2059"/>
      <c r="P40" s="2059"/>
      <c r="Q40" s="2059"/>
      <c r="R40" s="2060"/>
      <c r="S40" s="2061"/>
      <c r="T40" s="2062"/>
      <c r="U40" s="2060"/>
      <c r="V40" s="2060"/>
      <c r="W40" s="2063"/>
      <c r="X40" s="2064"/>
      <c r="Y40" s="2064"/>
      <c r="Z40" s="2064"/>
      <c r="AA40" s="687"/>
      <c r="AB40" s="2059"/>
      <c r="AC40" s="2060"/>
      <c r="AD40" s="2065"/>
      <c r="AE40" s="2065"/>
      <c r="AF40" s="2065"/>
      <c r="AG40" s="2065"/>
      <c r="AH40" s="2065"/>
      <c r="AI40" s="2065"/>
      <c r="AJ40" s="2065"/>
      <c r="AK40" s="2065"/>
      <c r="AL40" s="2065"/>
      <c r="AM40" s="2065"/>
      <c r="AN40" s="2065"/>
      <c r="AO40" s="2065"/>
      <c r="AP40" s="2065"/>
      <c r="AQ40" s="2065"/>
      <c r="AR40" s="2065"/>
      <c r="AS40" s="2065"/>
      <c r="AT40" s="2065"/>
      <c r="AU40" s="2065"/>
      <c r="AV40" s="2065"/>
      <c r="AW40" s="2065"/>
      <c r="AX40" s="2065"/>
      <c r="AY40" s="2065"/>
      <c r="AZ40" s="2065"/>
      <c r="BA40" s="2065"/>
      <c r="BB40" s="2065"/>
      <c r="BC40" s="2065"/>
      <c r="BD40" s="2065"/>
      <c r="BE40" s="2065"/>
      <c r="BF40" s="2065"/>
      <c r="BG40" s="2065"/>
      <c r="BH40" s="2066"/>
      <c r="BI40" s="2066"/>
      <c r="BJ40" s="3078"/>
      <c r="BK40" s="3078"/>
      <c r="BL40" s="3078"/>
      <c r="BM40" s="3078"/>
      <c r="BN40" s="3078"/>
      <c r="BO40" s="3078"/>
      <c r="BP40" s="3078"/>
      <c r="BQ40" s="3078"/>
      <c r="BR40" s="3078"/>
      <c r="BS40" s="3078"/>
      <c r="BT40" s="3078"/>
      <c r="BU40" s="3078"/>
    </row>
    <row r="41" spans="1:73" s="2006" customFormat="1" ht="41.1" customHeight="1" x14ac:dyDescent="0.25">
      <c r="A41" s="2920"/>
      <c r="B41" s="2008"/>
      <c r="C41" s="1995"/>
      <c r="D41" s="2008"/>
      <c r="E41" s="2067">
        <v>4101</v>
      </c>
      <c r="F41" s="3064" t="s">
        <v>3023</v>
      </c>
      <c r="G41" s="3065"/>
      <c r="H41" s="3065"/>
      <c r="I41" s="3065"/>
      <c r="J41" s="3065"/>
      <c r="K41" s="3065"/>
      <c r="L41" s="3065"/>
      <c r="M41" s="3065"/>
      <c r="N41" s="2028"/>
      <c r="O41" s="2022"/>
      <c r="P41" s="2022"/>
      <c r="Q41" s="2022"/>
      <c r="R41" s="2028"/>
      <c r="S41" s="2021"/>
      <c r="T41" s="2068"/>
      <c r="U41" s="2025"/>
      <c r="V41" s="2025"/>
      <c r="W41" s="2028"/>
      <c r="X41" s="2023"/>
      <c r="Y41" s="2023"/>
      <c r="Z41" s="2023"/>
      <c r="AA41" s="2024"/>
      <c r="AB41" s="2021"/>
      <c r="AC41" s="2025"/>
      <c r="AD41" s="2022"/>
      <c r="AE41" s="2022"/>
      <c r="AF41" s="2022"/>
      <c r="AG41" s="2022"/>
      <c r="AH41" s="2022"/>
      <c r="AI41" s="2022"/>
      <c r="AJ41" s="2022"/>
      <c r="AK41" s="2022"/>
      <c r="AL41" s="2022"/>
      <c r="AM41" s="2022"/>
      <c r="AN41" s="2022"/>
      <c r="AO41" s="2022"/>
      <c r="AP41" s="2022"/>
      <c r="AQ41" s="2022"/>
      <c r="AR41" s="2022"/>
      <c r="AS41" s="2022"/>
      <c r="AT41" s="2022"/>
      <c r="AU41" s="2022"/>
      <c r="AV41" s="2022"/>
      <c r="AW41" s="2022"/>
      <c r="AX41" s="2022"/>
      <c r="AY41" s="2022"/>
      <c r="AZ41" s="2022"/>
      <c r="BA41" s="2022"/>
      <c r="BB41" s="2022"/>
      <c r="BC41" s="2022"/>
      <c r="BD41" s="2022"/>
      <c r="BE41" s="2022"/>
      <c r="BF41" s="2022"/>
      <c r="BG41" s="2022"/>
      <c r="BH41" s="2022"/>
      <c r="BI41" s="2022"/>
      <c r="BJ41" s="3066"/>
      <c r="BK41" s="3066"/>
      <c r="BL41" s="3066"/>
      <c r="BM41" s="3066"/>
      <c r="BN41" s="3066"/>
      <c r="BO41" s="3066"/>
      <c r="BP41" s="3066"/>
      <c r="BQ41" s="3066"/>
      <c r="BR41" s="3066"/>
      <c r="BS41" s="3066"/>
      <c r="BT41" s="3066"/>
      <c r="BU41" s="3066"/>
    </row>
    <row r="42" spans="1:73" s="2006" customFormat="1" ht="110.25" customHeight="1" x14ac:dyDescent="0.25">
      <c r="A42" s="2920"/>
      <c r="B42" s="2008"/>
      <c r="C42" s="2007"/>
      <c r="D42" s="2008"/>
      <c r="E42" s="3030"/>
      <c r="F42" s="3030"/>
      <c r="G42" s="3032">
        <v>4101023</v>
      </c>
      <c r="H42" s="3034" t="s">
        <v>3024</v>
      </c>
      <c r="I42" s="3032">
        <v>4101023</v>
      </c>
      <c r="J42" s="3034" t="s">
        <v>3024</v>
      </c>
      <c r="K42" s="3007">
        <v>410102300</v>
      </c>
      <c r="L42" s="3036" t="s">
        <v>3025</v>
      </c>
      <c r="M42" s="3007">
        <v>410102300</v>
      </c>
      <c r="N42" s="2478" t="s">
        <v>3025</v>
      </c>
      <c r="O42" s="3006">
        <v>500</v>
      </c>
      <c r="P42" s="3006">
        <v>200</v>
      </c>
      <c r="Q42" s="3006" t="s">
        <v>3026</v>
      </c>
      <c r="R42" s="3071" t="s">
        <v>3027</v>
      </c>
      <c r="S42" s="3080">
        <f>SUM(X42:X61)/T42</f>
        <v>0.48383523549382862</v>
      </c>
      <c r="T42" s="3081">
        <f>SUM(X42:X90)</f>
        <v>547707113</v>
      </c>
      <c r="U42" s="3082" t="s">
        <v>3028</v>
      </c>
      <c r="V42" s="3083" t="s">
        <v>3029</v>
      </c>
      <c r="W42" s="2312" t="s">
        <v>3030</v>
      </c>
      <c r="X42" s="2009">
        <v>5000000</v>
      </c>
      <c r="Y42" s="2009">
        <v>5000000</v>
      </c>
      <c r="Z42" s="2009">
        <v>5000000</v>
      </c>
      <c r="AA42" s="1708" t="s">
        <v>3031</v>
      </c>
      <c r="AB42" s="2055">
        <v>20</v>
      </c>
      <c r="AC42" s="1709" t="s">
        <v>734</v>
      </c>
      <c r="AD42" s="3061">
        <v>23022</v>
      </c>
      <c r="AE42" s="3052">
        <v>291</v>
      </c>
      <c r="AF42" s="3052">
        <v>20392</v>
      </c>
      <c r="AG42" s="3052">
        <v>128</v>
      </c>
      <c r="AH42" s="3052">
        <v>6024</v>
      </c>
      <c r="AI42" s="3052"/>
      <c r="AJ42" s="3052">
        <v>4684</v>
      </c>
      <c r="AK42" s="3052"/>
      <c r="AL42" s="3052">
        <v>27478</v>
      </c>
      <c r="AM42" s="3052"/>
      <c r="AN42" s="3052">
        <v>5228</v>
      </c>
      <c r="AO42" s="3052"/>
      <c r="AP42" s="3052">
        <v>1963</v>
      </c>
      <c r="AQ42" s="3052"/>
      <c r="AR42" s="3052">
        <v>2207</v>
      </c>
      <c r="AS42" s="3052"/>
      <c r="AT42" s="3052">
        <v>96</v>
      </c>
      <c r="AU42" s="3052"/>
      <c r="AV42" s="3052">
        <v>58</v>
      </c>
      <c r="AW42" s="3052"/>
      <c r="AX42" s="3052">
        <v>0</v>
      </c>
      <c r="AY42" s="3052"/>
      <c r="AZ42" s="3052">
        <v>59</v>
      </c>
      <c r="BA42" s="3052"/>
      <c r="BB42" s="3052">
        <v>15466</v>
      </c>
      <c r="BC42" s="3052"/>
      <c r="BD42" s="3052">
        <v>2644</v>
      </c>
      <c r="BE42" s="3052"/>
      <c r="BF42" s="3052">
        <v>43452</v>
      </c>
      <c r="BG42" s="3052"/>
      <c r="BH42" s="3052">
        <f>AD42+AF42</f>
        <v>43414</v>
      </c>
      <c r="BI42" s="3095">
        <f>+AE42+AG42</f>
        <v>419</v>
      </c>
      <c r="BJ42" s="3091">
        <v>10</v>
      </c>
      <c r="BK42" s="2958">
        <f>SUM(Y42:Y90)</f>
        <v>97448872</v>
      </c>
      <c r="BL42" s="2958">
        <f>SUM(Z42:Z90)</f>
        <v>69388872</v>
      </c>
      <c r="BM42" s="2961">
        <f>BL42/BK42</f>
        <v>0.71205413234542114</v>
      </c>
      <c r="BN42" s="3098">
        <v>20</v>
      </c>
      <c r="BO42" s="3088" t="s">
        <v>86</v>
      </c>
      <c r="BP42" s="3091" t="s">
        <v>3032</v>
      </c>
      <c r="BQ42" s="3093">
        <v>44198</v>
      </c>
      <c r="BR42" s="3093">
        <v>44228</v>
      </c>
      <c r="BS42" s="3093">
        <v>44560</v>
      </c>
      <c r="BT42" s="3091">
        <v>44491</v>
      </c>
      <c r="BU42" s="3087" t="s">
        <v>2978</v>
      </c>
    </row>
    <row r="43" spans="1:73" s="2006" customFormat="1" ht="110.25" customHeight="1" x14ac:dyDescent="0.25">
      <c r="A43" s="2920"/>
      <c r="B43" s="2008"/>
      <c r="C43" s="2007"/>
      <c r="D43" s="2008"/>
      <c r="E43" s="3030"/>
      <c r="F43" s="3030"/>
      <c r="G43" s="3032"/>
      <c r="H43" s="3034"/>
      <c r="I43" s="3032"/>
      <c r="J43" s="3034"/>
      <c r="K43" s="3007"/>
      <c r="L43" s="3036"/>
      <c r="M43" s="3007"/>
      <c r="N43" s="3036"/>
      <c r="O43" s="3007"/>
      <c r="P43" s="3007"/>
      <c r="Q43" s="3007"/>
      <c r="R43" s="2580"/>
      <c r="S43" s="3080"/>
      <c r="T43" s="3081"/>
      <c r="U43" s="3082"/>
      <c r="V43" s="3083"/>
      <c r="W43" s="3084"/>
      <c r="X43" s="2009">
        <v>15000000</v>
      </c>
      <c r="Y43" s="2009">
        <v>0</v>
      </c>
      <c r="Z43" s="2009">
        <v>0</v>
      </c>
      <c r="AA43" s="1708" t="s">
        <v>3033</v>
      </c>
      <c r="AB43" s="2056">
        <v>88</v>
      </c>
      <c r="AC43" s="1714" t="s">
        <v>2980</v>
      </c>
      <c r="AD43" s="3062"/>
      <c r="AE43" s="3053"/>
      <c r="AF43" s="3053"/>
      <c r="AG43" s="3053"/>
      <c r="AH43" s="3053"/>
      <c r="AI43" s="3053"/>
      <c r="AJ43" s="3053"/>
      <c r="AK43" s="3053"/>
      <c r="AL43" s="3053"/>
      <c r="AM43" s="3053"/>
      <c r="AN43" s="3053"/>
      <c r="AO43" s="3053"/>
      <c r="AP43" s="3053"/>
      <c r="AQ43" s="3053"/>
      <c r="AR43" s="3053"/>
      <c r="AS43" s="3053"/>
      <c r="AT43" s="3053"/>
      <c r="AU43" s="3053"/>
      <c r="AV43" s="3053"/>
      <c r="AW43" s="3053"/>
      <c r="AX43" s="3053"/>
      <c r="AY43" s="3053"/>
      <c r="AZ43" s="3053"/>
      <c r="BA43" s="3053"/>
      <c r="BB43" s="3053"/>
      <c r="BC43" s="3053"/>
      <c r="BD43" s="3053"/>
      <c r="BE43" s="3053"/>
      <c r="BF43" s="3053"/>
      <c r="BG43" s="3053"/>
      <c r="BH43" s="3053"/>
      <c r="BI43" s="3096"/>
      <c r="BJ43" s="3092"/>
      <c r="BK43" s="2959"/>
      <c r="BL43" s="2959"/>
      <c r="BM43" s="2962"/>
      <c r="BN43" s="3099"/>
      <c r="BO43" s="3089"/>
      <c r="BP43" s="3092"/>
      <c r="BQ43" s="3094"/>
      <c r="BR43" s="3094"/>
      <c r="BS43" s="3094"/>
      <c r="BT43" s="3092"/>
      <c r="BU43" s="3087"/>
    </row>
    <row r="44" spans="1:73" s="2006" customFormat="1" ht="110.25" customHeight="1" x14ac:dyDescent="0.25">
      <c r="A44" s="2920"/>
      <c r="B44" s="2008"/>
      <c r="C44" s="2007"/>
      <c r="D44" s="2008"/>
      <c r="E44" s="3030"/>
      <c r="F44" s="3030"/>
      <c r="G44" s="3033"/>
      <c r="H44" s="3034"/>
      <c r="I44" s="3033"/>
      <c r="J44" s="3034"/>
      <c r="K44" s="3007"/>
      <c r="L44" s="3036"/>
      <c r="M44" s="3007"/>
      <c r="N44" s="3036"/>
      <c r="O44" s="3007"/>
      <c r="P44" s="3007"/>
      <c r="Q44" s="3007"/>
      <c r="R44" s="2580"/>
      <c r="S44" s="3080"/>
      <c r="T44" s="3081"/>
      <c r="U44" s="3082"/>
      <c r="V44" s="3083"/>
      <c r="W44" s="2312" t="s">
        <v>3034</v>
      </c>
      <c r="X44" s="2009">
        <v>15000000</v>
      </c>
      <c r="Y44" s="2009">
        <v>5229239</v>
      </c>
      <c r="Z44" s="2009">
        <v>4634239</v>
      </c>
      <c r="AA44" s="1708" t="s">
        <v>3031</v>
      </c>
      <c r="AB44" s="2055">
        <v>20</v>
      </c>
      <c r="AC44" s="1709" t="s">
        <v>734</v>
      </c>
      <c r="AD44" s="3062"/>
      <c r="AE44" s="3053"/>
      <c r="AF44" s="3053"/>
      <c r="AG44" s="3053"/>
      <c r="AH44" s="3053"/>
      <c r="AI44" s="3053"/>
      <c r="AJ44" s="3053"/>
      <c r="AK44" s="3053"/>
      <c r="AL44" s="3053"/>
      <c r="AM44" s="3053"/>
      <c r="AN44" s="3053"/>
      <c r="AO44" s="3053"/>
      <c r="AP44" s="3053"/>
      <c r="AQ44" s="3053"/>
      <c r="AR44" s="3053"/>
      <c r="AS44" s="3053"/>
      <c r="AT44" s="3053"/>
      <c r="AU44" s="3053"/>
      <c r="AV44" s="3053"/>
      <c r="AW44" s="3053"/>
      <c r="AX44" s="3053"/>
      <c r="AY44" s="3053"/>
      <c r="AZ44" s="3053"/>
      <c r="BA44" s="3053"/>
      <c r="BB44" s="3053"/>
      <c r="BC44" s="3053"/>
      <c r="BD44" s="3053"/>
      <c r="BE44" s="3053"/>
      <c r="BF44" s="3053"/>
      <c r="BG44" s="3053"/>
      <c r="BH44" s="3053"/>
      <c r="BI44" s="3096"/>
      <c r="BJ44" s="3092"/>
      <c r="BK44" s="2959"/>
      <c r="BL44" s="2959"/>
      <c r="BM44" s="2962"/>
      <c r="BN44" s="3099"/>
      <c r="BO44" s="3089"/>
      <c r="BP44" s="3092"/>
      <c r="BQ44" s="3094"/>
      <c r="BR44" s="3094"/>
      <c r="BS44" s="3094"/>
      <c r="BT44" s="3092"/>
      <c r="BU44" s="3087"/>
    </row>
    <row r="45" spans="1:73" s="2006" customFormat="1" ht="110.25" customHeight="1" x14ac:dyDescent="0.25">
      <c r="A45" s="2920"/>
      <c r="B45" s="2008"/>
      <c r="C45" s="2007"/>
      <c r="D45" s="2008"/>
      <c r="E45" s="3030"/>
      <c r="F45" s="3030"/>
      <c r="G45" s="3033"/>
      <c r="H45" s="3034"/>
      <c r="I45" s="3033"/>
      <c r="J45" s="3034"/>
      <c r="K45" s="3007"/>
      <c r="L45" s="3036"/>
      <c r="M45" s="3007"/>
      <c r="N45" s="3036"/>
      <c r="O45" s="3007"/>
      <c r="P45" s="3007"/>
      <c r="Q45" s="3007"/>
      <c r="R45" s="2580"/>
      <c r="S45" s="3080"/>
      <c r="T45" s="3081"/>
      <c r="U45" s="3082"/>
      <c r="V45" s="3083"/>
      <c r="W45" s="3084"/>
      <c r="X45" s="2009">
        <v>20000000</v>
      </c>
      <c r="Y45" s="2009">
        <v>0</v>
      </c>
      <c r="Z45" s="2009">
        <v>0</v>
      </c>
      <c r="AA45" s="1708" t="s">
        <v>3033</v>
      </c>
      <c r="AB45" s="2056">
        <v>88</v>
      </c>
      <c r="AC45" s="1714" t="s">
        <v>2980</v>
      </c>
      <c r="AD45" s="3062"/>
      <c r="AE45" s="3053"/>
      <c r="AF45" s="3053"/>
      <c r="AG45" s="3053"/>
      <c r="AH45" s="3053"/>
      <c r="AI45" s="3053"/>
      <c r="AJ45" s="3053"/>
      <c r="AK45" s="3053"/>
      <c r="AL45" s="3053"/>
      <c r="AM45" s="3053"/>
      <c r="AN45" s="3053"/>
      <c r="AO45" s="3053"/>
      <c r="AP45" s="3053"/>
      <c r="AQ45" s="3053"/>
      <c r="AR45" s="3053"/>
      <c r="AS45" s="3053"/>
      <c r="AT45" s="3053"/>
      <c r="AU45" s="3053"/>
      <c r="AV45" s="3053"/>
      <c r="AW45" s="3053"/>
      <c r="AX45" s="3053"/>
      <c r="AY45" s="3053"/>
      <c r="AZ45" s="3053"/>
      <c r="BA45" s="3053"/>
      <c r="BB45" s="3053"/>
      <c r="BC45" s="3053"/>
      <c r="BD45" s="3053"/>
      <c r="BE45" s="3053"/>
      <c r="BF45" s="3053"/>
      <c r="BG45" s="3053"/>
      <c r="BH45" s="3053"/>
      <c r="BI45" s="3096"/>
      <c r="BJ45" s="3092"/>
      <c r="BK45" s="2959"/>
      <c r="BL45" s="2959"/>
      <c r="BM45" s="2962"/>
      <c r="BN45" s="3099"/>
      <c r="BO45" s="3089"/>
      <c r="BP45" s="3092"/>
      <c r="BQ45" s="3094"/>
      <c r="BR45" s="3094"/>
      <c r="BS45" s="3094"/>
      <c r="BT45" s="3092"/>
      <c r="BU45" s="3087"/>
    </row>
    <row r="46" spans="1:73" s="2006" customFormat="1" ht="110.25" customHeight="1" x14ac:dyDescent="0.25">
      <c r="A46" s="2920"/>
      <c r="B46" s="2008"/>
      <c r="C46" s="2007"/>
      <c r="D46" s="2008"/>
      <c r="E46" s="3030"/>
      <c r="F46" s="3030"/>
      <c r="G46" s="3033"/>
      <c r="H46" s="3034"/>
      <c r="I46" s="3033"/>
      <c r="J46" s="3034"/>
      <c r="K46" s="3007"/>
      <c r="L46" s="3036"/>
      <c r="M46" s="3007"/>
      <c r="N46" s="3036"/>
      <c r="O46" s="3007"/>
      <c r="P46" s="3007"/>
      <c r="Q46" s="3007"/>
      <c r="R46" s="2580"/>
      <c r="S46" s="3080"/>
      <c r="T46" s="3081"/>
      <c r="U46" s="3082"/>
      <c r="V46" s="3083"/>
      <c r="W46" s="2312" t="s">
        <v>3035</v>
      </c>
      <c r="X46" s="2009">
        <v>17000000</v>
      </c>
      <c r="Y46" s="2009">
        <v>16225000</v>
      </c>
      <c r="Z46" s="2009">
        <v>9230000</v>
      </c>
      <c r="AA46" s="1708" t="s">
        <v>3031</v>
      </c>
      <c r="AB46" s="2055">
        <v>20</v>
      </c>
      <c r="AC46" s="1709" t="s">
        <v>734</v>
      </c>
      <c r="AD46" s="3062"/>
      <c r="AE46" s="3053"/>
      <c r="AF46" s="3053"/>
      <c r="AG46" s="3053"/>
      <c r="AH46" s="3053"/>
      <c r="AI46" s="3053"/>
      <c r="AJ46" s="3053"/>
      <c r="AK46" s="3053"/>
      <c r="AL46" s="3053"/>
      <c r="AM46" s="3053"/>
      <c r="AN46" s="3053"/>
      <c r="AO46" s="3053"/>
      <c r="AP46" s="3053"/>
      <c r="AQ46" s="3053"/>
      <c r="AR46" s="3053"/>
      <c r="AS46" s="3053"/>
      <c r="AT46" s="3053"/>
      <c r="AU46" s="3053"/>
      <c r="AV46" s="3053"/>
      <c r="AW46" s="3053"/>
      <c r="AX46" s="3053"/>
      <c r="AY46" s="3053"/>
      <c r="AZ46" s="3053"/>
      <c r="BA46" s="3053"/>
      <c r="BB46" s="3053"/>
      <c r="BC46" s="3053"/>
      <c r="BD46" s="3053"/>
      <c r="BE46" s="3053"/>
      <c r="BF46" s="3053"/>
      <c r="BG46" s="3053"/>
      <c r="BH46" s="3053"/>
      <c r="BI46" s="3096"/>
      <c r="BJ46" s="3092"/>
      <c r="BK46" s="2959"/>
      <c r="BL46" s="2959"/>
      <c r="BM46" s="2962"/>
      <c r="BN46" s="3099"/>
      <c r="BO46" s="3089"/>
      <c r="BP46" s="3092"/>
      <c r="BQ46" s="3094"/>
      <c r="BR46" s="3094"/>
      <c r="BS46" s="3094"/>
      <c r="BT46" s="3092"/>
      <c r="BU46" s="3087"/>
    </row>
    <row r="47" spans="1:73" s="2006" customFormat="1" ht="110.25" customHeight="1" x14ac:dyDescent="0.25">
      <c r="A47" s="2920"/>
      <c r="B47" s="2008"/>
      <c r="C47" s="2007"/>
      <c r="D47" s="2008"/>
      <c r="E47" s="3030"/>
      <c r="F47" s="3030"/>
      <c r="G47" s="3033"/>
      <c r="H47" s="3034"/>
      <c r="I47" s="3033"/>
      <c r="J47" s="3034"/>
      <c r="K47" s="3007"/>
      <c r="L47" s="3036"/>
      <c r="M47" s="3007"/>
      <c r="N47" s="3036"/>
      <c r="O47" s="3007"/>
      <c r="P47" s="3007"/>
      <c r="Q47" s="3007"/>
      <c r="R47" s="2580"/>
      <c r="S47" s="3080"/>
      <c r="T47" s="3081"/>
      <c r="U47" s="3082"/>
      <c r="V47" s="3083"/>
      <c r="W47" s="3084"/>
      <c r="X47" s="2009">
        <v>35000000</v>
      </c>
      <c r="Y47" s="2009">
        <v>5155000</v>
      </c>
      <c r="Z47" s="2009">
        <v>0</v>
      </c>
      <c r="AA47" s="1708" t="s">
        <v>3033</v>
      </c>
      <c r="AB47" s="2056">
        <v>88</v>
      </c>
      <c r="AC47" s="1714" t="s">
        <v>2980</v>
      </c>
      <c r="AD47" s="3062"/>
      <c r="AE47" s="3053"/>
      <c r="AF47" s="3053"/>
      <c r="AG47" s="3053"/>
      <c r="AH47" s="3053"/>
      <c r="AI47" s="3053"/>
      <c r="AJ47" s="3053"/>
      <c r="AK47" s="3053"/>
      <c r="AL47" s="3053"/>
      <c r="AM47" s="3053"/>
      <c r="AN47" s="3053"/>
      <c r="AO47" s="3053"/>
      <c r="AP47" s="3053"/>
      <c r="AQ47" s="3053"/>
      <c r="AR47" s="3053"/>
      <c r="AS47" s="3053"/>
      <c r="AT47" s="3053"/>
      <c r="AU47" s="3053"/>
      <c r="AV47" s="3053"/>
      <c r="AW47" s="3053"/>
      <c r="AX47" s="3053"/>
      <c r="AY47" s="3053"/>
      <c r="AZ47" s="3053"/>
      <c r="BA47" s="3053"/>
      <c r="BB47" s="3053"/>
      <c r="BC47" s="3053"/>
      <c r="BD47" s="3053"/>
      <c r="BE47" s="3053"/>
      <c r="BF47" s="3053"/>
      <c r="BG47" s="3053"/>
      <c r="BH47" s="3053"/>
      <c r="BI47" s="3096"/>
      <c r="BJ47" s="3092"/>
      <c r="BK47" s="2959"/>
      <c r="BL47" s="2959"/>
      <c r="BM47" s="2962"/>
      <c r="BN47" s="3099"/>
      <c r="BO47" s="3089"/>
      <c r="BP47" s="3092"/>
      <c r="BQ47" s="3094"/>
      <c r="BR47" s="3094"/>
      <c r="BS47" s="3094"/>
      <c r="BT47" s="3092"/>
      <c r="BU47" s="3087"/>
    </row>
    <row r="48" spans="1:73" s="2006" customFormat="1" ht="68.25" customHeight="1" x14ac:dyDescent="0.25">
      <c r="A48" s="2920"/>
      <c r="B48" s="2008"/>
      <c r="C48" s="2007"/>
      <c r="D48" s="2008"/>
      <c r="E48" s="3030"/>
      <c r="F48" s="3030"/>
      <c r="G48" s="3033"/>
      <c r="H48" s="3034"/>
      <c r="I48" s="3033"/>
      <c r="J48" s="3034"/>
      <c r="K48" s="3007"/>
      <c r="L48" s="3036"/>
      <c r="M48" s="3007"/>
      <c r="N48" s="3036"/>
      <c r="O48" s="3007"/>
      <c r="P48" s="3007"/>
      <c r="Q48" s="3007"/>
      <c r="R48" s="2580"/>
      <c r="S48" s="3080"/>
      <c r="T48" s="3081"/>
      <c r="U48" s="3082"/>
      <c r="V48" s="3083"/>
      <c r="W48" s="2312" t="s">
        <v>3036</v>
      </c>
      <c r="X48" s="2009">
        <f>7000000-5000000</f>
        <v>2000000</v>
      </c>
      <c r="Y48" s="2009">
        <v>0</v>
      </c>
      <c r="Z48" s="2009">
        <v>0</v>
      </c>
      <c r="AA48" s="1708" t="s">
        <v>3037</v>
      </c>
      <c r="AB48" s="2055">
        <v>20</v>
      </c>
      <c r="AC48" s="1709" t="s">
        <v>734</v>
      </c>
      <c r="AD48" s="3062"/>
      <c r="AE48" s="3053"/>
      <c r="AF48" s="3053"/>
      <c r="AG48" s="3053"/>
      <c r="AH48" s="3053"/>
      <c r="AI48" s="3053"/>
      <c r="AJ48" s="3053"/>
      <c r="AK48" s="3053"/>
      <c r="AL48" s="3053"/>
      <c r="AM48" s="3053"/>
      <c r="AN48" s="3053"/>
      <c r="AO48" s="3053"/>
      <c r="AP48" s="3053"/>
      <c r="AQ48" s="3053"/>
      <c r="AR48" s="3053"/>
      <c r="AS48" s="3053"/>
      <c r="AT48" s="3053"/>
      <c r="AU48" s="3053"/>
      <c r="AV48" s="3053"/>
      <c r="AW48" s="3053"/>
      <c r="AX48" s="3053"/>
      <c r="AY48" s="3053"/>
      <c r="AZ48" s="3053"/>
      <c r="BA48" s="3053"/>
      <c r="BB48" s="3053"/>
      <c r="BC48" s="3053"/>
      <c r="BD48" s="3053"/>
      <c r="BE48" s="3053"/>
      <c r="BF48" s="3053"/>
      <c r="BG48" s="3053"/>
      <c r="BH48" s="3053"/>
      <c r="BI48" s="3096"/>
      <c r="BJ48" s="3092"/>
      <c r="BK48" s="2959"/>
      <c r="BL48" s="2959"/>
      <c r="BM48" s="2962"/>
      <c r="BN48" s="3099"/>
      <c r="BO48" s="3089"/>
      <c r="BP48" s="3092"/>
      <c r="BQ48" s="3094"/>
      <c r="BR48" s="3094"/>
      <c r="BS48" s="3094"/>
      <c r="BT48" s="3092"/>
      <c r="BU48" s="3087"/>
    </row>
    <row r="49" spans="1:73" s="2006" customFormat="1" ht="68.25" customHeight="1" x14ac:dyDescent="0.25">
      <c r="A49" s="2920"/>
      <c r="B49" s="2008"/>
      <c r="C49" s="2007"/>
      <c r="D49" s="2008"/>
      <c r="E49" s="3030"/>
      <c r="F49" s="3030"/>
      <c r="G49" s="3033"/>
      <c r="H49" s="3034"/>
      <c r="I49" s="3033"/>
      <c r="J49" s="3034"/>
      <c r="K49" s="3007"/>
      <c r="L49" s="3036"/>
      <c r="M49" s="3007"/>
      <c r="N49" s="3036"/>
      <c r="O49" s="3007"/>
      <c r="P49" s="3007"/>
      <c r="Q49" s="3007"/>
      <c r="R49" s="2580"/>
      <c r="S49" s="3080"/>
      <c r="T49" s="3081"/>
      <c r="U49" s="3082"/>
      <c r="V49" s="3083"/>
      <c r="W49" s="2313"/>
      <c r="X49" s="2009">
        <v>5000000</v>
      </c>
      <c r="Y49" s="2009">
        <v>0</v>
      </c>
      <c r="Z49" s="2009">
        <v>0</v>
      </c>
      <c r="AA49" s="1708" t="s">
        <v>3038</v>
      </c>
      <c r="AB49" s="2056">
        <v>88</v>
      </c>
      <c r="AC49" s="1714" t="s">
        <v>2980</v>
      </c>
      <c r="AD49" s="3062"/>
      <c r="AE49" s="3053"/>
      <c r="AF49" s="3053"/>
      <c r="AG49" s="3053"/>
      <c r="AH49" s="3053"/>
      <c r="AI49" s="3053"/>
      <c r="AJ49" s="3053"/>
      <c r="AK49" s="3053"/>
      <c r="AL49" s="3053"/>
      <c r="AM49" s="3053"/>
      <c r="AN49" s="3053"/>
      <c r="AO49" s="3053"/>
      <c r="AP49" s="3053"/>
      <c r="AQ49" s="3053"/>
      <c r="AR49" s="3053"/>
      <c r="AS49" s="3053"/>
      <c r="AT49" s="3053"/>
      <c r="AU49" s="3053"/>
      <c r="AV49" s="3053"/>
      <c r="AW49" s="3053"/>
      <c r="AX49" s="3053"/>
      <c r="AY49" s="3053"/>
      <c r="AZ49" s="3053"/>
      <c r="BA49" s="3053"/>
      <c r="BB49" s="3053"/>
      <c r="BC49" s="3053"/>
      <c r="BD49" s="3053"/>
      <c r="BE49" s="3053"/>
      <c r="BF49" s="3053"/>
      <c r="BG49" s="3053"/>
      <c r="BH49" s="3053"/>
      <c r="BI49" s="3096"/>
      <c r="BJ49" s="3092"/>
      <c r="BK49" s="2959"/>
      <c r="BL49" s="2959"/>
      <c r="BM49" s="2962"/>
      <c r="BN49" s="3099"/>
      <c r="BO49" s="3089"/>
      <c r="BP49" s="3092"/>
      <c r="BQ49" s="3094"/>
      <c r="BR49" s="3094"/>
      <c r="BS49" s="3094"/>
      <c r="BT49" s="3092"/>
      <c r="BU49" s="3087"/>
    </row>
    <row r="50" spans="1:73" s="2006" customFormat="1" ht="68.25" customHeight="1" x14ac:dyDescent="0.25">
      <c r="A50" s="2920"/>
      <c r="B50" s="2008"/>
      <c r="C50" s="2007"/>
      <c r="D50" s="2008"/>
      <c r="E50" s="3030"/>
      <c r="F50" s="3030"/>
      <c r="G50" s="3033"/>
      <c r="H50" s="3034"/>
      <c r="I50" s="3033"/>
      <c r="J50" s="3034"/>
      <c r="K50" s="3007"/>
      <c r="L50" s="3036"/>
      <c r="M50" s="3007"/>
      <c r="N50" s="3036"/>
      <c r="O50" s="3007"/>
      <c r="P50" s="3007"/>
      <c r="Q50" s="3007"/>
      <c r="R50" s="2580"/>
      <c r="S50" s="3080"/>
      <c r="T50" s="3081"/>
      <c r="U50" s="3082"/>
      <c r="V50" s="3083"/>
      <c r="W50" s="2313"/>
      <c r="X50" s="2009">
        <v>25000000</v>
      </c>
      <c r="Y50" s="2009">
        <v>2000000</v>
      </c>
      <c r="Z50" s="2009">
        <v>0</v>
      </c>
      <c r="AA50" s="1708" t="s">
        <v>3033</v>
      </c>
      <c r="AB50" s="2056">
        <v>88</v>
      </c>
      <c r="AC50" s="1714" t="s">
        <v>2980</v>
      </c>
      <c r="AD50" s="3062"/>
      <c r="AE50" s="3053"/>
      <c r="AF50" s="3053"/>
      <c r="AG50" s="3053"/>
      <c r="AH50" s="3053"/>
      <c r="AI50" s="3053"/>
      <c r="AJ50" s="3053"/>
      <c r="AK50" s="3053"/>
      <c r="AL50" s="3053"/>
      <c r="AM50" s="3053"/>
      <c r="AN50" s="3053"/>
      <c r="AO50" s="3053"/>
      <c r="AP50" s="3053"/>
      <c r="AQ50" s="3053"/>
      <c r="AR50" s="3053"/>
      <c r="AS50" s="3053"/>
      <c r="AT50" s="3053"/>
      <c r="AU50" s="3053"/>
      <c r="AV50" s="3053"/>
      <c r="AW50" s="3053"/>
      <c r="AX50" s="3053"/>
      <c r="AY50" s="3053"/>
      <c r="AZ50" s="3053"/>
      <c r="BA50" s="3053"/>
      <c r="BB50" s="3053"/>
      <c r="BC50" s="3053"/>
      <c r="BD50" s="3053"/>
      <c r="BE50" s="3053"/>
      <c r="BF50" s="3053"/>
      <c r="BG50" s="3053"/>
      <c r="BH50" s="3053"/>
      <c r="BI50" s="3096"/>
      <c r="BJ50" s="3092"/>
      <c r="BK50" s="2959"/>
      <c r="BL50" s="2959"/>
      <c r="BM50" s="2962"/>
      <c r="BN50" s="3099"/>
      <c r="BO50" s="3089"/>
      <c r="BP50" s="3092"/>
      <c r="BQ50" s="3094"/>
      <c r="BR50" s="3094"/>
      <c r="BS50" s="3094"/>
      <c r="BT50" s="3092"/>
      <c r="BU50" s="3087"/>
    </row>
    <row r="51" spans="1:73" s="2006" customFormat="1" ht="68.25" customHeight="1" x14ac:dyDescent="0.25">
      <c r="A51" s="2920"/>
      <c r="B51" s="2008"/>
      <c r="C51" s="2007"/>
      <c r="D51" s="2008"/>
      <c r="E51" s="3030"/>
      <c r="F51" s="3030"/>
      <c r="G51" s="3033"/>
      <c r="H51" s="3034"/>
      <c r="I51" s="3033"/>
      <c r="J51" s="3034"/>
      <c r="K51" s="3007"/>
      <c r="L51" s="3036"/>
      <c r="M51" s="3007"/>
      <c r="N51" s="3036"/>
      <c r="O51" s="3007"/>
      <c r="P51" s="3007"/>
      <c r="Q51" s="3007"/>
      <c r="R51" s="2580"/>
      <c r="S51" s="3080"/>
      <c r="T51" s="3081"/>
      <c r="U51" s="3082"/>
      <c r="V51" s="3083"/>
      <c r="W51" s="2314"/>
      <c r="X51" s="2009">
        <v>5000000</v>
      </c>
      <c r="Y51" s="2009">
        <v>4200000</v>
      </c>
      <c r="Z51" s="2009">
        <v>4000000</v>
      </c>
      <c r="AA51" s="1708" t="s">
        <v>3031</v>
      </c>
      <c r="AB51" s="2055">
        <v>20</v>
      </c>
      <c r="AC51" s="1709" t="s">
        <v>734</v>
      </c>
      <c r="AD51" s="3062"/>
      <c r="AE51" s="3053"/>
      <c r="AF51" s="3053"/>
      <c r="AG51" s="3053"/>
      <c r="AH51" s="3053"/>
      <c r="AI51" s="3053"/>
      <c r="AJ51" s="3053"/>
      <c r="AK51" s="3053"/>
      <c r="AL51" s="3053"/>
      <c r="AM51" s="3053"/>
      <c r="AN51" s="3053"/>
      <c r="AO51" s="3053"/>
      <c r="AP51" s="3053"/>
      <c r="AQ51" s="3053"/>
      <c r="AR51" s="3053"/>
      <c r="AS51" s="3053"/>
      <c r="AT51" s="3053"/>
      <c r="AU51" s="3053"/>
      <c r="AV51" s="3053"/>
      <c r="AW51" s="3053"/>
      <c r="AX51" s="3053"/>
      <c r="AY51" s="3053"/>
      <c r="AZ51" s="3053"/>
      <c r="BA51" s="3053"/>
      <c r="BB51" s="3053"/>
      <c r="BC51" s="3053"/>
      <c r="BD51" s="3053"/>
      <c r="BE51" s="3053"/>
      <c r="BF51" s="3053"/>
      <c r="BG51" s="3053"/>
      <c r="BH51" s="3053"/>
      <c r="BI51" s="3096"/>
      <c r="BJ51" s="3092"/>
      <c r="BK51" s="2959"/>
      <c r="BL51" s="2959"/>
      <c r="BM51" s="2962"/>
      <c r="BN51" s="3099"/>
      <c r="BO51" s="3089"/>
      <c r="BP51" s="3092"/>
      <c r="BQ51" s="3094"/>
      <c r="BR51" s="3094"/>
      <c r="BS51" s="3094"/>
      <c r="BT51" s="3092"/>
      <c r="BU51" s="3087"/>
    </row>
    <row r="52" spans="1:73" s="2006" customFormat="1" ht="74.25" customHeight="1" x14ac:dyDescent="0.25">
      <c r="A52" s="2920"/>
      <c r="B52" s="2008"/>
      <c r="C52" s="2007"/>
      <c r="D52" s="2008"/>
      <c r="E52" s="3030"/>
      <c r="F52" s="3030"/>
      <c r="G52" s="3033"/>
      <c r="H52" s="3034"/>
      <c r="I52" s="3033"/>
      <c r="J52" s="3034"/>
      <c r="K52" s="3007"/>
      <c r="L52" s="3036"/>
      <c r="M52" s="3007"/>
      <c r="N52" s="3036"/>
      <c r="O52" s="3007"/>
      <c r="P52" s="3007"/>
      <c r="Q52" s="3007"/>
      <c r="R52" s="2580"/>
      <c r="S52" s="3080"/>
      <c r="T52" s="3081"/>
      <c r="U52" s="3082"/>
      <c r="V52" s="3083"/>
      <c r="W52" s="2578" t="s">
        <v>3039</v>
      </c>
      <c r="X52" s="2009">
        <v>5000000</v>
      </c>
      <c r="Y52" s="2009">
        <v>5000000</v>
      </c>
      <c r="Z52" s="2009">
        <v>5000000</v>
      </c>
      <c r="AA52" s="1708" t="s">
        <v>3031</v>
      </c>
      <c r="AB52" s="2055">
        <v>20</v>
      </c>
      <c r="AC52" s="1709" t="s">
        <v>734</v>
      </c>
      <c r="AD52" s="3062"/>
      <c r="AE52" s="3053"/>
      <c r="AF52" s="3053"/>
      <c r="AG52" s="3053"/>
      <c r="AH52" s="3053"/>
      <c r="AI52" s="3053"/>
      <c r="AJ52" s="3053"/>
      <c r="AK52" s="3053"/>
      <c r="AL52" s="3053"/>
      <c r="AM52" s="3053"/>
      <c r="AN52" s="3053"/>
      <c r="AO52" s="3053"/>
      <c r="AP52" s="3053"/>
      <c r="AQ52" s="3053"/>
      <c r="AR52" s="3053"/>
      <c r="AS52" s="3053"/>
      <c r="AT52" s="3053"/>
      <c r="AU52" s="3053"/>
      <c r="AV52" s="3053"/>
      <c r="AW52" s="3053"/>
      <c r="AX52" s="3053"/>
      <c r="AY52" s="3053"/>
      <c r="AZ52" s="3053"/>
      <c r="BA52" s="3053"/>
      <c r="BB52" s="3053"/>
      <c r="BC52" s="3053"/>
      <c r="BD52" s="3053"/>
      <c r="BE52" s="3053"/>
      <c r="BF52" s="3053"/>
      <c r="BG52" s="3053"/>
      <c r="BH52" s="3053"/>
      <c r="BI52" s="3096"/>
      <c r="BJ52" s="3092"/>
      <c r="BK52" s="2959"/>
      <c r="BL52" s="2959"/>
      <c r="BM52" s="2962"/>
      <c r="BN52" s="3099"/>
      <c r="BO52" s="3089"/>
      <c r="BP52" s="3092"/>
      <c r="BQ52" s="3094"/>
      <c r="BR52" s="3094"/>
      <c r="BS52" s="3094"/>
      <c r="BT52" s="3092"/>
      <c r="BU52" s="3087"/>
    </row>
    <row r="53" spans="1:73" s="2006" customFormat="1" ht="74.25" customHeight="1" x14ac:dyDescent="0.25">
      <c r="A53" s="2920"/>
      <c r="B53" s="2008"/>
      <c r="C53" s="2007"/>
      <c r="D53" s="2008"/>
      <c r="E53" s="3030"/>
      <c r="F53" s="3030"/>
      <c r="G53" s="3033"/>
      <c r="H53" s="3034"/>
      <c r="I53" s="3033"/>
      <c r="J53" s="3034"/>
      <c r="K53" s="3007"/>
      <c r="L53" s="3036"/>
      <c r="M53" s="3007"/>
      <c r="N53" s="3036"/>
      <c r="O53" s="3007"/>
      <c r="P53" s="3007"/>
      <c r="Q53" s="3007"/>
      <c r="R53" s="2580"/>
      <c r="S53" s="3080"/>
      <c r="T53" s="3081"/>
      <c r="U53" s="3082"/>
      <c r="V53" s="3083"/>
      <c r="W53" s="2314"/>
      <c r="X53" s="2009">
        <v>40000000</v>
      </c>
      <c r="Y53" s="2009">
        <v>0</v>
      </c>
      <c r="Z53" s="2009">
        <v>0</v>
      </c>
      <c r="AA53" s="1708" t="s">
        <v>3033</v>
      </c>
      <c r="AB53" s="2056">
        <v>88</v>
      </c>
      <c r="AC53" s="1714" t="s">
        <v>2980</v>
      </c>
      <c r="AD53" s="3062"/>
      <c r="AE53" s="3053"/>
      <c r="AF53" s="3053"/>
      <c r="AG53" s="3053"/>
      <c r="AH53" s="3053"/>
      <c r="AI53" s="3053"/>
      <c r="AJ53" s="3053"/>
      <c r="AK53" s="3053"/>
      <c r="AL53" s="3053"/>
      <c r="AM53" s="3053"/>
      <c r="AN53" s="3053"/>
      <c r="AO53" s="3053"/>
      <c r="AP53" s="3053"/>
      <c r="AQ53" s="3053"/>
      <c r="AR53" s="3053"/>
      <c r="AS53" s="3053"/>
      <c r="AT53" s="3053"/>
      <c r="AU53" s="3053"/>
      <c r="AV53" s="3053"/>
      <c r="AW53" s="3053"/>
      <c r="AX53" s="3053"/>
      <c r="AY53" s="3053"/>
      <c r="AZ53" s="3053"/>
      <c r="BA53" s="3053"/>
      <c r="BB53" s="3053"/>
      <c r="BC53" s="3053"/>
      <c r="BD53" s="3053"/>
      <c r="BE53" s="3053"/>
      <c r="BF53" s="3053"/>
      <c r="BG53" s="3053"/>
      <c r="BH53" s="3053"/>
      <c r="BI53" s="3096"/>
      <c r="BJ53" s="3092"/>
      <c r="BK53" s="2959"/>
      <c r="BL53" s="2959"/>
      <c r="BM53" s="2962"/>
      <c r="BN53" s="3099"/>
      <c r="BO53" s="3089"/>
      <c r="BP53" s="3092"/>
      <c r="BQ53" s="3094"/>
      <c r="BR53" s="3094"/>
      <c r="BS53" s="3094"/>
      <c r="BT53" s="3092"/>
      <c r="BU53" s="3087"/>
    </row>
    <row r="54" spans="1:73" s="2006" customFormat="1" ht="47.25" customHeight="1" x14ac:dyDescent="0.25">
      <c r="A54" s="2920"/>
      <c r="B54" s="2008"/>
      <c r="C54" s="2007"/>
      <c r="D54" s="2008"/>
      <c r="E54" s="3030"/>
      <c r="F54" s="3030"/>
      <c r="G54" s="3033"/>
      <c r="H54" s="3034"/>
      <c r="I54" s="3033"/>
      <c r="J54" s="3034"/>
      <c r="K54" s="3007"/>
      <c r="L54" s="3036"/>
      <c r="M54" s="3007"/>
      <c r="N54" s="3036"/>
      <c r="O54" s="3007"/>
      <c r="P54" s="3007"/>
      <c r="Q54" s="3007"/>
      <c r="R54" s="2580"/>
      <c r="S54" s="3080"/>
      <c r="T54" s="3081"/>
      <c r="U54" s="3082"/>
      <c r="V54" s="3083"/>
      <c r="W54" s="2578" t="s">
        <v>3040</v>
      </c>
      <c r="X54" s="2009">
        <v>3000000</v>
      </c>
      <c r="Y54" s="2009">
        <v>3000000</v>
      </c>
      <c r="Z54" s="2009">
        <v>3000000</v>
      </c>
      <c r="AA54" s="1708" t="s">
        <v>3031</v>
      </c>
      <c r="AB54" s="2055">
        <v>20</v>
      </c>
      <c r="AC54" s="1709" t="s">
        <v>734</v>
      </c>
      <c r="AD54" s="3062"/>
      <c r="AE54" s="3053"/>
      <c r="AF54" s="3053"/>
      <c r="AG54" s="3053"/>
      <c r="AH54" s="3053"/>
      <c r="AI54" s="3053"/>
      <c r="AJ54" s="3053"/>
      <c r="AK54" s="3053"/>
      <c r="AL54" s="3053"/>
      <c r="AM54" s="3053"/>
      <c r="AN54" s="3053"/>
      <c r="AO54" s="3053"/>
      <c r="AP54" s="3053"/>
      <c r="AQ54" s="3053"/>
      <c r="AR54" s="3053"/>
      <c r="AS54" s="3053"/>
      <c r="AT54" s="3053"/>
      <c r="AU54" s="3053"/>
      <c r="AV54" s="3053"/>
      <c r="AW54" s="3053"/>
      <c r="AX54" s="3053"/>
      <c r="AY54" s="3053"/>
      <c r="AZ54" s="3053"/>
      <c r="BA54" s="3053"/>
      <c r="BB54" s="3053"/>
      <c r="BC54" s="3053"/>
      <c r="BD54" s="3053"/>
      <c r="BE54" s="3053"/>
      <c r="BF54" s="3053"/>
      <c r="BG54" s="3053"/>
      <c r="BH54" s="3053"/>
      <c r="BI54" s="3096"/>
      <c r="BJ54" s="3092"/>
      <c r="BK54" s="2959"/>
      <c r="BL54" s="2959"/>
      <c r="BM54" s="2962"/>
      <c r="BN54" s="3099"/>
      <c r="BO54" s="3089"/>
      <c r="BP54" s="3092"/>
      <c r="BQ54" s="3094"/>
      <c r="BR54" s="3094"/>
      <c r="BS54" s="3094"/>
      <c r="BT54" s="3092"/>
      <c r="BU54" s="3087"/>
    </row>
    <row r="55" spans="1:73" s="2006" customFormat="1" ht="60" customHeight="1" x14ac:dyDescent="0.25">
      <c r="A55" s="2920"/>
      <c r="B55" s="2008"/>
      <c r="C55" s="2007"/>
      <c r="D55" s="2008"/>
      <c r="E55" s="3030"/>
      <c r="F55" s="3030"/>
      <c r="G55" s="3033"/>
      <c r="H55" s="3034"/>
      <c r="I55" s="3033"/>
      <c r="J55" s="3034"/>
      <c r="K55" s="3007"/>
      <c r="L55" s="3036"/>
      <c r="M55" s="3007"/>
      <c r="N55" s="3036"/>
      <c r="O55" s="3007"/>
      <c r="P55" s="3007"/>
      <c r="Q55" s="3007"/>
      <c r="R55" s="2580"/>
      <c r="S55" s="3080"/>
      <c r="T55" s="3081"/>
      <c r="U55" s="3082"/>
      <c r="V55" s="3083"/>
      <c r="W55" s="2314"/>
      <c r="X55" s="2009">
        <v>10000000</v>
      </c>
      <c r="Y55" s="2009">
        <v>0</v>
      </c>
      <c r="Z55" s="2009">
        <v>0</v>
      </c>
      <c r="AA55" s="1708" t="s">
        <v>3033</v>
      </c>
      <c r="AB55" s="2056">
        <v>88</v>
      </c>
      <c r="AC55" s="1714" t="s">
        <v>2980</v>
      </c>
      <c r="AD55" s="3062"/>
      <c r="AE55" s="3053"/>
      <c r="AF55" s="3053"/>
      <c r="AG55" s="3053"/>
      <c r="AH55" s="3053"/>
      <c r="AI55" s="3053"/>
      <c r="AJ55" s="3053"/>
      <c r="AK55" s="3053"/>
      <c r="AL55" s="3053"/>
      <c r="AM55" s="3053"/>
      <c r="AN55" s="3053"/>
      <c r="AO55" s="3053"/>
      <c r="AP55" s="3053"/>
      <c r="AQ55" s="3053"/>
      <c r="AR55" s="3053"/>
      <c r="AS55" s="3053"/>
      <c r="AT55" s="3053"/>
      <c r="AU55" s="3053"/>
      <c r="AV55" s="3053"/>
      <c r="AW55" s="3053"/>
      <c r="AX55" s="3053"/>
      <c r="AY55" s="3053"/>
      <c r="AZ55" s="3053"/>
      <c r="BA55" s="3053"/>
      <c r="BB55" s="3053"/>
      <c r="BC55" s="3053"/>
      <c r="BD55" s="3053"/>
      <c r="BE55" s="3053"/>
      <c r="BF55" s="3053"/>
      <c r="BG55" s="3053"/>
      <c r="BH55" s="3053"/>
      <c r="BI55" s="3096"/>
      <c r="BJ55" s="3092"/>
      <c r="BK55" s="2959"/>
      <c r="BL55" s="2959"/>
      <c r="BM55" s="2962"/>
      <c r="BN55" s="3099"/>
      <c r="BO55" s="3089"/>
      <c r="BP55" s="3092"/>
      <c r="BQ55" s="3094"/>
      <c r="BR55" s="3094"/>
      <c r="BS55" s="3094"/>
      <c r="BT55" s="3092"/>
      <c r="BU55" s="3087"/>
    </row>
    <row r="56" spans="1:73" s="2006" customFormat="1" ht="87" customHeight="1" x14ac:dyDescent="0.25">
      <c r="A56" s="2920"/>
      <c r="B56" s="2008"/>
      <c r="C56" s="2007"/>
      <c r="D56" s="2008"/>
      <c r="E56" s="3030"/>
      <c r="F56" s="3030"/>
      <c r="G56" s="3033"/>
      <c r="H56" s="3034"/>
      <c r="I56" s="3033"/>
      <c r="J56" s="3034"/>
      <c r="K56" s="3007"/>
      <c r="L56" s="3036"/>
      <c r="M56" s="3007"/>
      <c r="N56" s="3036"/>
      <c r="O56" s="3007"/>
      <c r="P56" s="3007"/>
      <c r="Q56" s="3007"/>
      <c r="R56" s="2580"/>
      <c r="S56" s="3080"/>
      <c r="T56" s="3081"/>
      <c r="U56" s="3082"/>
      <c r="V56" s="3083"/>
      <c r="W56" s="2578" t="s">
        <v>3041</v>
      </c>
      <c r="X56" s="2009">
        <v>5000000</v>
      </c>
      <c r="Y56" s="2009">
        <v>4000000</v>
      </c>
      <c r="Z56" s="2009">
        <v>4000000</v>
      </c>
      <c r="AA56" s="1708" t="s">
        <v>3031</v>
      </c>
      <c r="AB56" s="2055">
        <v>20</v>
      </c>
      <c r="AC56" s="1709" t="s">
        <v>734</v>
      </c>
      <c r="AD56" s="3062"/>
      <c r="AE56" s="3053"/>
      <c r="AF56" s="3053"/>
      <c r="AG56" s="3053"/>
      <c r="AH56" s="3053"/>
      <c r="AI56" s="3053"/>
      <c r="AJ56" s="3053"/>
      <c r="AK56" s="3053"/>
      <c r="AL56" s="3053"/>
      <c r="AM56" s="3053"/>
      <c r="AN56" s="3053"/>
      <c r="AO56" s="3053"/>
      <c r="AP56" s="3053"/>
      <c r="AQ56" s="3053"/>
      <c r="AR56" s="3053"/>
      <c r="AS56" s="3053"/>
      <c r="AT56" s="3053"/>
      <c r="AU56" s="3053"/>
      <c r="AV56" s="3053"/>
      <c r="AW56" s="3053"/>
      <c r="AX56" s="3053"/>
      <c r="AY56" s="3053"/>
      <c r="AZ56" s="3053"/>
      <c r="BA56" s="3053"/>
      <c r="BB56" s="3053"/>
      <c r="BC56" s="3053"/>
      <c r="BD56" s="3053"/>
      <c r="BE56" s="3053"/>
      <c r="BF56" s="3053"/>
      <c r="BG56" s="3053"/>
      <c r="BH56" s="3053"/>
      <c r="BI56" s="3096"/>
      <c r="BJ56" s="3092"/>
      <c r="BK56" s="2959"/>
      <c r="BL56" s="2959"/>
      <c r="BM56" s="2962"/>
      <c r="BN56" s="3099"/>
      <c r="BO56" s="3089"/>
      <c r="BP56" s="3092"/>
      <c r="BQ56" s="3094"/>
      <c r="BR56" s="3094"/>
      <c r="BS56" s="3094"/>
      <c r="BT56" s="3092"/>
      <c r="BU56" s="3087"/>
    </row>
    <row r="57" spans="1:73" s="2006" customFormat="1" ht="87" customHeight="1" x14ac:dyDescent="0.25">
      <c r="A57" s="2920"/>
      <c r="B57" s="2008"/>
      <c r="C57" s="2007"/>
      <c r="D57" s="2008"/>
      <c r="E57" s="3030"/>
      <c r="F57" s="3030"/>
      <c r="G57" s="3033"/>
      <c r="H57" s="3034"/>
      <c r="I57" s="3033"/>
      <c r="J57" s="3034"/>
      <c r="K57" s="3007"/>
      <c r="L57" s="3036"/>
      <c r="M57" s="3007"/>
      <c r="N57" s="3036"/>
      <c r="O57" s="3007"/>
      <c r="P57" s="3007"/>
      <c r="Q57" s="3007"/>
      <c r="R57" s="2580"/>
      <c r="S57" s="3080"/>
      <c r="T57" s="3081"/>
      <c r="U57" s="3082"/>
      <c r="V57" s="3083"/>
      <c r="W57" s="3084"/>
      <c r="X57" s="2009">
        <v>18000000</v>
      </c>
      <c r="Y57" s="2009">
        <v>0</v>
      </c>
      <c r="Z57" s="2009">
        <v>0</v>
      </c>
      <c r="AA57" s="1708" t="s">
        <v>3033</v>
      </c>
      <c r="AB57" s="2056">
        <v>88</v>
      </c>
      <c r="AC57" s="1714" t="s">
        <v>2980</v>
      </c>
      <c r="AD57" s="3062"/>
      <c r="AE57" s="3053"/>
      <c r="AF57" s="3053"/>
      <c r="AG57" s="3053"/>
      <c r="AH57" s="3053"/>
      <c r="AI57" s="3053"/>
      <c r="AJ57" s="3053"/>
      <c r="AK57" s="3053"/>
      <c r="AL57" s="3053"/>
      <c r="AM57" s="3053"/>
      <c r="AN57" s="3053"/>
      <c r="AO57" s="3053"/>
      <c r="AP57" s="3053"/>
      <c r="AQ57" s="3053"/>
      <c r="AR57" s="3053"/>
      <c r="AS57" s="3053"/>
      <c r="AT57" s="3053"/>
      <c r="AU57" s="3053"/>
      <c r="AV57" s="3053"/>
      <c r="AW57" s="3053"/>
      <c r="AX57" s="3053"/>
      <c r="AY57" s="3053"/>
      <c r="AZ57" s="3053"/>
      <c r="BA57" s="3053"/>
      <c r="BB57" s="3053"/>
      <c r="BC57" s="3053"/>
      <c r="BD57" s="3053"/>
      <c r="BE57" s="3053"/>
      <c r="BF57" s="3053"/>
      <c r="BG57" s="3053"/>
      <c r="BH57" s="3053"/>
      <c r="BI57" s="3096"/>
      <c r="BJ57" s="3092"/>
      <c r="BK57" s="2959"/>
      <c r="BL57" s="2959"/>
      <c r="BM57" s="2962"/>
      <c r="BN57" s="3099"/>
      <c r="BO57" s="3089"/>
      <c r="BP57" s="3092"/>
      <c r="BQ57" s="3094"/>
      <c r="BR57" s="3094"/>
      <c r="BS57" s="3094"/>
      <c r="BT57" s="3092"/>
      <c r="BU57" s="3087"/>
    </row>
    <row r="58" spans="1:73" s="2006" customFormat="1" ht="67.5" customHeight="1" x14ac:dyDescent="0.25">
      <c r="A58" s="2920"/>
      <c r="B58" s="2008"/>
      <c r="C58" s="2007"/>
      <c r="D58" s="2008"/>
      <c r="E58" s="3030"/>
      <c r="F58" s="3030"/>
      <c r="G58" s="3033"/>
      <c r="H58" s="3034"/>
      <c r="I58" s="3033"/>
      <c r="J58" s="3034"/>
      <c r="K58" s="3007"/>
      <c r="L58" s="3036"/>
      <c r="M58" s="3007"/>
      <c r="N58" s="3036"/>
      <c r="O58" s="3007"/>
      <c r="P58" s="3007"/>
      <c r="Q58" s="3007"/>
      <c r="R58" s="2580"/>
      <c r="S58" s="3080"/>
      <c r="T58" s="3081"/>
      <c r="U58" s="3082"/>
      <c r="V58" s="3083"/>
      <c r="W58" s="2312" t="s">
        <v>3042</v>
      </c>
      <c r="X58" s="2009">
        <v>3000000</v>
      </c>
      <c r="Y58" s="2009">
        <v>3000000</v>
      </c>
      <c r="Z58" s="2009">
        <v>3000000</v>
      </c>
      <c r="AA58" s="1708" t="s">
        <v>3043</v>
      </c>
      <c r="AB58" s="2055">
        <v>20</v>
      </c>
      <c r="AC58" s="1709" t="s">
        <v>734</v>
      </c>
      <c r="AD58" s="3062"/>
      <c r="AE58" s="3053"/>
      <c r="AF58" s="3053"/>
      <c r="AG58" s="3053"/>
      <c r="AH58" s="3053"/>
      <c r="AI58" s="3053"/>
      <c r="AJ58" s="3053"/>
      <c r="AK58" s="3053"/>
      <c r="AL58" s="3053"/>
      <c r="AM58" s="3053"/>
      <c r="AN58" s="3053"/>
      <c r="AO58" s="3053"/>
      <c r="AP58" s="3053"/>
      <c r="AQ58" s="3053"/>
      <c r="AR58" s="3053"/>
      <c r="AS58" s="3053"/>
      <c r="AT58" s="3053"/>
      <c r="AU58" s="3053"/>
      <c r="AV58" s="3053"/>
      <c r="AW58" s="3053"/>
      <c r="AX58" s="3053"/>
      <c r="AY58" s="3053"/>
      <c r="AZ58" s="3053"/>
      <c r="BA58" s="3053"/>
      <c r="BB58" s="3053"/>
      <c r="BC58" s="3053"/>
      <c r="BD58" s="3053"/>
      <c r="BE58" s="3053"/>
      <c r="BF58" s="3053"/>
      <c r="BG58" s="3053"/>
      <c r="BH58" s="3053"/>
      <c r="BI58" s="3096"/>
      <c r="BJ58" s="3092"/>
      <c r="BK58" s="2959"/>
      <c r="BL58" s="2959"/>
      <c r="BM58" s="2962"/>
      <c r="BN58" s="3099"/>
      <c r="BO58" s="3089"/>
      <c r="BP58" s="3092"/>
      <c r="BQ58" s="3094"/>
      <c r="BR58" s="3094"/>
      <c r="BS58" s="3094"/>
      <c r="BT58" s="3092"/>
      <c r="BU58" s="3087"/>
    </row>
    <row r="59" spans="1:73" s="2006" customFormat="1" ht="67.5" customHeight="1" x14ac:dyDescent="0.25">
      <c r="A59" s="2920"/>
      <c r="B59" s="2008"/>
      <c r="C59" s="2007"/>
      <c r="D59" s="2008"/>
      <c r="E59" s="3030"/>
      <c r="F59" s="3030"/>
      <c r="G59" s="3033"/>
      <c r="H59" s="3034"/>
      <c r="I59" s="3033"/>
      <c r="J59" s="3034"/>
      <c r="K59" s="3007"/>
      <c r="L59" s="3036"/>
      <c r="M59" s="3007"/>
      <c r="N59" s="3036"/>
      <c r="O59" s="3007"/>
      <c r="P59" s="3007"/>
      <c r="Q59" s="3007"/>
      <c r="R59" s="2580"/>
      <c r="S59" s="3080"/>
      <c r="T59" s="3081"/>
      <c r="U59" s="3082"/>
      <c r="V59" s="3083"/>
      <c r="W59" s="3084"/>
      <c r="X59" s="2009">
        <v>10000000</v>
      </c>
      <c r="Y59" s="2009">
        <v>0</v>
      </c>
      <c r="Z59" s="2009">
        <v>0</v>
      </c>
      <c r="AA59" s="1708" t="s">
        <v>3044</v>
      </c>
      <c r="AB59" s="2056">
        <v>88</v>
      </c>
      <c r="AC59" s="1714" t="s">
        <v>2980</v>
      </c>
      <c r="AD59" s="3062"/>
      <c r="AE59" s="3053"/>
      <c r="AF59" s="3053"/>
      <c r="AG59" s="3053"/>
      <c r="AH59" s="3053"/>
      <c r="AI59" s="3053"/>
      <c r="AJ59" s="3053"/>
      <c r="AK59" s="3053"/>
      <c r="AL59" s="3053"/>
      <c r="AM59" s="3053"/>
      <c r="AN59" s="3053"/>
      <c r="AO59" s="3053"/>
      <c r="AP59" s="3053"/>
      <c r="AQ59" s="3053"/>
      <c r="AR59" s="3053"/>
      <c r="AS59" s="3053"/>
      <c r="AT59" s="3053"/>
      <c r="AU59" s="3053"/>
      <c r="AV59" s="3053"/>
      <c r="AW59" s="3053"/>
      <c r="AX59" s="3053"/>
      <c r="AY59" s="3053"/>
      <c r="AZ59" s="3053"/>
      <c r="BA59" s="3053"/>
      <c r="BB59" s="3053"/>
      <c r="BC59" s="3053"/>
      <c r="BD59" s="3053"/>
      <c r="BE59" s="3053"/>
      <c r="BF59" s="3053"/>
      <c r="BG59" s="3053"/>
      <c r="BH59" s="3053"/>
      <c r="BI59" s="3096"/>
      <c r="BJ59" s="3092"/>
      <c r="BK59" s="2959"/>
      <c r="BL59" s="2959"/>
      <c r="BM59" s="2962"/>
      <c r="BN59" s="3099"/>
      <c r="BO59" s="3089"/>
      <c r="BP59" s="3092"/>
      <c r="BQ59" s="3094"/>
      <c r="BR59" s="3094"/>
      <c r="BS59" s="3094"/>
      <c r="BT59" s="3092"/>
      <c r="BU59" s="3087"/>
    </row>
    <row r="60" spans="1:73" s="2006" customFormat="1" ht="67.5" customHeight="1" x14ac:dyDescent="0.25">
      <c r="A60" s="2920"/>
      <c r="B60" s="2008"/>
      <c r="C60" s="2007"/>
      <c r="D60" s="2008"/>
      <c r="E60" s="3030"/>
      <c r="F60" s="3030"/>
      <c r="G60" s="3033"/>
      <c r="H60" s="3034"/>
      <c r="I60" s="3033"/>
      <c r="J60" s="3034"/>
      <c r="K60" s="3007"/>
      <c r="L60" s="3036"/>
      <c r="M60" s="3007"/>
      <c r="N60" s="3036"/>
      <c r="O60" s="3007"/>
      <c r="P60" s="3007"/>
      <c r="Q60" s="3007"/>
      <c r="R60" s="2580"/>
      <c r="S60" s="3080"/>
      <c r="T60" s="3081"/>
      <c r="U60" s="3082"/>
      <c r="V60" s="3083"/>
      <c r="W60" s="2312" t="s">
        <v>3045</v>
      </c>
      <c r="X60" s="2009">
        <v>10000000</v>
      </c>
      <c r="Y60" s="2009">
        <v>10000000</v>
      </c>
      <c r="Z60" s="2009">
        <v>10000000</v>
      </c>
      <c r="AA60" s="1708" t="s">
        <v>3031</v>
      </c>
      <c r="AB60" s="2055">
        <v>20</v>
      </c>
      <c r="AC60" s="1709" t="s">
        <v>734</v>
      </c>
      <c r="AD60" s="3062"/>
      <c r="AE60" s="3053"/>
      <c r="AF60" s="3053"/>
      <c r="AG60" s="3053"/>
      <c r="AH60" s="3053"/>
      <c r="AI60" s="3053"/>
      <c r="AJ60" s="3053"/>
      <c r="AK60" s="3053"/>
      <c r="AL60" s="3053"/>
      <c r="AM60" s="3053"/>
      <c r="AN60" s="3053"/>
      <c r="AO60" s="3053"/>
      <c r="AP60" s="3053"/>
      <c r="AQ60" s="3053"/>
      <c r="AR60" s="3053"/>
      <c r="AS60" s="3053"/>
      <c r="AT60" s="3053"/>
      <c r="AU60" s="3053"/>
      <c r="AV60" s="3053"/>
      <c r="AW60" s="3053"/>
      <c r="AX60" s="3053"/>
      <c r="AY60" s="3053"/>
      <c r="AZ60" s="3053"/>
      <c r="BA60" s="3053"/>
      <c r="BB60" s="3053"/>
      <c r="BC60" s="3053"/>
      <c r="BD60" s="3053"/>
      <c r="BE60" s="3053"/>
      <c r="BF60" s="3053"/>
      <c r="BG60" s="3053"/>
      <c r="BH60" s="3053"/>
      <c r="BI60" s="3096"/>
      <c r="BJ60" s="3092"/>
      <c r="BK60" s="2959"/>
      <c r="BL60" s="2959"/>
      <c r="BM60" s="2962"/>
      <c r="BN60" s="3099"/>
      <c r="BO60" s="3089"/>
      <c r="BP60" s="3092"/>
      <c r="BQ60" s="3094"/>
      <c r="BR60" s="3094"/>
      <c r="BS60" s="3094"/>
      <c r="BT60" s="3092"/>
      <c r="BU60" s="3087"/>
    </row>
    <row r="61" spans="1:73" s="2006" customFormat="1" ht="46.5" customHeight="1" x14ac:dyDescent="0.25">
      <c r="A61" s="2920"/>
      <c r="B61" s="2008"/>
      <c r="C61" s="2007"/>
      <c r="D61" s="2008"/>
      <c r="E61" s="3030"/>
      <c r="F61" s="3030"/>
      <c r="G61" s="3033"/>
      <c r="H61" s="3073"/>
      <c r="I61" s="3033"/>
      <c r="J61" s="3073"/>
      <c r="K61" s="3008"/>
      <c r="L61" s="2479"/>
      <c r="M61" s="3008"/>
      <c r="N61" s="2479"/>
      <c r="O61" s="3008"/>
      <c r="P61" s="3008"/>
      <c r="Q61" s="3007"/>
      <c r="R61" s="2580"/>
      <c r="S61" s="3080"/>
      <c r="T61" s="3081"/>
      <c r="U61" s="3082"/>
      <c r="V61" s="3083"/>
      <c r="W61" s="3084"/>
      <c r="X61" s="2009">
        <v>17000000</v>
      </c>
      <c r="Y61" s="2009">
        <v>0</v>
      </c>
      <c r="Z61" s="2009">
        <v>0</v>
      </c>
      <c r="AA61" s="1708" t="s">
        <v>3033</v>
      </c>
      <c r="AB61" s="2056">
        <v>88</v>
      </c>
      <c r="AC61" s="1714" t="s">
        <v>2980</v>
      </c>
      <c r="AD61" s="3062"/>
      <c r="AE61" s="3053"/>
      <c r="AF61" s="3053"/>
      <c r="AG61" s="3053"/>
      <c r="AH61" s="3053"/>
      <c r="AI61" s="3053"/>
      <c r="AJ61" s="3053"/>
      <c r="AK61" s="3053"/>
      <c r="AL61" s="3053"/>
      <c r="AM61" s="3053"/>
      <c r="AN61" s="3053"/>
      <c r="AO61" s="3053"/>
      <c r="AP61" s="3053"/>
      <c r="AQ61" s="3053"/>
      <c r="AR61" s="3053"/>
      <c r="AS61" s="3053"/>
      <c r="AT61" s="3053"/>
      <c r="AU61" s="3053"/>
      <c r="AV61" s="3053"/>
      <c r="AW61" s="3053"/>
      <c r="AX61" s="3053"/>
      <c r="AY61" s="3053"/>
      <c r="AZ61" s="3053"/>
      <c r="BA61" s="3053"/>
      <c r="BB61" s="3053"/>
      <c r="BC61" s="3053"/>
      <c r="BD61" s="3053"/>
      <c r="BE61" s="3053"/>
      <c r="BF61" s="3053"/>
      <c r="BG61" s="3053"/>
      <c r="BH61" s="3053"/>
      <c r="BI61" s="3096"/>
      <c r="BJ61" s="3092"/>
      <c r="BK61" s="2959"/>
      <c r="BL61" s="2959"/>
      <c r="BM61" s="2962"/>
      <c r="BN61" s="3099"/>
      <c r="BO61" s="3089"/>
      <c r="BP61" s="3092"/>
      <c r="BQ61" s="3094"/>
      <c r="BR61" s="3094"/>
      <c r="BS61" s="3094"/>
      <c r="BT61" s="3092"/>
      <c r="BU61" s="3087"/>
    </row>
    <row r="62" spans="1:73" s="2006" customFormat="1" ht="61.5" customHeight="1" x14ac:dyDescent="0.25">
      <c r="A62" s="2920"/>
      <c r="B62" s="2008"/>
      <c r="C62" s="2007"/>
      <c r="D62" s="2008"/>
      <c r="E62" s="3030"/>
      <c r="F62" s="3030"/>
      <c r="G62" s="3033">
        <v>4101025</v>
      </c>
      <c r="H62" s="3086" t="s">
        <v>3046</v>
      </c>
      <c r="I62" s="3033">
        <v>4101025</v>
      </c>
      <c r="J62" s="3086" t="s">
        <v>3046</v>
      </c>
      <c r="K62" s="3006">
        <v>410102511</v>
      </c>
      <c r="L62" s="2478" t="s">
        <v>3047</v>
      </c>
      <c r="M62" s="3006">
        <v>410102511</v>
      </c>
      <c r="N62" s="2478" t="s">
        <v>3047</v>
      </c>
      <c r="O62" s="3006">
        <v>100</v>
      </c>
      <c r="P62" s="3006">
        <v>40</v>
      </c>
      <c r="Q62" s="3007"/>
      <c r="R62" s="2580"/>
      <c r="S62" s="3080">
        <f>SUM(X62:X67)/T42</f>
        <v>9.4941253757279576E-2</v>
      </c>
      <c r="T62" s="3081"/>
      <c r="U62" s="3082"/>
      <c r="V62" s="3083" t="s">
        <v>3048</v>
      </c>
      <c r="W62" s="2312" t="s">
        <v>3049</v>
      </c>
      <c r="X62" s="2009">
        <v>22000000</v>
      </c>
      <c r="Y62" s="2009">
        <v>2000000</v>
      </c>
      <c r="Z62" s="2009">
        <v>2000000</v>
      </c>
      <c r="AA62" s="1708" t="s">
        <v>3050</v>
      </c>
      <c r="AB62" s="2055">
        <v>20</v>
      </c>
      <c r="AC62" s="1709" t="s">
        <v>734</v>
      </c>
      <c r="AD62" s="3062"/>
      <c r="AE62" s="3053"/>
      <c r="AF62" s="3053"/>
      <c r="AG62" s="3053"/>
      <c r="AH62" s="3053"/>
      <c r="AI62" s="3053"/>
      <c r="AJ62" s="3053"/>
      <c r="AK62" s="3053"/>
      <c r="AL62" s="3053"/>
      <c r="AM62" s="3053"/>
      <c r="AN62" s="3053"/>
      <c r="AO62" s="3053"/>
      <c r="AP62" s="3053"/>
      <c r="AQ62" s="3053"/>
      <c r="AR62" s="3053"/>
      <c r="AS62" s="3053"/>
      <c r="AT62" s="3053"/>
      <c r="AU62" s="3053"/>
      <c r="AV62" s="3053"/>
      <c r="AW62" s="3053"/>
      <c r="AX62" s="3053"/>
      <c r="AY62" s="3053"/>
      <c r="AZ62" s="3053"/>
      <c r="BA62" s="3053"/>
      <c r="BB62" s="3053"/>
      <c r="BC62" s="3053"/>
      <c r="BD62" s="3053"/>
      <c r="BE62" s="3053"/>
      <c r="BF62" s="3053"/>
      <c r="BG62" s="3053"/>
      <c r="BH62" s="3053"/>
      <c r="BI62" s="3096"/>
      <c r="BJ62" s="3092"/>
      <c r="BK62" s="2959"/>
      <c r="BL62" s="2959"/>
      <c r="BM62" s="2962"/>
      <c r="BN62" s="3099"/>
      <c r="BO62" s="3089"/>
      <c r="BP62" s="3092"/>
      <c r="BQ62" s="3094"/>
      <c r="BR62" s="3094"/>
      <c r="BS62" s="3094"/>
      <c r="BT62" s="3092"/>
      <c r="BU62" s="3087"/>
    </row>
    <row r="63" spans="1:73" s="2006" customFormat="1" ht="61.5" customHeight="1" x14ac:dyDescent="0.25">
      <c r="A63" s="2920"/>
      <c r="B63" s="2008"/>
      <c r="C63" s="2007"/>
      <c r="D63" s="2008"/>
      <c r="E63" s="3030"/>
      <c r="F63" s="3030"/>
      <c r="G63" s="3033"/>
      <c r="H63" s="3034"/>
      <c r="I63" s="3033"/>
      <c r="J63" s="3034"/>
      <c r="K63" s="3007"/>
      <c r="L63" s="3036"/>
      <c r="M63" s="3007"/>
      <c r="N63" s="3036"/>
      <c r="O63" s="3007"/>
      <c r="P63" s="3007"/>
      <c r="Q63" s="3007"/>
      <c r="R63" s="2580"/>
      <c r="S63" s="3080"/>
      <c r="T63" s="3081"/>
      <c r="U63" s="3082"/>
      <c r="V63" s="3083"/>
      <c r="W63" s="3084"/>
      <c r="X63" s="2009">
        <v>5000000</v>
      </c>
      <c r="Y63" s="2009">
        <v>0</v>
      </c>
      <c r="Z63" s="2009">
        <v>0</v>
      </c>
      <c r="AA63" s="1708" t="s">
        <v>3051</v>
      </c>
      <c r="AB63" s="2056">
        <v>88</v>
      </c>
      <c r="AC63" s="1714" t="s">
        <v>2980</v>
      </c>
      <c r="AD63" s="3062"/>
      <c r="AE63" s="3053"/>
      <c r="AF63" s="3053"/>
      <c r="AG63" s="3053"/>
      <c r="AH63" s="3053"/>
      <c r="AI63" s="3053"/>
      <c r="AJ63" s="3053"/>
      <c r="AK63" s="3053"/>
      <c r="AL63" s="3053"/>
      <c r="AM63" s="3053"/>
      <c r="AN63" s="3053"/>
      <c r="AO63" s="3053"/>
      <c r="AP63" s="3053"/>
      <c r="AQ63" s="3053"/>
      <c r="AR63" s="3053"/>
      <c r="AS63" s="3053"/>
      <c r="AT63" s="3053"/>
      <c r="AU63" s="3053"/>
      <c r="AV63" s="3053"/>
      <c r="AW63" s="3053"/>
      <c r="AX63" s="3053"/>
      <c r="AY63" s="3053"/>
      <c r="AZ63" s="3053"/>
      <c r="BA63" s="3053"/>
      <c r="BB63" s="3053"/>
      <c r="BC63" s="3053"/>
      <c r="BD63" s="3053"/>
      <c r="BE63" s="3053"/>
      <c r="BF63" s="3053"/>
      <c r="BG63" s="3053"/>
      <c r="BH63" s="3053"/>
      <c r="BI63" s="3096"/>
      <c r="BJ63" s="3092"/>
      <c r="BK63" s="2959"/>
      <c r="BL63" s="2959"/>
      <c r="BM63" s="2962"/>
      <c r="BN63" s="3099"/>
      <c r="BO63" s="3089"/>
      <c r="BP63" s="3092"/>
      <c r="BQ63" s="3094"/>
      <c r="BR63" s="3094"/>
      <c r="BS63" s="3094"/>
      <c r="BT63" s="3092"/>
      <c r="BU63" s="3087"/>
    </row>
    <row r="64" spans="1:73" s="2006" customFormat="1" ht="69" customHeight="1" x14ac:dyDescent="0.25">
      <c r="A64" s="2920"/>
      <c r="B64" s="2008"/>
      <c r="C64" s="2007"/>
      <c r="D64" s="2008"/>
      <c r="E64" s="3030"/>
      <c r="F64" s="3030"/>
      <c r="G64" s="3033"/>
      <c r="H64" s="3034"/>
      <c r="I64" s="3033"/>
      <c r="J64" s="3034"/>
      <c r="K64" s="3007"/>
      <c r="L64" s="3036"/>
      <c r="M64" s="3007"/>
      <c r="N64" s="3036"/>
      <c r="O64" s="3007"/>
      <c r="P64" s="3007"/>
      <c r="Q64" s="3007"/>
      <c r="R64" s="2580"/>
      <c r="S64" s="3080"/>
      <c r="T64" s="3081"/>
      <c r="U64" s="3082"/>
      <c r="V64" s="3083"/>
      <c r="W64" s="2312" t="s">
        <v>3052</v>
      </c>
      <c r="X64" s="2009">
        <v>12000000</v>
      </c>
      <c r="Y64" s="2009">
        <v>3000000</v>
      </c>
      <c r="Z64" s="2009">
        <v>0</v>
      </c>
      <c r="AA64" s="1708" t="s">
        <v>3050</v>
      </c>
      <c r="AB64" s="2055">
        <v>20</v>
      </c>
      <c r="AC64" s="1709" t="s">
        <v>734</v>
      </c>
      <c r="AD64" s="3062"/>
      <c r="AE64" s="3053"/>
      <c r="AF64" s="3053"/>
      <c r="AG64" s="3053"/>
      <c r="AH64" s="3053"/>
      <c r="AI64" s="3053"/>
      <c r="AJ64" s="3053"/>
      <c r="AK64" s="3053"/>
      <c r="AL64" s="3053"/>
      <c r="AM64" s="3053"/>
      <c r="AN64" s="3053"/>
      <c r="AO64" s="3053"/>
      <c r="AP64" s="3053"/>
      <c r="AQ64" s="3053"/>
      <c r="AR64" s="3053"/>
      <c r="AS64" s="3053"/>
      <c r="AT64" s="3053"/>
      <c r="AU64" s="3053"/>
      <c r="AV64" s="3053"/>
      <c r="AW64" s="3053"/>
      <c r="AX64" s="3053"/>
      <c r="AY64" s="3053"/>
      <c r="AZ64" s="3053"/>
      <c r="BA64" s="3053"/>
      <c r="BB64" s="3053"/>
      <c r="BC64" s="3053"/>
      <c r="BD64" s="3053"/>
      <c r="BE64" s="3053"/>
      <c r="BF64" s="3053"/>
      <c r="BG64" s="3053"/>
      <c r="BH64" s="3053"/>
      <c r="BI64" s="3096"/>
      <c r="BJ64" s="3092"/>
      <c r="BK64" s="2959"/>
      <c r="BL64" s="2959"/>
      <c r="BM64" s="2962"/>
      <c r="BN64" s="3099"/>
      <c r="BO64" s="3089"/>
      <c r="BP64" s="3092"/>
      <c r="BQ64" s="3094"/>
      <c r="BR64" s="3094"/>
      <c r="BS64" s="3094"/>
      <c r="BT64" s="3092"/>
      <c r="BU64" s="3087"/>
    </row>
    <row r="65" spans="1:73" s="2006" customFormat="1" ht="69" customHeight="1" x14ac:dyDescent="0.25">
      <c r="A65" s="2920"/>
      <c r="B65" s="2008"/>
      <c r="C65" s="2007"/>
      <c r="D65" s="2008"/>
      <c r="E65" s="3030"/>
      <c r="F65" s="3030"/>
      <c r="G65" s="3033"/>
      <c r="H65" s="3034"/>
      <c r="I65" s="3033"/>
      <c r="J65" s="3034"/>
      <c r="K65" s="3007"/>
      <c r="L65" s="3036"/>
      <c r="M65" s="3007"/>
      <c r="N65" s="3036"/>
      <c r="O65" s="3007"/>
      <c r="P65" s="3007"/>
      <c r="Q65" s="3007"/>
      <c r="R65" s="2580"/>
      <c r="S65" s="3080"/>
      <c r="T65" s="3081"/>
      <c r="U65" s="3082"/>
      <c r="V65" s="3083"/>
      <c r="W65" s="3084"/>
      <c r="X65" s="2009">
        <v>7000000</v>
      </c>
      <c r="Y65" s="2009">
        <v>0</v>
      </c>
      <c r="Z65" s="2009">
        <v>0</v>
      </c>
      <c r="AA65" s="1708" t="s">
        <v>3051</v>
      </c>
      <c r="AB65" s="2056">
        <v>88</v>
      </c>
      <c r="AC65" s="1714" t="s">
        <v>2980</v>
      </c>
      <c r="AD65" s="3062"/>
      <c r="AE65" s="3053"/>
      <c r="AF65" s="3053"/>
      <c r="AG65" s="3053"/>
      <c r="AH65" s="3053"/>
      <c r="AI65" s="3053"/>
      <c r="AJ65" s="3053"/>
      <c r="AK65" s="3053"/>
      <c r="AL65" s="3053"/>
      <c r="AM65" s="3053"/>
      <c r="AN65" s="3053"/>
      <c r="AO65" s="3053"/>
      <c r="AP65" s="3053"/>
      <c r="AQ65" s="3053"/>
      <c r="AR65" s="3053"/>
      <c r="AS65" s="3053"/>
      <c r="AT65" s="3053"/>
      <c r="AU65" s="3053"/>
      <c r="AV65" s="3053"/>
      <c r="AW65" s="3053"/>
      <c r="AX65" s="3053"/>
      <c r="AY65" s="3053"/>
      <c r="AZ65" s="3053"/>
      <c r="BA65" s="3053"/>
      <c r="BB65" s="3053"/>
      <c r="BC65" s="3053"/>
      <c r="BD65" s="3053"/>
      <c r="BE65" s="3053"/>
      <c r="BF65" s="3053"/>
      <c r="BG65" s="3053"/>
      <c r="BH65" s="3053"/>
      <c r="BI65" s="3096"/>
      <c r="BJ65" s="3092"/>
      <c r="BK65" s="2959"/>
      <c r="BL65" s="2959"/>
      <c r="BM65" s="2962"/>
      <c r="BN65" s="3099"/>
      <c r="BO65" s="3089"/>
      <c r="BP65" s="3092"/>
      <c r="BQ65" s="3094"/>
      <c r="BR65" s="3094"/>
      <c r="BS65" s="3094"/>
      <c r="BT65" s="3092"/>
      <c r="BU65" s="3087"/>
    </row>
    <row r="66" spans="1:73" s="2006" customFormat="1" ht="33.75" customHeight="1" x14ac:dyDescent="0.25">
      <c r="A66" s="2920"/>
      <c r="B66" s="2008"/>
      <c r="C66" s="2007"/>
      <c r="D66" s="2008"/>
      <c r="E66" s="3030"/>
      <c r="F66" s="3030"/>
      <c r="G66" s="3033"/>
      <c r="H66" s="3034"/>
      <c r="I66" s="3033"/>
      <c r="J66" s="3034"/>
      <c r="K66" s="3007"/>
      <c r="L66" s="3036"/>
      <c r="M66" s="3007"/>
      <c r="N66" s="3036"/>
      <c r="O66" s="3007"/>
      <c r="P66" s="3007"/>
      <c r="Q66" s="3007"/>
      <c r="R66" s="2580"/>
      <c r="S66" s="3080"/>
      <c r="T66" s="3081"/>
      <c r="U66" s="3082"/>
      <c r="V66" s="3083"/>
      <c r="W66" s="2069" t="s">
        <v>3053</v>
      </c>
      <c r="X66" s="2009">
        <v>3000000</v>
      </c>
      <c r="Y66" s="2009">
        <v>0</v>
      </c>
      <c r="Z66" s="2009">
        <v>0</v>
      </c>
      <c r="AA66" s="1708" t="s">
        <v>3050</v>
      </c>
      <c r="AB66" s="2055">
        <v>20</v>
      </c>
      <c r="AC66" s="1709" t="s">
        <v>734</v>
      </c>
      <c r="AD66" s="3062"/>
      <c r="AE66" s="3053"/>
      <c r="AF66" s="3053"/>
      <c r="AG66" s="3053"/>
      <c r="AH66" s="3053"/>
      <c r="AI66" s="3053"/>
      <c r="AJ66" s="3053"/>
      <c r="AK66" s="3053"/>
      <c r="AL66" s="3053"/>
      <c r="AM66" s="3053"/>
      <c r="AN66" s="3053"/>
      <c r="AO66" s="3053"/>
      <c r="AP66" s="3053"/>
      <c r="AQ66" s="3053"/>
      <c r="AR66" s="3053"/>
      <c r="AS66" s="3053"/>
      <c r="AT66" s="3053"/>
      <c r="AU66" s="3053"/>
      <c r="AV66" s="3053"/>
      <c r="AW66" s="3053"/>
      <c r="AX66" s="3053"/>
      <c r="AY66" s="3053"/>
      <c r="AZ66" s="3053"/>
      <c r="BA66" s="3053"/>
      <c r="BB66" s="3053"/>
      <c r="BC66" s="3053"/>
      <c r="BD66" s="3053"/>
      <c r="BE66" s="3053"/>
      <c r="BF66" s="3053"/>
      <c r="BG66" s="3053"/>
      <c r="BH66" s="3053"/>
      <c r="BI66" s="3096"/>
      <c r="BJ66" s="3092"/>
      <c r="BK66" s="2959"/>
      <c r="BL66" s="2959"/>
      <c r="BM66" s="2962"/>
      <c r="BN66" s="3099"/>
      <c r="BO66" s="3089"/>
      <c r="BP66" s="3092"/>
      <c r="BQ66" s="3094"/>
      <c r="BR66" s="3094"/>
      <c r="BS66" s="3094"/>
      <c r="BT66" s="3092"/>
      <c r="BU66" s="3087"/>
    </row>
    <row r="67" spans="1:73" s="2006" customFormat="1" ht="56.25" customHeight="1" x14ac:dyDescent="0.25">
      <c r="A67" s="2920"/>
      <c r="B67" s="2008"/>
      <c r="C67" s="2007"/>
      <c r="D67" s="2008"/>
      <c r="E67" s="3030"/>
      <c r="F67" s="3030"/>
      <c r="G67" s="3033"/>
      <c r="H67" s="3073"/>
      <c r="I67" s="3033"/>
      <c r="J67" s="3073"/>
      <c r="K67" s="3008"/>
      <c r="L67" s="2479"/>
      <c r="M67" s="3008"/>
      <c r="N67" s="2479"/>
      <c r="O67" s="3008"/>
      <c r="P67" s="3008"/>
      <c r="Q67" s="3007"/>
      <c r="R67" s="2580"/>
      <c r="S67" s="3080"/>
      <c r="T67" s="3081"/>
      <c r="U67" s="3082"/>
      <c r="V67" s="3083"/>
      <c r="W67" s="2069" t="s">
        <v>3054</v>
      </c>
      <c r="X67" s="2009">
        <v>3000000</v>
      </c>
      <c r="Y67" s="2009">
        <v>3000000</v>
      </c>
      <c r="Z67" s="2009">
        <v>915000</v>
      </c>
      <c r="AA67" s="1708" t="s">
        <v>3050</v>
      </c>
      <c r="AB67" s="2055">
        <v>20</v>
      </c>
      <c r="AC67" s="1709" t="s">
        <v>734</v>
      </c>
      <c r="AD67" s="3062"/>
      <c r="AE67" s="3053"/>
      <c r="AF67" s="3053"/>
      <c r="AG67" s="3053"/>
      <c r="AH67" s="3053"/>
      <c r="AI67" s="3053"/>
      <c r="AJ67" s="3053"/>
      <c r="AK67" s="3053"/>
      <c r="AL67" s="3053"/>
      <c r="AM67" s="3053"/>
      <c r="AN67" s="3053"/>
      <c r="AO67" s="3053"/>
      <c r="AP67" s="3053"/>
      <c r="AQ67" s="3053"/>
      <c r="AR67" s="3053"/>
      <c r="AS67" s="3053"/>
      <c r="AT67" s="3053"/>
      <c r="AU67" s="3053"/>
      <c r="AV67" s="3053"/>
      <c r="AW67" s="3053"/>
      <c r="AX67" s="3053"/>
      <c r="AY67" s="3053"/>
      <c r="AZ67" s="3053"/>
      <c r="BA67" s="3053"/>
      <c r="BB67" s="3053"/>
      <c r="BC67" s="3053"/>
      <c r="BD67" s="3053"/>
      <c r="BE67" s="3053"/>
      <c r="BF67" s="3053"/>
      <c r="BG67" s="3053"/>
      <c r="BH67" s="3053"/>
      <c r="BI67" s="3096"/>
      <c r="BJ67" s="3092"/>
      <c r="BK67" s="2959"/>
      <c r="BL67" s="2959"/>
      <c r="BM67" s="2962"/>
      <c r="BN67" s="3099"/>
      <c r="BO67" s="3089"/>
      <c r="BP67" s="3092"/>
      <c r="BQ67" s="3094"/>
      <c r="BR67" s="3094"/>
      <c r="BS67" s="3094"/>
      <c r="BT67" s="3092"/>
      <c r="BU67" s="3087"/>
    </row>
    <row r="68" spans="1:73" s="2006" customFormat="1" ht="48" customHeight="1" x14ac:dyDescent="0.25">
      <c r="A68" s="2920"/>
      <c r="B68" s="2008"/>
      <c r="C68" s="2007"/>
      <c r="D68" s="2008"/>
      <c r="E68" s="3030"/>
      <c r="F68" s="3030"/>
      <c r="G68" s="3033">
        <v>4101038</v>
      </c>
      <c r="H68" s="3086" t="s">
        <v>3055</v>
      </c>
      <c r="I68" s="3033">
        <v>4101038</v>
      </c>
      <c r="J68" s="3086" t="s">
        <v>3055</v>
      </c>
      <c r="K68" s="3006">
        <v>410103800</v>
      </c>
      <c r="L68" s="2478" t="s">
        <v>3056</v>
      </c>
      <c r="M68" s="3006">
        <v>410103800</v>
      </c>
      <c r="N68" s="2478" t="s">
        <v>3056</v>
      </c>
      <c r="O68" s="3006">
        <v>12</v>
      </c>
      <c r="P68" s="3006">
        <v>6</v>
      </c>
      <c r="Q68" s="3007"/>
      <c r="R68" s="2580"/>
      <c r="S68" s="3080">
        <f>SUM(X68:X76)/T42</f>
        <v>8.5812287049848848E-2</v>
      </c>
      <c r="T68" s="3081"/>
      <c r="U68" s="3082"/>
      <c r="V68" s="3083" t="s">
        <v>3057</v>
      </c>
      <c r="W68" s="2069" t="s">
        <v>3058</v>
      </c>
      <c r="X68" s="2009">
        <v>6000000</v>
      </c>
      <c r="Y68" s="2009">
        <v>3670704</v>
      </c>
      <c r="Z68" s="2009">
        <v>3670704</v>
      </c>
      <c r="AA68" s="1708" t="s">
        <v>3059</v>
      </c>
      <c r="AB68" s="2055">
        <v>20</v>
      </c>
      <c r="AC68" s="1709" t="s">
        <v>734</v>
      </c>
      <c r="AD68" s="3062"/>
      <c r="AE68" s="3053"/>
      <c r="AF68" s="3053"/>
      <c r="AG68" s="3053"/>
      <c r="AH68" s="3053"/>
      <c r="AI68" s="3053"/>
      <c r="AJ68" s="3053"/>
      <c r="AK68" s="3053"/>
      <c r="AL68" s="3053"/>
      <c r="AM68" s="3053"/>
      <c r="AN68" s="3053"/>
      <c r="AO68" s="3053"/>
      <c r="AP68" s="3053"/>
      <c r="AQ68" s="3053"/>
      <c r="AR68" s="3053"/>
      <c r="AS68" s="3053"/>
      <c r="AT68" s="3053"/>
      <c r="AU68" s="3053"/>
      <c r="AV68" s="3053"/>
      <c r="AW68" s="3053"/>
      <c r="AX68" s="3053"/>
      <c r="AY68" s="3053"/>
      <c r="AZ68" s="3053"/>
      <c r="BA68" s="3053"/>
      <c r="BB68" s="3053"/>
      <c r="BC68" s="3053"/>
      <c r="BD68" s="3053"/>
      <c r="BE68" s="3053"/>
      <c r="BF68" s="3053"/>
      <c r="BG68" s="3053"/>
      <c r="BH68" s="3053"/>
      <c r="BI68" s="3096"/>
      <c r="BJ68" s="3092"/>
      <c r="BK68" s="2959"/>
      <c r="BL68" s="2959"/>
      <c r="BM68" s="2962"/>
      <c r="BN68" s="3099"/>
      <c r="BO68" s="3089"/>
      <c r="BP68" s="3092"/>
      <c r="BQ68" s="3094"/>
      <c r="BR68" s="3094"/>
      <c r="BS68" s="3094"/>
      <c r="BT68" s="3092"/>
      <c r="BU68" s="3087"/>
    </row>
    <row r="69" spans="1:73" s="2006" customFormat="1" ht="47.25" customHeight="1" x14ac:dyDescent="0.25">
      <c r="A69" s="2920"/>
      <c r="B69" s="2008"/>
      <c r="C69" s="2007"/>
      <c r="D69" s="2008"/>
      <c r="E69" s="3030"/>
      <c r="F69" s="3030"/>
      <c r="G69" s="3033"/>
      <c r="H69" s="3034"/>
      <c r="I69" s="3033"/>
      <c r="J69" s="3034"/>
      <c r="K69" s="3007"/>
      <c r="L69" s="3036"/>
      <c r="M69" s="3007"/>
      <c r="N69" s="3036"/>
      <c r="O69" s="3007"/>
      <c r="P69" s="3007"/>
      <c r="Q69" s="3007"/>
      <c r="R69" s="2580"/>
      <c r="S69" s="3080"/>
      <c r="T69" s="3081"/>
      <c r="U69" s="3082"/>
      <c r="V69" s="3083"/>
      <c r="W69" s="2069" t="s">
        <v>3060</v>
      </c>
      <c r="X69" s="2009">
        <v>17000000</v>
      </c>
      <c r="Y69" s="2009">
        <v>5248701</v>
      </c>
      <c r="Z69" s="2009">
        <v>5248701</v>
      </c>
      <c r="AA69" s="1708" t="s">
        <v>3059</v>
      </c>
      <c r="AB69" s="2055">
        <v>20</v>
      </c>
      <c r="AC69" s="1709" t="s">
        <v>734</v>
      </c>
      <c r="AD69" s="3062"/>
      <c r="AE69" s="3053"/>
      <c r="AF69" s="3053"/>
      <c r="AG69" s="3053"/>
      <c r="AH69" s="3053"/>
      <c r="AI69" s="3053"/>
      <c r="AJ69" s="3053"/>
      <c r="AK69" s="3053"/>
      <c r="AL69" s="3053"/>
      <c r="AM69" s="3053"/>
      <c r="AN69" s="3053"/>
      <c r="AO69" s="3053"/>
      <c r="AP69" s="3053"/>
      <c r="AQ69" s="3053"/>
      <c r="AR69" s="3053"/>
      <c r="AS69" s="3053"/>
      <c r="AT69" s="3053"/>
      <c r="AU69" s="3053"/>
      <c r="AV69" s="3053"/>
      <c r="AW69" s="3053"/>
      <c r="AX69" s="3053"/>
      <c r="AY69" s="3053"/>
      <c r="AZ69" s="3053"/>
      <c r="BA69" s="3053"/>
      <c r="BB69" s="3053"/>
      <c r="BC69" s="3053"/>
      <c r="BD69" s="3053"/>
      <c r="BE69" s="3053"/>
      <c r="BF69" s="3053"/>
      <c r="BG69" s="3053"/>
      <c r="BH69" s="3053"/>
      <c r="BI69" s="3096"/>
      <c r="BJ69" s="3092"/>
      <c r="BK69" s="2959"/>
      <c r="BL69" s="2959"/>
      <c r="BM69" s="2962"/>
      <c r="BN69" s="3099"/>
      <c r="BO69" s="3089"/>
      <c r="BP69" s="3092"/>
      <c r="BQ69" s="3094"/>
      <c r="BR69" s="3094"/>
      <c r="BS69" s="3094"/>
      <c r="BT69" s="3092"/>
      <c r="BU69" s="3087"/>
    </row>
    <row r="70" spans="1:73" s="2006" customFormat="1" ht="41.25" customHeight="1" x14ac:dyDescent="0.25">
      <c r="A70" s="2920"/>
      <c r="B70" s="2008"/>
      <c r="C70" s="2007"/>
      <c r="D70" s="2008"/>
      <c r="E70" s="3030"/>
      <c r="F70" s="3030"/>
      <c r="G70" s="3033"/>
      <c r="H70" s="3034"/>
      <c r="I70" s="3033"/>
      <c r="J70" s="3034"/>
      <c r="K70" s="3007"/>
      <c r="L70" s="3036"/>
      <c r="M70" s="3007"/>
      <c r="N70" s="3036"/>
      <c r="O70" s="3007"/>
      <c r="P70" s="3007"/>
      <c r="Q70" s="3007"/>
      <c r="R70" s="2580"/>
      <c r="S70" s="3080"/>
      <c r="T70" s="3081"/>
      <c r="U70" s="3082"/>
      <c r="V70" s="3083"/>
      <c r="W70" s="2312" t="s">
        <v>3061</v>
      </c>
      <c r="X70" s="2009">
        <v>5000000</v>
      </c>
      <c r="Y70" s="2009">
        <v>3000000</v>
      </c>
      <c r="Z70" s="2009">
        <v>2885000</v>
      </c>
      <c r="AA70" s="1708" t="s">
        <v>3062</v>
      </c>
      <c r="AB70" s="2055">
        <v>20</v>
      </c>
      <c r="AC70" s="1709" t="s">
        <v>734</v>
      </c>
      <c r="AD70" s="3062"/>
      <c r="AE70" s="3053"/>
      <c r="AF70" s="3053"/>
      <c r="AG70" s="3053"/>
      <c r="AH70" s="3053"/>
      <c r="AI70" s="3053"/>
      <c r="AJ70" s="3053"/>
      <c r="AK70" s="3053"/>
      <c r="AL70" s="3053"/>
      <c r="AM70" s="3053"/>
      <c r="AN70" s="3053"/>
      <c r="AO70" s="3053"/>
      <c r="AP70" s="3053"/>
      <c r="AQ70" s="3053"/>
      <c r="AR70" s="3053"/>
      <c r="AS70" s="3053"/>
      <c r="AT70" s="3053"/>
      <c r="AU70" s="3053"/>
      <c r="AV70" s="3053"/>
      <c r="AW70" s="3053"/>
      <c r="AX70" s="3053"/>
      <c r="AY70" s="3053"/>
      <c r="AZ70" s="3053"/>
      <c r="BA70" s="3053"/>
      <c r="BB70" s="3053"/>
      <c r="BC70" s="3053"/>
      <c r="BD70" s="3053"/>
      <c r="BE70" s="3053"/>
      <c r="BF70" s="3053"/>
      <c r="BG70" s="3053"/>
      <c r="BH70" s="3053"/>
      <c r="BI70" s="3096"/>
      <c r="BJ70" s="3092"/>
      <c r="BK70" s="2959"/>
      <c r="BL70" s="2959"/>
      <c r="BM70" s="2962"/>
      <c r="BN70" s="3099"/>
      <c r="BO70" s="3089"/>
      <c r="BP70" s="3092"/>
      <c r="BQ70" s="3094"/>
      <c r="BR70" s="3094"/>
      <c r="BS70" s="3094"/>
      <c r="BT70" s="3092"/>
      <c r="BU70" s="3087"/>
    </row>
    <row r="71" spans="1:73" s="2006" customFormat="1" ht="29.25" customHeight="1" x14ac:dyDescent="0.25">
      <c r="A71" s="2920"/>
      <c r="B71" s="2008"/>
      <c r="C71" s="2007"/>
      <c r="D71" s="2008"/>
      <c r="E71" s="3030"/>
      <c r="F71" s="3030"/>
      <c r="G71" s="3033"/>
      <c r="H71" s="3034"/>
      <c r="I71" s="3033"/>
      <c r="J71" s="3034"/>
      <c r="K71" s="3007"/>
      <c r="L71" s="3036"/>
      <c r="M71" s="3007"/>
      <c r="N71" s="3036"/>
      <c r="O71" s="3007"/>
      <c r="P71" s="3007"/>
      <c r="Q71" s="3007"/>
      <c r="R71" s="2580"/>
      <c r="S71" s="3080"/>
      <c r="T71" s="3081"/>
      <c r="U71" s="3082"/>
      <c r="V71" s="3083"/>
      <c r="W71" s="2313"/>
      <c r="X71" s="2009">
        <v>2500000</v>
      </c>
      <c r="Y71" s="2009">
        <v>0</v>
      </c>
      <c r="Z71" s="2009">
        <v>0</v>
      </c>
      <c r="AA71" s="1708" t="s">
        <v>3063</v>
      </c>
      <c r="AB71" s="2055">
        <v>20</v>
      </c>
      <c r="AC71" s="1709" t="s">
        <v>734</v>
      </c>
      <c r="AD71" s="3062"/>
      <c r="AE71" s="3053"/>
      <c r="AF71" s="3053"/>
      <c r="AG71" s="3053"/>
      <c r="AH71" s="3053"/>
      <c r="AI71" s="3053"/>
      <c r="AJ71" s="3053"/>
      <c r="AK71" s="3053"/>
      <c r="AL71" s="3053"/>
      <c r="AM71" s="3053"/>
      <c r="AN71" s="3053"/>
      <c r="AO71" s="3053"/>
      <c r="AP71" s="3053"/>
      <c r="AQ71" s="3053"/>
      <c r="AR71" s="3053"/>
      <c r="AS71" s="3053"/>
      <c r="AT71" s="3053"/>
      <c r="AU71" s="3053"/>
      <c r="AV71" s="3053"/>
      <c r="AW71" s="3053"/>
      <c r="AX71" s="3053"/>
      <c r="AY71" s="3053"/>
      <c r="AZ71" s="3053"/>
      <c r="BA71" s="3053"/>
      <c r="BB71" s="3053"/>
      <c r="BC71" s="3053"/>
      <c r="BD71" s="3053"/>
      <c r="BE71" s="3053"/>
      <c r="BF71" s="3053"/>
      <c r="BG71" s="3053"/>
      <c r="BH71" s="3053"/>
      <c r="BI71" s="3096"/>
      <c r="BJ71" s="3092"/>
      <c r="BK71" s="2959"/>
      <c r="BL71" s="2959"/>
      <c r="BM71" s="2962"/>
      <c r="BN71" s="3099"/>
      <c r="BO71" s="3089"/>
      <c r="BP71" s="3092"/>
      <c r="BQ71" s="3094"/>
      <c r="BR71" s="3094"/>
      <c r="BS71" s="3094"/>
      <c r="BT71" s="3092"/>
      <c r="BU71" s="3087"/>
    </row>
    <row r="72" spans="1:73" s="2006" customFormat="1" ht="29.25" customHeight="1" x14ac:dyDescent="0.25">
      <c r="A72" s="2920"/>
      <c r="B72" s="2008"/>
      <c r="C72" s="2007"/>
      <c r="D72" s="2008"/>
      <c r="E72" s="3030"/>
      <c r="F72" s="3030"/>
      <c r="G72" s="3033"/>
      <c r="H72" s="3034"/>
      <c r="I72" s="3033"/>
      <c r="J72" s="3034"/>
      <c r="K72" s="3007"/>
      <c r="L72" s="3036"/>
      <c r="M72" s="3007"/>
      <c r="N72" s="3036"/>
      <c r="O72" s="3007"/>
      <c r="P72" s="3007"/>
      <c r="Q72" s="3007"/>
      <c r="R72" s="2580"/>
      <c r="S72" s="3080"/>
      <c r="T72" s="3081"/>
      <c r="U72" s="3082"/>
      <c r="V72" s="3083"/>
      <c r="W72" s="3084"/>
      <c r="X72" s="2009">
        <v>3000000</v>
      </c>
      <c r="Y72" s="2009">
        <v>0</v>
      </c>
      <c r="Z72" s="2009">
        <v>0</v>
      </c>
      <c r="AA72" s="1708" t="s">
        <v>3064</v>
      </c>
      <c r="AB72" s="2056">
        <v>88</v>
      </c>
      <c r="AC72" s="1714" t="s">
        <v>2980</v>
      </c>
      <c r="AD72" s="3062"/>
      <c r="AE72" s="3053"/>
      <c r="AF72" s="3053"/>
      <c r="AG72" s="3053"/>
      <c r="AH72" s="3053"/>
      <c r="AI72" s="3053"/>
      <c r="AJ72" s="3053"/>
      <c r="AK72" s="3053"/>
      <c r="AL72" s="3053"/>
      <c r="AM72" s="3053"/>
      <c r="AN72" s="3053"/>
      <c r="AO72" s="3053"/>
      <c r="AP72" s="3053"/>
      <c r="AQ72" s="3053"/>
      <c r="AR72" s="3053"/>
      <c r="AS72" s="3053"/>
      <c r="AT72" s="3053"/>
      <c r="AU72" s="3053"/>
      <c r="AV72" s="3053"/>
      <c r="AW72" s="3053"/>
      <c r="AX72" s="3053"/>
      <c r="AY72" s="3053"/>
      <c r="AZ72" s="3053"/>
      <c r="BA72" s="3053"/>
      <c r="BB72" s="3053"/>
      <c r="BC72" s="3053"/>
      <c r="BD72" s="3053"/>
      <c r="BE72" s="3053"/>
      <c r="BF72" s="3053"/>
      <c r="BG72" s="3053"/>
      <c r="BH72" s="3053"/>
      <c r="BI72" s="3096"/>
      <c r="BJ72" s="3092"/>
      <c r="BK72" s="2959"/>
      <c r="BL72" s="2959"/>
      <c r="BM72" s="2962"/>
      <c r="BN72" s="3099"/>
      <c r="BO72" s="3089"/>
      <c r="BP72" s="3092"/>
      <c r="BQ72" s="3094"/>
      <c r="BR72" s="3094"/>
      <c r="BS72" s="3094"/>
      <c r="BT72" s="3092"/>
      <c r="BU72" s="3087"/>
    </row>
    <row r="73" spans="1:73" s="2006" customFormat="1" ht="35.25" customHeight="1" x14ac:dyDescent="0.25">
      <c r="A73" s="2920"/>
      <c r="B73" s="2008"/>
      <c r="C73" s="2007"/>
      <c r="D73" s="2008"/>
      <c r="E73" s="3030"/>
      <c r="F73" s="3030"/>
      <c r="G73" s="3033"/>
      <c r="H73" s="3034"/>
      <c r="I73" s="3033"/>
      <c r="J73" s="3034"/>
      <c r="K73" s="3007"/>
      <c r="L73" s="3036"/>
      <c r="M73" s="3007"/>
      <c r="N73" s="3036"/>
      <c r="O73" s="3007"/>
      <c r="P73" s="3007"/>
      <c r="Q73" s="3007"/>
      <c r="R73" s="2580"/>
      <c r="S73" s="3080"/>
      <c r="T73" s="3081"/>
      <c r="U73" s="3082"/>
      <c r="V73" s="3083"/>
      <c r="W73" s="2069" t="s">
        <v>3053</v>
      </c>
      <c r="X73" s="2009">
        <v>2500000</v>
      </c>
      <c r="Y73" s="2009">
        <v>2500000</v>
      </c>
      <c r="Z73" s="2009">
        <v>0</v>
      </c>
      <c r="AA73" s="1708" t="s">
        <v>3063</v>
      </c>
      <c r="AB73" s="2055">
        <v>20</v>
      </c>
      <c r="AC73" s="1709" t="s">
        <v>734</v>
      </c>
      <c r="AD73" s="3062"/>
      <c r="AE73" s="3053"/>
      <c r="AF73" s="3053"/>
      <c r="AG73" s="3053"/>
      <c r="AH73" s="3053"/>
      <c r="AI73" s="3053"/>
      <c r="AJ73" s="3053"/>
      <c r="AK73" s="3053"/>
      <c r="AL73" s="3053"/>
      <c r="AM73" s="3053"/>
      <c r="AN73" s="3053"/>
      <c r="AO73" s="3053"/>
      <c r="AP73" s="3053"/>
      <c r="AQ73" s="3053"/>
      <c r="AR73" s="3053"/>
      <c r="AS73" s="3053"/>
      <c r="AT73" s="3053"/>
      <c r="AU73" s="3053"/>
      <c r="AV73" s="3053"/>
      <c r="AW73" s="3053"/>
      <c r="AX73" s="3053"/>
      <c r="AY73" s="3053"/>
      <c r="AZ73" s="3053"/>
      <c r="BA73" s="3053"/>
      <c r="BB73" s="3053"/>
      <c r="BC73" s="3053"/>
      <c r="BD73" s="3053"/>
      <c r="BE73" s="3053"/>
      <c r="BF73" s="3053"/>
      <c r="BG73" s="3053"/>
      <c r="BH73" s="3053"/>
      <c r="BI73" s="3096"/>
      <c r="BJ73" s="3092"/>
      <c r="BK73" s="2959"/>
      <c r="BL73" s="2959"/>
      <c r="BM73" s="2962"/>
      <c r="BN73" s="3099"/>
      <c r="BO73" s="3089"/>
      <c r="BP73" s="3092"/>
      <c r="BQ73" s="3094"/>
      <c r="BR73" s="3094"/>
      <c r="BS73" s="3094"/>
      <c r="BT73" s="3092"/>
      <c r="BU73" s="3087"/>
    </row>
    <row r="74" spans="1:73" s="2006" customFormat="1" ht="54.75" customHeight="1" x14ac:dyDescent="0.25">
      <c r="A74" s="2920"/>
      <c r="B74" s="2008"/>
      <c r="C74" s="2007"/>
      <c r="D74" s="2008"/>
      <c r="E74" s="3030"/>
      <c r="F74" s="3030"/>
      <c r="G74" s="3033"/>
      <c r="H74" s="3034"/>
      <c r="I74" s="3033"/>
      <c r="J74" s="3034"/>
      <c r="K74" s="3007"/>
      <c r="L74" s="3036"/>
      <c r="M74" s="3007"/>
      <c r="N74" s="3036"/>
      <c r="O74" s="3007"/>
      <c r="P74" s="3007"/>
      <c r="Q74" s="3007"/>
      <c r="R74" s="2580"/>
      <c r="S74" s="3080"/>
      <c r="T74" s="3081"/>
      <c r="U74" s="3082"/>
      <c r="V74" s="3083"/>
      <c r="W74" s="2312" t="s">
        <v>3065</v>
      </c>
      <c r="X74" s="2009">
        <v>5000000</v>
      </c>
      <c r="Y74" s="2009">
        <v>5000000</v>
      </c>
      <c r="Z74" s="2009">
        <v>3200000</v>
      </c>
      <c r="AA74" s="1708" t="s">
        <v>3059</v>
      </c>
      <c r="AB74" s="2055">
        <v>20</v>
      </c>
      <c r="AC74" s="1709" t="s">
        <v>734</v>
      </c>
      <c r="AD74" s="3062"/>
      <c r="AE74" s="3053"/>
      <c r="AF74" s="3053"/>
      <c r="AG74" s="3053"/>
      <c r="AH74" s="3053"/>
      <c r="AI74" s="3053"/>
      <c r="AJ74" s="3053"/>
      <c r="AK74" s="3053"/>
      <c r="AL74" s="3053"/>
      <c r="AM74" s="3053"/>
      <c r="AN74" s="3053"/>
      <c r="AO74" s="3053"/>
      <c r="AP74" s="3053"/>
      <c r="AQ74" s="3053"/>
      <c r="AR74" s="3053"/>
      <c r="AS74" s="3053"/>
      <c r="AT74" s="3053"/>
      <c r="AU74" s="3053"/>
      <c r="AV74" s="3053"/>
      <c r="AW74" s="3053"/>
      <c r="AX74" s="3053"/>
      <c r="AY74" s="3053"/>
      <c r="AZ74" s="3053"/>
      <c r="BA74" s="3053"/>
      <c r="BB74" s="3053"/>
      <c r="BC74" s="3053"/>
      <c r="BD74" s="3053"/>
      <c r="BE74" s="3053"/>
      <c r="BF74" s="3053"/>
      <c r="BG74" s="3053"/>
      <c r="BH74" s="3053"/>
      <c r="BI74" s="3096"/>
      <c r="BJ74" s="3092"/>
      <c r="BK74" s="2959"/>
      <c r="BL74" s="2959"/>
      <c r="BM74" s="2962"/>
      <c r="BN74" s="3099"/>
      <c r="BO74" s="3089"/>
      <c r="BP74" s="3092"/>
      <c r="BQ74" s="3094"/>
      <c r="BR74" s="3094"/>
      <c r="BS74" s="3094"/>
      <c r="BT74" s="3092"/>
      <c r="BU74" s="3087"/>
    </row>
    <row r="75" spans="1:73" s="2006" customFormat="1" ht="54.75" customHeight="1" x14ac:dyDescent="0.25">
      <c r="A75" s="2920"/>
      <c r="B75" s="2008"/>
      <c r="C75" s="2007"/>
      <c r="D75" s="2008"/>
      <c r="E75" s="3030"/>
      <c r="F75" s="3030"/>
      <c r="G75" s="3033"/>
      <c r="H75" s="3034"/>
      <c r="I75" s="3033"/>
      <c r="J75" s="3034"/>
      <c r="K75" s="3007"/>
      <c r="L75" s="3036"/>
      <c r="M75" s="3007"/>
      <c r="N75" s="3036"/>
      <c r="O75" s="3007"/>
      <c r="P75" s="3007"/>
      <c r="Q75" s="3007"/>
      <c r="R75" s="2580"/>
      <c r="S75" s="3080"/>
      <c r="T75" s="3081"/>
      <c r="U75" s="3082"/>
      <c r="V75" s="3083"/>
      <c r="W75" s="3084"/>
      <c r="X75" s="2009">
        <v>3000000</v>
      </c>
      <c r="Y75" s="2009">
        <v>1500000</v>
      </c>
      <c r="Z75" s="2009">
        <v>0</v>
      </c>
      <c r="AA75" s="1708" t="s">
        <v>3066</v>
      </c>
      <c r="AB75" s="2056">
        <v>88</v>
      </c>
      <c r="AC75" s="1714" t="s">
        <v>2980</v>
      </c>
      <c r="AD75" s="3062"/>
      <c r="AE75" s="3053"/>
      <c r="AF75" s="3053"/>
      <c r="AG75" s="3053"/>
      <c r="AH75" s="3053"/>
      <c r="AI75" s="3053"/>
      <c r="AJ75" s="3053"/>
      <c r="AK75" s="3053"/>
      <c r="AL75" s="3053"/>
      <c r="AM75" s="3053"/>
      <c r="AN75" s="3053"/>
      <c r="AO75" s="3053"/>
      <c r="AP75" s="3053"/>
      <c r="AQ75" s="3053"/>
      <c r="AR75" s="3053"/>
      <c r="AS75" s="3053"/>
      <c r="AT75" s="3053"/>
      <c r="AU75" s="3053"/>
      <c r="AV75" s="3053"/>
      <c r="AW75" s="3053"/>
      <c r="AX75" s="3053"/>
      <c r="AY75" s="3053"/>
      <c r="AZ75" s="3053"/>
      <c r="BA75" s="3053"/>
      <c r="BB75" s="3053"/>
      <c r="BC75" s="3053"/>
      <c r="BD75" s="3053"/>
      <c r="BE75" s="3053"/>
      <c r="BF75" s="3053"/>
      <c r="BG75" s="3053"/>
      <c r="BH75" s="3053"/>
      <c r="BI75" s="3096"/>
      <c r="BJ75" s="3092"/>
      <c r="BK75" s="2959"/>
      <c r="BL75" s="2959"/>
      <c r="BM75" s="2962"/>
      <c r="BN75" s="3099"/>
      <c r="BO75" s="3089"/>
      <c r="BP75" s="3092"/>
      <c r="BQ75" s="3094"/>
      <c r="BR75" s="3094"/>
      <c r="BS75" s="3094"/>
      <c r="BT75" s="3092"/>
      <c r="BU75" s="3087"/>
    </row>
    <row r="76" spans="1:73" s="2006" customFormat="1" ht="93.75" customHeight="1" x14ac:dyDescent="0.25">
      <c r="A76" s="2920"/>
      <c r="B76" s="2008"/>
      <c r="C76" s="2007"/>
      <c r="D76" s="2008"/>
      <c r="E76" s="3030"/>
      <c r="F76" s="3030"/>
      <c r="G76" s="3033"/>
      <c r="H76" s="3073"/>
      <c r="I76" s="3033"/>
      <c r="J76" s="3073"/>
      <c r="K76" s="3008"/>
      <c r="L76" s="2479"/>
      <c r="M76" s="3008"/>
      <c r="N76" s="2479"/>
      <c r="O76" s="3008"/>
      <c r="P76" s="3008"/>
      <c r="Q76" s="3007"/>
      <c r="R76" s="2580"/>
      <c r="S76" s="3080"/>
      <c r="T76" s="3081"/>
      <c r="U76" s="3082"/>
      <c r="V76" s="3083"/>
      <c r="W76" s="2069" t="s">
        <v>3067</v>
      </c>
      <c r="X76" s="2009">
        <v>3000000</v>
      </c>
      <c r="Y76" s="2009">
        <v>720228</v>
      </c>
      <c r="Z76" s="2009">
        <v>720228</v>
      </c>
      <c r="AA76" s="1708" t="s">
        <v>3059</v>
      </c>
      <c r="AB76" s="2055">
        <v>20</v>
      </c>
      <c r="AC76" s="1709" t="s">
        <v>734</v>
      </c>
      <c r="AD76" s="3062"/>
      <c r="AE76" s="3053"/>
      <c r="AF76" s="3053"/>
      <c r="AG76" s="3053"/>
      <c r="AH76" s="3053"/>
      <c r="AI76" s="3053"/>
      <c r="AJ76" s="3053"/>
      <c r="AK76" s="3053"/>
      <c r="AL76" s="3053"/>
      <c r="AM76" s="3053"/>
      <c r="AN76" s="3053"/>
      <c r="AO76" s="3053"/>
      <c r="AP76" s="3053"/>
      <c r="AQ76" s="3053"/>
      <c r="AR76" s="3053"/>
      <c r="AS76" s="3053"/>
      <c r="AT76" s="3053"/>
      <c r="AU76" s="3053"/>
      <c r="AV76" s="3053"/>
      <c r="AW76" s="3053"/>
      <c r="AX76" s="3053"/>
      <c r="AY76" s="3053"/>
      <c r="AZ76" s="3053"/>
      <c r="BA76" s="3053"/>
      <c r="BB76" s="3053"/>
      <c r="BC76" s="3053"/>
      <c r="BD76" s="3053"/>
      <c r="BE76" s="3053"/>
      <c r="BF76" s="3053"/>
      <c r="BG76" s="3053"/>
      <c r="BH76" s="3053"/>
      <c r="BI76" s="3096"/>
      <c r="BJ76" s="3092"/>
      <c r="BK76" s="2959"/>
      <c r="BL76" s="2959"/>
      <c r="BM76" s="2962"/>
      <c r="BN76" s="3099"/>
      <c r="BO76" s="3089"/>
      <c r="BP76" s="3092"/>
      <c r="BQ76" s="3094"/>
      <c r="BR76" s="3094"/>
      <c r="BS76" s="3094"/>
      <c r="BT76" s="3092"/>
      <c r="BU76" s="3087"/>
    </row>
    <row r="77" spans="1:73" s="2006" customFormat="1" ht="70.5" customHeight="1" x14ac:dyDescent="0.25">
      <c r="A77" s="2920"/>
      <c r="B77" s="2008"/>
      <c r="C77" s="2007"/>
      <c r="D77" s="2008"/>
      <c r="E77" s="3030"/>
      <c r="F77" s="3030"/>
      <c r="G77" s="3115">
        <v>4101073</v>
      </c>
      <c r="H77" s="3117" t="s">
        <v>3068</v>
      </c>
      <c r="I77" s="3115">
        <v>4101073</v>
      </c>
      <c r="J77" s="3119" t="s">
        <v>3068</v>
      </c>
      <c r="K77" s="3006">
        <v>410107300</v>
      </c>
      <c r="L77" s="2478" t="s">
        <v>3069</v>
      </c>
      <c r="M77" s="3006">
        <v>410107300</v>
      </c>
      <c r="N77" s="2478" t="s">
        <v>3069</v>
      </c>
      <c r="O77" s="3006">
        <v>30</v>
      </c>
      <c r="P77" s="3006">
        <v>17</v>
      </c>
      <c r="Q77" s="3007"/>
      <c r="R77" s="2580"/>
      <c r="S77" s="3101">
        <f>SUM(X77:X82)/T42</f>
        <v>0.24959893664919411</v>
      </c>
      <c r="T77" s="3081"/>
      <c r="U77" s="3082"/>
      <c r="V77" s="3104" t="s">
        <v>3070</v>
      </c>
      <c r="W77" s="2312" t="s">
        <v>3071</v>
      </c>
      <c r="X77" s="2009">
        <f>40000000-40000000</f>
        <v>0</v>
      </c>
      <c r="Y77" s="2009">
        <v>0</v>
      </c>
      <c r="Z77" s="2009">
        <v>0</v>
      </c>
      <c r="AA77" s="1708" t="s">
        <v>3072</v>
      </c>
      <c r="AB77" s="2055">
        <v>20</v>
      </c>
      <c r="AC77" s="1709" t="s">
        <v>734</v>
      </c>
      <c r="AD77" s="3062"/>
      <c r="AE77" s="3053"/>
      <c r="AF77" s="3053"/>
      <c r="AG77" s="3053"/>
      <c r="AH77" s="3053"/>
      <c r="AI77" s="3053"/>
      <c r="AJ77" s="3053"/>
      <c r="AK77" s="3053"/>
      <c r="AL77" s="3053"/>
      <c r="AM77" s="3053"/>
      <c r="AN77" s="3053"/>
      <c r="AO77" s="3053"/>
      <c r="AP77" s="3053"/>
      <c r="AQ77" s="3053"/>
      <c r="AR77" s="3053"/>
      <c r="AS77" s="3053"/>
      <c r="AT77" s="3053"/>
      <c r="AU77" s="3053"/>
      <c r="AV77" s="3053"/>
      <c r="AW77" s="3053"/>
      <c r="AX77" s="3053"/>
      <c r="AY77" s="3053"/>
      <c r="AZ77" s="3053"/>
      <c r="BA77" s="3053"/>
      <c r="BB77" s="3053"/>
      <c r="BC77" s="3053"/>
      <c r="BD77" s="3053"/>
      <c r="BE77" s="3053"/>
      <c r="BF77" s="3053"/>
      <c r="BG77" s="3053"/>
      <c r="BH77" s="3053"/>
      <c r="BI77" s="3096"/>
      <c r="BJ77" s="3092"/>
      <c r="BK77" s="2959"/>
      <c r="BL77" s="2959"/>
      <c r="BM77" s="2962"/>
      <c r="BN77" s="3099"/>
      <c r="BO77" s="3089"/>
      <c r="BP77" s="3092"/>
      <c r="BQ77" s="3094"/>
      <c r="BR77" s="3094"/>
      <c r="BS77" s="3094"/>
      <c r="BT77" s="3092"/>
      <c r="BU77" s="3087"/>
    </row>
    <row r="78" spans="1:73" s="2006" customFormat="1" ht="70.5" customHeight="1" x14ac:dyDescent="0.25">
      <c r="A78" s="2920"/>
      <c r="B78" s="2008"/>
      <c r="C78" s="2007"/>
      <c r="D78" s="2008"/>
      <c r="E78" s="3030"/>
      <c r="F78" s="3030"/>
      <c r="G78" s="3116"/>
      <c r="H78" s="3105"/>
      <c r="I78" s="3116"/>
      <c r="J78" s="3120"/>
      <c r="K78" s="3007"/>
      <c r="L78" s="3036"/>
      <c r="M78" s="3007"/>
      <c r="N78" s="3036"/>
      <c r="O78" s="3007"/>
      <c r="P78" s="3007"/>
      <c r="Q78" s="3007"/>
      <c r="R78" s="2580"/>
      <c r="S78" s="3102"/>
      <c r="T78" s="3081"/>
      <c r="U78" s="3082"/>
      <c r="V78" s="3105"/>
      <c r="W78" s="2313"/>
      <c r="X78" s="2009">
        <v>36707113</v>
      </c>
      <c r="Y78" s="2009">
        <v>0</v>
      </c>
      <c r="Z78" s="2009">
        <v>0</v>
      </c>
      <c r="AA78" s="1708" t="s">
        <v>3073</v>
      </c>
      <c r="AB78" s="2056">
        <v>88</v>
      </c>
      <c r="AC78" s="1714" t="s">
        <v>2980</v>
      </c>
      <c r="AD78" s="3062"/>
      <c r="AE78" s="3053"/>
      <c r="AF78" s="3053"/>
      <c r="AG78" s="3053"/>
      <c r="AH78" s="3053"/>
      <c r="AI78" s="3053"/>
      <c r="AJ78" s="3053"/>
      <c r="AK78" s="3053"/>
      <c r="AL78" s="3053"/>
      <c r="AM78" s="3053"/>
      <c r="AN78" s="3053"/>
      <c r="AO78" s="3053"/>
      <c r="AP78" s="3053"/>
      <c r="AQ78" s="3053"/>
      <c r="AR78" s="3053"/>
      <c r="AS78" s="3053"/>
      <c r="AT78" s="3053"/>
      <c r="AU78" s="3053"/>
      <c r="AV78" s="3053"/>
      <c r="AW78" s="3053"/>
      <c r="AX78" s="3053"/>
      <c r="AY78" s="3053"/>
      <c r="AZ78" s="3053"/>
      <c r="BA78" s="3053"/>
      <c r="BB78" s="3053"/>
      <c r="BC78" s="3053"/>
      <c r="BD78" s="3053"/>
      <c r="BE78" s="3053"/>
      <c r="BF78" s="3053"/>
      <c r="BG78" s="3053"/>
      <c r="BH78" s="3053"/>
      <c r="BI78" s="3096"/>
      <c r="BJ78" s="3092"/>
      <c r="BK78" s="2959"/>
      <c r="BL78" s="2959"/>
      <c r="BM78" s="2962"/>
      <c r="BN78" s="3099"/>
      <c r="BO78" s="3089"/>
      <c r="BP78" s="3092"/>
      <c r="BQ78" s="3094"/>
      <c r="BR78" s="3094"/>
      <c r="BS78" s="3094"/>
      <c r="BT78" s="3092"/>
      <c r="BU78" s="3087"/>
    </row>
    <row r="79" spans="1:73" s="2006" customFormat="1" ht="70.5" customHeight="1" x14ac:dyDescent="0.25">
      <c r="A79" s="2920"/>
      <c r="B79" s="2008"/>
      <c r="C79" s="2007"/>
      <c r="D79" s="2008"/>
      <c r="E79" s="3030"/>
      <c r="F79" s="3030"/>
      <c r="G79" s="3116"/>
      <c r="H79" s="3105"/>
      <c r="I79" s="3116"/>
      <c r="J79" s="3120"/>
      <c r="K79" s="3007"/>
      <c r="L79" s="3036"/>
      <c r="M79" s="3007"/>
      <c r="N79" s="3036"/>
      <c r="O79" s="3007"/>
      <c r="P79" s="3007"/>
      <c r="Q79" s="3007"/>
      <c r="R79" s="2580"/>
      <c r="S79" s="3102"/>
      <c r="T79" s="3081"/>
      <c r="U79" s="3082"/>
      <c r="V79" s="3105"/>
      <c r="W79" s="2313"/>
      <c r="X79" s="2009">
        <v>20000000</v>
      </c>
      <c r="Y79" s="2009">
        <v>0</v>
      </c>
      <c r="Z79" s="2009">
        <v>0</v>
      </c>
      <c r="AA79" s="1708" t="s">
        <v>3074</v>
      </c>
      <c r="AB79" s="2055">
        <v>20</v>
      </c>
      <c r="AC79" s="1709" t="s">
        <v>734</v>
      </c>
      <c r="AD79" s="3062"/>
      <c r="AE79" s="3053"/>
      <c r="AF79" s="3053"/>
      <c r="AG79" s="3053"/>
      <c r="AH79" s="3053"/>
      <c r="AI79" s="3053"/>
      <c r="AJ79" s="3053"/>
      <c r="AK79" s="3053"/>
      <c r="AL79" s="3053"/>
      <c r="AM79" s="3053"/>
      <c r="AN79" s="3053"/>
      <c r="AO79" s="3053"/>
      <c r="AP79" s="3053"/>
      <c r="AQ79" s="3053"/>
      <c r="AR79" s="3053"/>
      <c r="AS79" s="3053"/>
      <c r="AT79" s="3053"/>
      <c r="AU79" s="3053"/>
      <c r="AV79" s="3053"/>
      <c r="AW79" s="3053"/>
      <c r="AX79" s="3053"/>
      <c r="AY79" s="3053"/>
      <c r="AZ79" s="3053"/>
      <c r="BA79" s="3053"/>
      <c r="BB79" s="3053"/>
      <c r="BC79" s="3053"/>
      <c r="BD79" s="3053"/>
      <c r="BE79" s="3053"/>
      <c r="BF79" s="3053"/>
      <c r="BG79" s="3053"/>
      <c r="BH79" s="3053"/>
      <c r="BI79" s="3096"/>
      <c r="BJ79" s="3092"/>
      <c r="BK79" s="2959"/>
      <c r="BL79" s="2959"/>
      <c r="BM79" s="2962"/>
      <c r="BN79" s="3099"/>
      <c r="BO79" s="3089"/>
      <c r="BP79" s="3092"/>
      <c r="BQ79" s="3094"/>
      <c r="BR79" s="3094"/>
      <c r="BS79" s="3094"/>
      <c r="BT79" s="3092"/>
      <c r="BU79" s="3087"/>
    </row>
    <row r="80" spans="1:73" s="2006" customFormat="1" ht="70.5" customHeight="1" x14ac:dyDescent="0.25">
      <c r="A80" s="2920"/>
      <c r="B80" s="2008"/>
      <c r="C80" s="2007"/>
      <c r="D80" s="2008"/>
      <c r="E80" s="3030"/>
      <c r="F80" s="3030"/>
      <c r="G80" s="3116"/>
      <c r="H80" s="3105"/>
      <c r="I80" s="3116"/>
      <c r="J80" s="3120"/>
      <c r="K80" s="3007"/>
      <c r="L80" s="3036"/>
      <c r="M80" s="3007"/>
      <c r="N80" s="3036"/>
      <c r="O80" s="3007"/>
      <c r="P80" s="3007"/>
      <c r="Q80" s="3007"/>
      <c r="R80" s="2580"/>
      <c r="S80" s="3102"/>
      <c r="T80" s="3081"/>
      <c r="U80" s="3082"/>
      <c r="V80" s="3105"/>
      <c r="W80" s="2313"/>
      <c r="X80" s="2009">
        <v>30000000</v>
      </c>
      <c r="Y80" s="2009">
        <v>0</v>
      </c>
      <c r="Z80" s="2009">
        <v>0</v>
      </c>
      <c r="AA80" s="1708" t="s">
        <v>3075</v>
      </c>
      <c r="AB80" s="2056">
        <v>88</v>
      </c>
      <c r="AC80" s="1714" t="s">
        <v>2980</v>
      </c>
      <c r="AD80" s="3062"/>
      <c r="AE80" s="3053"/>
      <c r="AF80" s="3053"/>
      <c r="AG80" s="3053"/>
      <c r="AH80" s="3053"/>
      <c r="AI80" s="3053"/>
      <c r="AJ80" s="3053"/>
      <c r="AK80" s="3053"/>
      <c r="AL80" s="3053"/>
      <c r="AM80" s="3053"/>
      <c r="AN80" s="3053"/>
      <c r="AO80" s="3053"/>
      <c r="AP80" s="3053"/>
      <c r="AQ80" s="3053"/>
      <c r="AR80" s="3053"/>
      <c r="AS80" s="3053"/>
      <c r="AT80" s="3053"/>
      <c r="AU80" s="3053"/>
      <c r="AV80" s="3053"/>
      <c r="AW80" s="3053"/>
      <c r="AX80" s="3053"/>
      <c r="AY80" s="3053"/>
      <c r="AZ80" s="3053"/>
      <c r="BA80" s="3053"/>
      <c r="BB80" s="3053"/>
      <c r="BC80" s="3053"/>
      <c r="BD80" s="3053"/>
      <c r="BE80" s="3053"/>
      <c r="BF80" s="3053"/>
      <c r="BG80" s="3053"/>
      <c r="BH80" s="3053"/>
      <c r="BI80" s="3096"/>
      <c r="BJ80" s="3092"/>
      <c r="BK80" s="2959"/>
      <c r="BL80" s="2959"/>
      <c r="BM80" s="2962"/>
      <c r="BN80" s="3099"/>
      <c r="BO80" s="3089"/>
      <c r="BP80" s="3092"/>
      <c r="BQ80" s="3094"/>
      <c r="BR80" s="3094"/>
      <c r="BS80" s="3094"/>
      <c r="BT80" s="3092"/>
      <c r="BU80" s="3087"/>
    </row>
    <row r="81" spans="1:73" s="2006" customFormat="1" ht="70.5" customHeight="1" x14ac:dyDescent="0.25">
      <c r="A81" s="2920"/>
      <c r="B81" s="2008"/>
      <c r="C81" s="2007"/>
      <c r="D81" s="2008"/>
      <c r="E81" s="3030"/>
      <c r="F81" s="3030"/>
      <c r="G81" s="3116"/>
      <c r="H81" s="3105"/>
      <c r="I81" s="3116"/>
      <c r="J81" s="3120"/>
      <c r="K81" s="3007"/>
      <c r="L81" s="3036"/>
      <c r="M81" s="3007"/>
      <c r="N81" s="3036"/>
      <c r="O81" s="3007"/>
      <c r="P81" s="3007"/>
      <c r="Q81" s="3007"/>
      <c r="R81" s="2580"/>
      <c r="S81" s="3102"/>
      <c r="T81" s="3081"/>
      <c r="U81" s="3082"/>
      <c r="V81" s="3105"/>
      <c r="W81" s="2313"/>
      <c r="X81" s="2009">
        <v>30000000</v>
      </c>
      <c r="Y81" s="2009">
        <v>0</v>
      </c>
      <c r="Z81" s="2009">
        <v>0</v>
      </c>
      <c r="AA81" s="1708" t="s">
        <v>3076</v>
      </c>
      <c r="AB81" s="2056">
        <v>88</v>
      </c>
      <c r="AC81" s="1714" t="s">
        <v>2980</v>
      </c>
      <c r="AD81" s="3062"/>
      <c r="AE81" s="3053"/>
      <c r="AF81" s="3053"/>
      <c r="AG81" s="3053"/>
      <c r="AH81" s="3053"/>
      <c r="AI81" s="3053"/>
      <c r="AJ81" s="3053"/>
      <c r="AK81" s="3053"/>
      <c r="AL81" s="3053"/>
      <c r="AM81" s="3053"/>
      <c r="AN81" s="3053"/>
      <c r="AO81" s="3053"/>
      <c r="AP81" s="3053"/>
      <c r="AQ81" s="3053"/>
      <c r="AR81" s="3053"/>
      <c r="AS81" s="3053"/>
      <c r="AT81" s="3053"/>
      <c r="AU81" s="3053"/>
      <c r="AV81" s="3053"/>
      <c r="AW81" s="3053"/>
      <c r="AX81" s="3053"/>
      <c r="AY81" s="3053"/>
      <c r="AZ81" s="3053"/>
      <c r="BA81" s="3053"/>
      <c r="BB81" s="3053"/>
      <c r="BC81" s="3053"/>
      <c r="BD81" s="3053"/>
      <c r="BE81" s="3053"/>
      <c r="BF81" s="3053"/>
      <c r="BG81" s="3053"/>
      <c r="BH81" s="3053"/>
      <c r="BI81" s="3096"/>
      <c r="BJ81" s="3092"/>
      <c r="BK81" s="2959"/>
      <c r="BL81" s="2959"/>
      <c r="BM81" s="2962"/>
      <c r="BN81" s="3099"/>
      <c r="BO81" s="3089"/>
      <c r="BP81" s="3092"/>
      <c r="BQ81" s="3094"/>
      <c r="BR81" s="3094"/>
      <c r="BS81" s="3094"/>
      <c r="BT81" s="3092"/>
      <c r="BU81" s="3087"/>
    </row>
    <row r="82" spans="1:73" s="2006" customFormat="1" ht="70.5" customHeight="1" x14ac:dyDescent="0.25">
      <c r="A82" s="2920"/>
      <c r="B82" s="2008"/>
      <c r="C82" s="2007"/>
      <c r="D82" s="2008"/>
      <c r="E82" s="3030"/>
      <c r="F82" s="3030"/>
      <c r="G82" s="3032"/>
      <c r="H82" s="3118"/>
      <c r="I82" s="3032"/>
      <c r="J82" s="3121"/>
      <c r="K82" s="3008"/>
      <c r="L82" s="2479"/>
      <c r="M82" s="3008"/>
      <c r="N82" s="2479"/>
      <c r="O82" s="3008"/>
      <c r="P82" s="3008"/>
      <c r="Q82" s="3007"/>
      <c r="R82" s="2580"/>
      <c r="S82" s="3103"/>
      <c r="T82" s="3081"/>
      <c r="U82" s="3082"/>
      <c r="V82" s="3106"/>
      <c r="W82" s="2313"/>
      <c r="X82" s="2009">
        <v>20000000</v>
      </c>
      <c r="Y82" s="2009">
        <v>0</v>
      </c>
      <c r="Z82" s="2009">
        <v>0</v>
      </c>
      <c r="AA82" s="1708" t="s">
        <v>3077</v>
      </c>
      <c r="AB82" s="2055">
        <v>20</v>
      </c>
      <c r="AC82" s="1709" t="s">
        <v>734</v>
      </c>
      <c r="AD82" s="3062"/>
      <c r="AE82" s="3053"/>
      <c r="AF82" s="3053"/>
      <c r="AG82" s="3053"/>
      <c r="AH82" s="3053"/>
      <c r="AI82" s="3053"/>
      <c r="AJ82" s="3053"/>
      <c r="AK82" s="3053"/>
      <c r="AL82" s="3053"/>
      <c r="AM82" s="3053"/>
      <c r="AN82" s="3053"/>
      <c r="AO82" s="3053"/>
      <c r="AP82" s="3053"/>
      <c r="AQ82" s="3053"/>
      <c r="AR82" s="3053"/>
      <c r="AS82" s="3053"/>
      <c r="AT82" s="3053"/>
      <c r="AU82" s="3053"/>
      <c r="AV82" s="3053"/>
      <c r="AW82" s="3053"/>
      <c r="AX82" s="3053"/>
      <c r="AY82" s="3053"/>
      <c r="AZ82" s="3053"/>
      <c r="BA82" s="3053"/>
      <c r="BB82" s="3053"/>
      <c r="BC82" s="3053"/>
      <c r="BD82" s="3053"/>
      <c r="BE82" s="3053"/>
      <c r="BF82" s="3053"/>
      <c r="BG82" s="3053"/>
      <c r="BH82" s="3053"/>
      <c r="BI82" s="3096"/>
      <c r="BJ82" s="3092"/>
      <c r="BK82" s="2959"/>
      <c r="BL82" s="2959"/>
      <c r="BM82" s="2962"/>
      <c r="BN82" s="3099"/>
      <c r="BO82" s="3089"/>
      <c r="BP82" s="3092"/>
      <c r="BQ82" s="3094"/>
      <c r="BR82" s="3094"/>
      <c r="BS82" s="3094"/>
      <c r="BT82" s="3092"/>
      <c r="BU82" s="3087"/>
    </row>
    <row r="83" spans="1:73" s="2006" customFormat="1" ht="50.25" customHeight="1" x14ac:dyDescent="0.25">
      <c r="A83" s="2920"/>
      <c r="B83" s="2008"/>
      <c r="C83" s="2007"/>
      <c r="D83" s="2008"/>
      <c r="E83" s="3030"/>
      <c r="F83" s="3030"/>
      <c r="G83" s="3107">
        <v>4101011</v>
      </c>
      <c r="H83" s="3108" t="s">
        <v>3078</v>
      </c>
      <c r="I83" s="3107">
        <v>4101011</v>
      </c>
      <c r="J83" s="3108" t="s">
        <v>3078</v>
      </c>
      <c r="K83" s="3111">
        <v>410101100</v>
      </c>
      <c r="L83" s="2425" t="s">
        <v>3079</v>
      </c>
      <c r="M83" s="3111">
        <v>410101100</v>
      </c>
      <c r="N83" s="2425" t="s">
        <v>3079</v>
      </c>
      <c r="O83" s="3111">
        <v>2</v>
      </c>
      <c r="P83" s="3111">
        <v>1</v>
      </c>
      <c r="Q83" s="3007"/>
      <c r="R83" s="2580"/>
      <c r="S83" s="3125">
        <f>SUM(X83:X90)/T42</f>
        <v>8.5812287049848848E-2</v>
      </c>
      <c r="T83" s="3081"/>
      <c r="U83" s="3082"/>
      <c r="V83" s="2631" t="s">
        <v>3080</v>
      </c>
      <c r="W83" s="2577" t="s">
        <v>3081</v>
      </c>
      <c r="X83" s="2009">
        <v>3000000</v>
      </c>
      <c r="Y83" s="2009">
        <v>0</v>
      </c>
      <c r="Z83" s="2009">
        <v>0</v>
      </c>
      <c r="AA83" s="1708" t="s">
        <v>3082</v>
      </c>
      <c r="AB83" s="2055">
        <v>20</v>
      </c>
      <c r="AC83" s="1709" t="s">
        <v>734</v>
      </c>
      <c r="AD83" s="3062"/>
      <c r="AE83" s="3053"/>
      <c r="AF83" s="3053"/>
      <c r="AG83" s="3053"/>
      <c r="AH83" s="3053"/>
      <c r="AI83" s="3053"/>
      <c r="AJ83" s="3053"/>
      <c r="AK83" s="3053"/>
      <c r="AL83" s="3053"/>
      <c r="AM83" s="3053"/>
      <c r="AN83" s="3053"/>
      <c r="AO83" s="3053"/>
      <c r="AP83" s="3053"/>
      <c r="AQ83" s="3053"/>
      <c r="AR83" s="3053"/>
      <c r="AS83" s="3053"/>
      <c r="AT83" s="3053"/>
      <c r="AU83" s="3053"/>
      <c r="AV83" s="3053"/>
      <c r="AW83" s="3053"/>
      <c r="AX83" s="3053"/>
      <c r="AY83" s="3053"/>
      <c r="AZ83" s="3053"/>
      <c r="BA83" s="3053"/>
      <c r="BB83" s="3053"/>
      <c r="BC83" s="3053"/>
      <c r="BD83" s="3053"/>
      <c r="BE83" s="3053"/>
      <c r="BF83" s="3053"/>
      <c r="BG83" s="3053"/>
      <c r="BH83" s="3053"/>
      <c r="BI83" s="3096"/>
      <c r="BJ83" s="3092"/>
      <c r="BK83" s="2959"/>
      <c r="BL83" s="2959"/>
      <c r="BM83" s="2962"/>
      <c r="BN83" s="3099"/>
      <c r="BO83" s="3089"/>
      <c r="BP83" s="3092"/>
      <c r="BQ83" s="3094"/>
      <c r="BR83" s="3094"/>
      <c r="BS83" s="3094"/>
      <c r="BT83" s="3092"/>
      <c r="BU83" s="3087"/>
    </row>
    <row r="84" spans="1:73" s="2006" customFormat="1" ht="50.25" customHeight="1" x14ac:dyDescent="0.25">
      <c r="A84" s="2920"/>
      <c r="B84" s="2008"/>
      <c r="C84" s="2007"/>
      <c r="D84" s="2008"/>
      <c r="E84" s="3030"/>
      <c r="F84" s="3030"/>
      <c r="G84" s="3107"/>
      <c r="H84" s="3109"/>
      <c r="I84" s="3107"/>
      <c r="J84" s="3109"/>
      <c r="K84" s="3112"/>
      <c r="L84" s="2426"/>
      <c r="M84" s="3112"/>
      <c r="N84" s="2426"/>
      <c r="O84" s="3112"/>
      <c r="P84" s="3112"/>
      <c r="Q84" s="3007"/>
      <c r="R84" s="2580"/>
      <c r="S84" s="3126"/>
      <c r="T84" s="3081"/>
      <c r="U84" s="3082"/>
      <c r="V84" s="2632"/>
      <c r="W84" s="2577"/>
      <c r="X84" s="2009">
        <v>20000000</v>
      </c>
      <c r="Y84" s="2009">
        <v>0</v>
      </c>
      <c r="Z84" s="2009">
        <v>0</v>
      </c>
      <c r="AA84" s="1708" t="s">
        <v>3083</v>
      </c>
      <c r="AB84" s="2056">
        <v>88</v>
      </c>
      <c r="AC84" s="1714" t="s">
        <v>2980</v>
      </c>
      <c r="AD84" s="3062"/>
      <c r="AE84" s="3053"/>
      <c r="AF84" s="3053"/>
      <c r="AG84" s="3053"/>
      <c r="AH84" s="3053"/>
      <c r="AI84" s="3053"/>
      <c r="AJ84" s="3053"/>
      <c r="AK84" s="3053"/>
      <c r="AL84" s="3053"/>
      <c r="AM84" s="3053"/>
      <c r="AN84" s="3053"/>
      <c r="AO84" s="3053"/>
      <c r="AP84" s="3053"/>
      <c r="AQ84" s="3053"/>
      <c r="AR84" s="3053"/>
      <c r="AS84" s="3053"/>
      <c r="AT84" s="3053"/>
      <c r="AU84" s="3053"/>
      <c r="AV84" s="3053"/>
      <c r="AW84" s="3053"/>
      <c r="AX84" s="3053"/>
      <c r="AY84" s="3053"/>
      <c r="AZ84" s="3053"/>
      <c r="BA84" s="3053"/>
      <c r="BB84" s="3053"/>
      <c r="BC84" s="3053"/>
      <c r="BD84" s="3053"/>
      <c r="BE84" s="3053"/>
      <c r="BF84" s="3053"/>
      <c r="BG84" s="3053"/>
      <c r="BH84" s="3053"/>
      <c r="BI84" s="3096"/>
      <c r="BJ84" s="3092"/>
      <c r="BK84" s="2959"/>
      <c r="BL84" s="2959"/>
      <c r="BM84" s="2962"/>
      <c r="BN84" s="3099"/>
      <c r="BO84" s="3089"/>
      <c r="BP84" s="3092"/>
      <c r="BQ84" s="3094"/>
      <c r="BR84" s="3094"/>
      <c r="BS84" s="3094"/>
      <c r="BT84" s="3092"/>
      <c r="BU84" s="3087"/>
    </row>
    <row r="85" spans="1:73" s="2006" customFormat="1" ht="53.25" customHeight="1" x14ac:dyDescent="0.25">
      <c r="A85" s="2920"/>
      <c r="B85" s="2008"/>
      <c r="C85" s="2007"/>
      <c r="D85" s="2008"/>
      <c r="E85" s="3030"/>
      <c r="F85" s="3030"/>
      <c r="G85" s="3107"/>
      <c r="H85" s="3109"/>
      <c r="I85" s="3107"/>
      <c r="J85" s="3109"/>
      <c r="K85" s="3112"/>
      <c r="L85" s="2426"/>
      <c r="M85" s="3112"/>
      <c r="N85" s="2426"/>
      <c r="O85" s="3112"/>
      <c r="P85" s="3112"/>
      <c r="Q85" s="3007"/>
      <c r="R85" s="2580"/>
      <c r="S85" s="3126"/>
      <c r="T85" s="3081"/>
      <c r="U85" s="3082"/>
      <c r="V85" s="3128"/>
      <c r="W85" s="2313" t="s">
        <v>3084</v>
      </c>
      <c r="X85" s="2009">
        <v>7000000</v>
      </c>
      <c r="Y85" s="2009">
        <v>3000000</v>
      </c>
      <c r="Z85" s="2009">
        <v>2885000</v>
      </c>
      <c r="AA85" s="1708" t="s">
        <v>3085</v>
      </c>
      <c r="AB85" s="2055">
        <v>20</v>
      </c>
      <c r="AC85" s="1709" t="s">
        <v>734</v>
      </c>
      <c r="AD85" s="3062"/>
      <c r="AE85" s="3053"/>
      <c r="AF85" s="3053"/>
      <c r="AG85" s="3053"/>
      <c r="AH85" s="3053"/>
      <c r="AI85" s="3053"/>
      <c r="AJ85" s="3053"/>
      <c r="AK85" s="3053"/>
      <c r="AL85" s="3053"/>
      <c r="AM85" s="3053"/>
      <c r="AN85" s="3053"/>
      <c r="AO85" s="3053"/>
      <c r="AP85" s="3053"/>
      <c r="AQ85" s="3053"/>
      <c r="AR85" s="3053"/>
      <c r="AS85" s="3053"/>
      <c r="AT85" s="3053"/>
      <c r="AU85" s="3053"/>
      <c r="AV85" s="3053"/>
      <c r="AW85" s="3053"/>
      <c r="AX85" s="3053"/>
      <c r="AY85" s="3053"/>
      <c r="AZ85" s="3053"/>
      <c r="BA85" s="3053"/>
      <c r="BB85" s="3053"/>
      <c r="BC85" s="3053"/>
      <c r="BD85" s="3053"/>
      <c r="BE85" s="3053"/>
      <c r="BF85" s="3053"/>
      <c r="BG85" s="3053"/>
      <c r="BH85" s="3053"/>
      <c r="BI85" s="3096"/>
      <c r="BJ85" s="3092"/>
      <c r="BK85" s="2959"/>
      <c r="BL85" s="2959"/>
      <c r="BM85" s="2962"/>
      <c r="BN85" s="3099"/>
      <c r="BO85" s="3089"/>
      <c r="BP85" s="3092"/>
      <c r="BQ85" s="3094"/>
      <c r="BR85" s="3094"/>
      <c r="BS85" s="3094"/>
      <c r="BT85" s="3092"/>
      <c r="BU85" s="3087"/>
    </row>
    <row r="86" spans="1:73" s="2006" customFormat="1" ht="53.25" customHeight="1" x14ac:dyDescent="0.25">
      <c r="A86" s="2920"/>
      <c r="B86" s="2008"/>
      <c r="C86" s="2007"/>
      <c r="D86" s="2008"/>
      <c r="E86" s="3030"/>
      <c r="F86" s="3030"/>
      <c r="G86" s="3107"/>
      <c r="H86" s="3109"/>
      <c r="I86" s="3107"/>
      <c r="J86" s="3109"/>
      <c r="K86" s="3112"/>
      <c r="L86" s="2426"/>
      <c r="M86" s="3112"/>
      <c r="N86" s="2426"/>
      <c r="O86" s="3112"/>
      <c r="P86" s="3112"/>
      <c r="Q86" s="3007"/>
      <c r="R86" s="2580"/>
      <c r="S86" s="3126"/>
      <c r="T86" s="3081"/>
      <c r="U86" s="3082"/>
      <c r="V86" s="3128"/>
      <c r="W86" s="3084"/>
      <c r="X86" s="2009">
        <v>10000000</v>
      </c>
      <c r="Y86" s="2009">
        <v>0</v>
      </c>
      <c r="Z86" s="2009">
        <v>0</v>
      </c>
      <c r="AA86" s="1708" t="s">
        <v>3083</v>
      </c>
      <c r="AB86" s="2056">
        <v>88</v>
      </c>
      <c r="AC86" s="1714" t="s">
        <v>2980</v>
      </c>
      <c r="AD86" s="3062"/>
      <c r="AE86" s="3053"/>
      <c r="AF86" s="3053"/>
      <c r="AG86" s="3053"/>
      <c r="AH86" s="3053"/>
      <c r="AI86" s="3053"/>
      <c r="AJ86" s="3053"/>
      <c r="AK86" s="3053"/>
      <c r="AL86" s="3053"/>
      <c r="AM86" s="3053"/>
      <c r="AN86" s="3053"/>
      <c r="AO86" s="3053"/>
      <c r="AP86" s="3053"/>
      <c r="AQ86" s="3053"/>
      <c r="AR86" s="3053"/>
      <c r="AS86" s="3053"/>
      <c r="AT86" s="3053"/>
      <c r="AU86" s="3053"/>
      <c r="AV86" s="3053"/>
      <c r="AW86" s="3053"/>
      <c r="AX86" s="3053"/>
      <c r="AY86" s="3053"/>
      <c r="AZ86" s="3053"/>
      <c r="BA86" s="3053"/>
      <c r="BB86" s="3053"/>
      <c r="BC86" s="3053"/>
      <c r="BD86" s="3053"/>
      <c r="BE86" s="3053"/>
      <c r="BF86" s="3053"/>
      <c r="BG86" s="3053"/>
      <c r="BH86" s="3053"/>
      <c r="BI86" s="3096"/>
      <c r="BJ86" s="3092"/>
      <c r="BK86" s="2959"/>
      <c r="BL86" s="2959"/>
      <c r="BM86" s="2962"/>
      <c r="BN86" s="3099"/>
      <c r="BO86" s="3089"/>
      <c r="BP86" s="3092"/>
      <c r="BQ86" s="3094"/>
      <c r="BR86" s="3094"/>
      <c r="BS86" s="3094"/>
      <c r="BT86" s="3092"/>
      <c r="BU86" s="3087"/>
    </row>
    <row r="87" spans="1:73" s="2006" customFormat="1" ht="38.25" customHeight="1" x14ac:dyDescent="0.25">
      <c r="A87" s="2920"/>
      <c r="B87" s="2008"/>
      <c r="C87" s="2007"/>
      <c r="D87" s="2008"/>
      <c r="E87" s="3030"/>
      <c r="F87" s="3030"/>
      <c r="G87" s="3107"/>
      <c r="H87" s="3109"/>
      <c r="I87" s="3107"/>
      <c r="J87" s="3109"/>
      <c r="K87" s="3112"/>
      <c r="L87" s="2426"/>
      <c r="M87" s="3112"/>
      <c r="N87" s="2426"/>
      <c r="O87" s="3112"/>
      <c r="P87" s="3112"/>
      <c r="Q87" s="3007"/>
      <c r="R87" s="2580"/>
      <c r="S87" s="3126"/>
      <c r="T87" s="3081"/>
      <c r="U87" s="3082"/>
      <c r="V87" s="3128"/>
      <c r="W87" s="2070" t="s">
        <v>3053</v>
      </c>
      <c r="X87" s="2009">
        <v>2000000</v>
      </c>
      <c r="Y87" s="2009">
        <v>2000000</v>
      </c>
      <c r="Z87" s="2009">
        <v>0</v>
      </c>
      <c r="AA87" s="1708" t="s">
        <v>3086</v>
      </c>
      <c r="AB87" s="2055">
        <v>20</v>
      </c>
      <c r="AC87" s="1709" t="s">
        <v>734</v>
      </c>
      <c r="AD87" s="3062"/>
      <c r="AE87" s="3053"/>
      <c r="AF87" s="3053"/>
      <c r="AG87" s="3053"/>
      <c r="AH87" s="3053"/>
      <c r="AI87" s="3053"/>
      <c r="AJ87" s="3053"/>
      <c r="AK87" s="3053"/>
      <c r="AL87" s="3053"/>
      <c r="AM87" s="3053"/>
      <c r="AN87" s="3053"/>
      <c r="AO87" s="3053"/>
      <c r="AP87" s="3053"/>
      <c r="AQ87" s="3053"/>
      <c r="AR87" s="3053"/>
      <c r="AS87" s="3053"/>
      <c r="AT87" s="3053"/>
      <c r="AU87" s="3053"/>
      <c r="AV87" s="3053"/>
      <c r="AW87" s="3053"/>
      <c r="AX87" s="3053"/>
      <c r="AY87" s="3053"/>
      <c r="AZ87" s="3053"/>
      <c r="BA87" s="3053"/>
      <c r="BB87" s="3053"/>
      <c r="BC87" s="3053"/>
      <c r="BD87" s="3053"/>
      <c r="BE87" s="3053"/>
      <c r="BF87" s="3053"/>
      <c r="BG87" s="3053"/>
      <c r="BH87" s="3053"/>
      <c r="BI87" s="3096"/>
      <c r="BJ87" s="3092"/>
      <c r="BK87" s="2959"/>
      <c r="BL87" s="2959"/>
      <c r="BM87" s="2962"/>
      <c r="BN87" s="3099"/>
      <c r="BO87" s="3089"/>
      <c r="BP87" s="3092"/>
      <c r="BQ87" s="3094"/>
      <c r="BR87" s="3094"/>
      <c r="BS87" s="3094"/>
      <c r="BT87" s="3092"/>
      <c r="BU87" s="3087"/>
    </row>
    <row r="88" spans="1:73" s="2006" customFormat="1" ht="38.25" customHeight="1" x14ac:dyDescent="0.25">
      <c r="A88" s="2920"/>
      <c r="B88" s="2008"/>
      <c r="C88" s="2007"/>
      <c r="D88" s="2008"/>
      <c r="E88" s="3030"/>
      <c r="F88" s="3030"/>
      <c r="G88" s="3107"/>
      <c r="H88" s="3109"/>
      <c r="I88" s="3107"/>
      <c r="J88" s="3109"/>
      <c r="K88" s="3112"/>
      <c r="L88" s="2426"/>
      <c r="M88" s="3112"/>
      <c r="N88" s="2426"/>
      <c r="O88" s="3112"/>
      <c r="P88" s="3112"/>
      <c r="Q88" s="3007"/>
      <c r="R88" s="2580"/>
      <c r="S88" s="3126"/>
      <c r="T88" s="3081"/>
      <c r="U88" s="3082"/>
      <c r="V88" s="3128"/>
      <c r="W88" s="2312" t="s">
        <v>3087</v>
      </c>
      <c r="X88" s="2009">
        <v>1000000</v>
      </c>
      <c r="Y88" s="2009">
        <v>0</v>
      </c>
      <c r="Z88" s="2009">
        <v>0</v>
      </c>
      <c r="AA88" s="1708" t="s">
        <v>3086</v>
      </c>
      <c r="AB88" s="2055">
        <v>20</v>
      </c>
      <c r="AC88" s="1709" t="s">
        <v>734</v>
      </c>
      <c r="AD88" s="3062"/>
      <c r="AE88" s="3053"/>
      <c r="AF88" s="3053"/>
      <c r="AG88" s="3053"/>
      <c r="AH88" s="3053"/>
      <c r="AI88" s="3053"/>
      <c r="AJ88" s="3053"/>
      <c r="AK88" s="3053"/>
      <c r="AL88" s="3053"/>
      <c r="AM88" s="3053"/>
      <c r="AN88" s="3053"/>
      <c r="AO88" s="3053"/>
      <c r="AP88" s="3053"/>
      <c r="AQ88" s="3053"/>
      <c r="AR88" s="3053"/>
      <c r="AS88" s="3053"/>
      <c r="AT88" s="3053"/>
      <c r="AU88" s="3053"/>
      <c r="AV88" s="3053"/>
      <c r="AW88" s="3053"/>
      <c r="AX88" s="3053"/>
      <c r="AY88" s="3053"/>
      <c r="AZ88" s="3053"/>
      <c r="BA88" s="3053"/>
      <c r="BB88" s="3053"/>
      <c r="BC88" s="3053"/>
      <c r="BD88" s="3053"/>
      <c r="BE88" s="3053"/>
      <c r="BF88" s="3053"/>
      <c r="BG88" s="3053"/>
      <c r="BH88" s="3053"/>
      <c r="BI88" s="3096"/>
      <c r="BJ88" s="3092"/>
      <c r="BK88" s="2959"/>
      <c r="BL88" s="2959"/>
      <c r="BM88" s="2962"/>
      <c r="BN88" s="3099"/>
      <c r="BO88" s="3089"/>
      <c r="BP88" s="3092"/>
      <c r="BQ88" s="3094"/>
      <c r="BR88" s="3094"/>
      <c r="BS88" s="3094"/>
      <c r="BT88" s="3092"/>
      <c r="BU88" s="3087"/>
    </row>
    <row r="89" spans="1:73" s="2006" customFormat="1" ht="38.25" customHeight="1" x14ac:dyDescent="0.25">
      <c r="A89" s="2920"/>
      <c r="B89" s="2008"/>
      <c r="C89" s="2007"/>
      <c r="D89" s="2008"/>
      <c r="E89" s="3030"/>
      <c r="F89" s="3030"/>
      <c r="G89" s="3107"/>
      <c r="H89" s="3109"/>
      <c r="I89" s="3107"/>
      <c r="J89" s="3109"/>
      <c r="K89" s="3112"/>
      <c r="L89" s="2426"/>
      <c r="M89" s="3112"/>
      <c r="N89" s="2426"/>
      <c r="O89" s="3112"/>
      <c r="P89" s="3112"/>
      <c r="Q89" s="3007"/>
      <c r="R89" s="2580"/>
      <c r="S89" s="3126"/>
      <c r="T89" s="3081"/>
      <c r="U89" s="3082"/>
      <c r="V89" s="3128"/>
      <c r="W89" s="2313"/>
      <c r="X89" s="2009">
        <v>2000000</v>
      </c>
      <c r="Y89" s="2009">
        <v>0</v>
      </c>
      <c r="Z89" s="2009">
        <v>0</v>
      </c>
      <c r="AA89" s="1708" t="s">
        <v>3083</v>
      </c>
      <c r="AB89" s="2056">
        <v>88</v>
      </c>
      <c r="AC89" s="1714" t="s">
        <v>2980</v>
      </c>
      <c r="AD89" s="3062"/>
      <c r="AE89" s="3053"/>
      <c r="AF89" s="3053"/>
      <c r="AG89" s="3053"/>
      <c r="AH89" s="3053"/>
      <c r="AI89" s="3053"/>
      <c r="AJ89" s="3053"/>
      <c r="AK89" s="3053"/>
      <c r="AL89" s="3053"/>
      <c r="AM89" s="3053"/>
      <c r="AN89" s="3053"/>
      <c r="AO89" s="3053"/>
      <c r="AP89" s="3053"/>
      <c r="AQ89" s="3053"/>
      <c r="AR89" s="3053"/>
      <c r="AS89" s="3053"/>
      <c r="AT89" s="3053"/>
      <c r="AU89" s="3053"/>
      <c r="AV89" s="3053"/>
      <c r="AW89" s="3053"/>
      <c r="AX89" s="3053"/>
      <c r="AY89" s="3053"/>
      <c r="AZ89" s="3053"/>
      <c r="BA89" s="3053"/>
      <c r="BB89" s="3053"/>
      <c r="BC89" s="3053"/>
      <c r="BD89" s="3053"/>
      <c r="BE89" s="3053"/>
      <c r="BF89" s="3053"/>
      <c r="BG89" s="3053"/>
      <c r="BH89" s="3053"/>
      <c r="BI89" s="3096"/>
      <c r="BJ89" s="3092"/>
      <c r="BK89" s="2959"/>
      <c r="BL89" s="2959"/>
      <c r="BM89" s="2962"/>
      <c r="BN89" s="3099"/>
      <c r="BO89" s="3089"/>
      <c r="BP89" s="3092"/>
      <c r="BQ89" s="3094"/>
      <c r="BR89" s="3094"/>
      <c r="BS89" s="3094"/>
      <c r="BT89" s="3092"/>
      <c r="BU89" s="3087"/>
    </row>
    <row r="90" spans="1:73" s="2006" customFormat="1" ht="38.25" customHeight="1" x14ac:dyDescent="0.25">
      <c r="A90" s="2920"/>
      <c r="B90" s="2008"/>
      <c r="C90" s="2007"/>
      <c r="D90" s="2008"/>
      <c r="E90" s="3030"/>
      <c r="F90" s="3031"/>
      <c r="G90" s="3107"/>
      <c r="H90" s="3110"/>
      <c r="I90" s="3107"/>
      <c r="J90" s="3110"/>
      <c r="K90" s="3113"/>
      <c r="L90" s="3114"/>
      <c r="M90" s="3113"/>
      <c r="N90" s="3114"/>
      <c r="O90" s="3113"/>
      <c r="P90" s="3113"/>
      <c r="Q90" s="3070"/>
      <c r="R90" s="3072"/>
      <c r="S90" s="3127"/>
      <c r="T90" s="3081"/>
      <c r="U90" s="3082"/>
      <c r="V90" s="3129"/>
      <c r="W90" s="3084"/>
      <c r="X90" s="2009">
        <v>2000000</v>
      </c>
      <c r="Y90" s="2009"/>
      <c r="Z90" s="2009"/>
      <c r="AA90" s="1708" t="s">
        <v>3085</v>
      </c>
      <c r="AB90" s="2055">
        <v>20</v>
      </c>
      <c r="AC90" s="1709" t="s">
        <v>734</v>
      </c>
      <c r="AD90" s="3085"/>
      <c r="AE90" s="3079"/>
      <c r="AF90" s="3079"/>
      <c r="AG90" s="3079"/>
      <c r="AH90" s="3079"/>
      <c r="AI90" s="3079"/>
      <c r="AJ90" s="3079"/>
      <c r="AK90" s="3079"/>
      <c r="AL90" s="3079"/>
      <c r="AM90" s="3079"/>
      <c r="AN90" s="3079"/>
      <c r="AO90" s="3079"/>
      <c r="AP90" s="3079"/>
      <c r="AQ90" s="3079"/>
      <c r="AR90" s="3079"/>
      <c r="AS90" s="3079"/>
      <c r="AT90" s="3079"/>
      <c r="AU90" s="3079"/>
      <c r="AV90" s="3079"/>
      <c r="AW90" s="3079"/>
      <c r="AX90" s="3079"/>
      <c r="AY90" s="3079"/>
      <c r="AZ90" s="3079"/>
      <c r="BA90" s="3079"/>
      <c r="BB90" s="3079"/>
      <c r="BC90" s="3079"/>
      <c r="BD90" s="3079"/>
      <c r="BE90" s="3079"/>
      <c r="BF90" s="3079"/>
      <c r="BG90" s="3079"/>
      <c r="BH90" s="3079"/>
      <c r="BI90" s="3097"/>
      <c r="BJ90" s="3092"/>
      <c r="BK90" s="2959"/>
      <c r="BL90" s="2959"/>
      <c r="BM90" s="2962"/>
      <c r="BN90" s="3100"/>
      <c r="BO90" s="3090"/>
      <c r="BP90" s="3092"/>
      <c r="BQ90" s="3094"/>
      <c r="BR90" s="3094"/>
      <c r="BS90" s="3094"/>
      <c r="BT90" s="3092"/>
      <c r="BU90" s="3087"/>
    </row>
    <row r="91" spans="1:73" s="2006" customFormat="1" ht="21.75" customHeight="1" x14ac:dyDescent="0.25">
      <c r="A91" s="2920"/>
      <c r="B91" s="2008"/>
      <c r="C91" s="2007"/>
      <c r="D91" s="2008"/>
      <c r="E91" s="2020">
        <v>4103</v>
      </c>
      <c r="F91" s="2990" t="s">
        <v>1241</v>
      </c>
      <c r="G91" s="2272"/>
      <c r="H91" s="2272"/>
      <c r="I91" s="2272"/>
      <c r="J91" s="2272"/>
      <c r="K91" s="2272"/>
      <c r="L91" s="2272"/>
      <c r="M91" s="2272"/>
      <c r="N91" s="2272"/>
      <c r="O91" s="2272"/>
      <c r="P91" s="2272"/>
      <c r="Q91" s="2272"/>
      <c r="R91" s="2028"/>
      <c r="S91" s="2022"/>
      <c r="T91" s="2071"/>
      <c r="U91" s="2028"/>
      <c r="V91" s="2028"/>
      <c r="W91" s="2054"/>
      <c r="X91" s="2023"/>
      <c r="Y91" s="2023"/>
      <c r="Z91" s="2023"/>
      <c r="AA91" s="2024"/>
      <c r="AB91" s="2021"/>
      <c r="AC91" s="2025"/>
      <c r="AD91" s="1999"/>
      <c r="AE91" s="1999"/>
      <c r="AF91" s="1999"/>
      <c r="AG91" s="1999"/>
      <c r="AH91" s="1999"/>
      <c r="AI91" s="1999"/>
      <c r="AJ91" s="1999"/>
      <c r="AK91" s="1999"/>
      <c r="AL91" s="1999"/>
      <c r="AM91" s="1999"/>
      <c r="AN91" s="1999"/>
      <c r="AO91" s="1999"/>
      <c r="AP91" s="1999"/>
      <c r="AQ91" s="1999"/>
      <c r="AR91" s="1999"/>
      <c r="AS91" s="1999"/>
      <c r="AT91" s="1999"/>
      <c r="AU91" s="1999"/>
      <c r="AV91" s="1999"/>
      <c r="AW91" s="1999"/>
      <c r="AX91" s="1999"/>
      <c r="AY91" s="1999"/>
      <c r="AZ91" s="1999"/>
      <c r="BA91" s="1999"/>
      <c r="BB91" s="1999"/>
      <c r="BC91" s="1999"/>
      <c r="BD91" s="1999"/>
      <c r="BE91" s="1999"/>
      <c r="BF91" s="1999"/>
      <c r="BG91" s="1999"/>
      <c r="BH91" s="1999"/>
      <c r="BI91" s="1999"/>
      <c r="BJ91" s="3122"/>
      <c r="BK91" s="3123"/>
      <c r="BL91" s="3123"/>
      <c r="BM91" s="3123"/>
      <c r="BN91" s="3123"/>
      <c r="BO91" s="3123"/>
      <c r="BP91" s="3123"/>
      <c r="BQ91" s="3123"/>
      <c r="BR91" s="3123"/>
      <c r="BS91" s="3123"/>
      <c r="BT91" s="3123"/>
      <c r="BU91" s="3124"/>
    </row>
    <row r="92" spans="1:73" s="2006" customFormat="1" ht="43.5" customHeight="1" x14ac:dyDescent="0.25">
      <c r="A92" s="2920"/>
      <c r="B92" s="2008"/>
      <c r="C92" s="2007"/>
      <c r="D92" s="2008"/>
      <c r="E92" s="3030"/>
      <c r="F92" s="3030"/>
      <c r="G92" s="3032" t="s">
        <v>74</v>
      </c>
      <c r="H92" s="3034" t="s">
        <v>3088</v>
      </c>
      <c r="I92" s="3032">
        <v>4103052</v>
      </c>
      <c r="J92" s="3034" t="s">
        <v>1249</v>
      </c>
      <c r="K92" s="3007" t="s">
        <v>74</v>
      </c>
      <c r="L92" s="3036" t="s">
        <v>3089</v>
      </c>
      <c r="M92" s="3007">
        <v>410305201</v>
      </c>
      <c r="N92" s="3036" t="s">
        <v>3090</v>
      </c>
      <c r="O92" s="3007">
        <v>25</v>
      </c>
      <c r="P92" s="3007">
        <v>8</v>
      </c>
      <c r="Q92" s="3007" t="s">
        <v>3091</v>
      </c>
      <c r="R92" s="2478" t="s">
        <v>3092</v>
      </c>
      <c r="S92" s="3140">
        <f>SUM(X92:X101)/T92</f>
        <v>1</v>
      </c>
      <c r="T92" s="3057">
        <f>SUM(X92:X101)</f>
        <v>34027629</v>
      </c>
      <c r="U92" s="2478" t="s">
        <v>3093</v>
      </c>
      <c r="V92" s="3071" t="s">
        <v>3094</v>
      </c>
      <c r="W92" s="3133" t="s">
        <v>3095</v>
      </c>
      <c r="X92" s="2009">
        <f>5000000-5000000</f>
        <v>0</v>
      </c>
      <c r="Y92" s="2009">
        <v>0</v>
      </c>
      <c r="Z92" s="2009">
        <v>0</v>
      </c>
      <c r="AA92" s="1708" t="s">
        <v>3096</v>
      </c>
      <c r="AB92" s="2055">
        <v>20</v>
      </c>
      <c r="AC92" s="1709" t="s">
        <v>734</v>
      </c>
      <c r="AD92" s="3134">
        <v>91</v>
      </c>
      <c r="AE92" s="3052">
        <v>20</v>
      </c>
      <c r="AF92" s="3137">
        <v>237</v>
      </c>
      <c r="AG92" s="3130">
        <v>60</v>
      </c>
      <c r="AH92" s="3130">
        <v>0</v>
      </c>
      <c r="AI92" s="3130"/>
      <c r="AJ92" s="3130">
        <v>0</v>
      </c>
      <c r="AK92" s="3130"/>
      <c r="AL92" s="3130">
        <v>0</v>
      </c>
      <c r="AM92" s="3130"/>
      <c r="AN92" s="3130">
        <v>0</v>
      </c>
      <c r="AO92" s="3130"/>
      <c r="AP92" s="3130">
        <v>0</v>
      </c>
      <c r="AQ92" s="3130"/>
      <c r="AR92" s="3130">
        <v>0</v>
      </c>
      <c r="AS92" s="3130"/>
      <c r="AT92" s="3130">
        <v>0</v>
      </c>
      <c r="AU92" s="3130"/>
      <c r="AV92" s="3130">
        <v>0</v>
      </c>
      <c r="AW92" s="3130"/>
      <c r="AX92" s="3130">
        <v>0</v>
      </c>
      <c r="AY92" s="3130"/>
      <c r="AZ92" s="3130">
        <v>0</v>
      </c>
      <c r="BA92" s="3130"/>
      <c r="BB92" s="3130">
        <v>0</v>
      </c>
      <c r="BC92" s="3130"/>
      <c r="BD92" s="3130">
        <v>0</v>
      </c>
      <c r="BE92" s="3130"/>
      <c r="BF92" s="3130">
        <v>0</v>
      </c>
      <c r="BG92" s="3130"/>
      <c r="BH92" s="3130">
        <f>+AD92+AF92</f>
        <v>328</v>
      </c>
      <c r="BI92" s="3145">
        <f>+AE92+AG92</f>
        <v>80</v>
      </c>
      <c r="BJ92" s="2989">
        <v>5</v>
      </c>
      <c r="BK92" s="3143">
        <f>SUM(Y92:Y101)</f>
        <v>5000000</v>
      </c>
      <c r="BL92" s="3143">
        <f>SUM(Z92:Z101)</f>
        <v>0</v>
      </c>
      <c r="BM92" s="3144">
        <f>+BL92/BK92</f>
        <v>0</v>
      </c>
      <c r="BN92" s="2989">
        <v>20</v>
      </c>
      <c r="BO92" s="2664" t="s">
        <v>86</v>
      </c>
      <c r="BP92" s="2664" t="s">
        <v>3032</v>
      </c>
      <c r="BQ92" s="2999">
        <v>44198</v>
      </c>
      <c r="BR92" s="2999">
        <v>44256</v>
      </c>
      <c r="BS92" s="2999">
        <v>44560</v>
      </c>
      <c r="BT92" s="2999">
        <v>44491</v>
      </c>
      <c r="BU92" s="2989" t="s">
        <v>2978</v>
      </c>
    </row>
    <row r="93" spans="1:73" s="2006" customFormat="1" ht="43.5" customHeight="1" x14ac:dyDescent="0.25">
      <c r="A93" s="2920"/>
      <c r="B93" s="2008"/>
      <c r="C93" s="2007"/>
      <c r="D93" s="2008"/>
      <c r="E93" s="3030"/>
      <c r="F93" s="3030"/>
      <c r="G93" s="3032"/>
      <c r="H93" s="3034"/>
      <c r="I93" s="3032"/>
      <c r="J93" s="3034"/>
      <c r="K93" s="3007"/>
      <c r="L93" s="3036"/>
      <c r="M93" s="3007"/>
      <c r="N93" s="3036"/>
      <c r="O93" s="3007"/>
      <c r="P93" s="3007"/>
      <c r="Q93" s="3007"/>
      <c r="R93" s="3036"/>
      <c r="S93" s="3141"/>
      <c r="T93" s="3058"/>
      <c r="U93" s="3036"/>
      <c r="V93" s="2580"/>
      <c r="W93" s="3133"/>
      <c r="X93" s="2009">
        <v>5000000</v>
      </c>
      <c r="Y93" s="2009">
        <v>0</v>
      </c>
      <c r="Z93" s="2009">
        <v>0</v>
      </c>
      <c r="AA93" s="1708" t="s">
        <v>3097</v>
      </c>
      <c r="AB93" s="2055">
        <v>20</v>
      </c>
      <c r="AC93" s="1709" t="s">
        <v>734</v>
      </c>
      <c r="AD93" s="3135"/>
      <c r="AE93" s="3053"/>
      <c r="AF93" s="3138"/>
      <c r="AG93" s="3131"/>
      <c r="AH93" s="3131"/>
      <c r="AI93" s="3131"/>
      <c r="AJ93" s="3131"/>
      <c r="AK93" s="3131"/>
      <c r="AL93" s="3131"/>
      <c r="AM93" s="3131"/>
      <c r="AN93" s="3131"/>
      <c r="AO93" s="3131"/>
      <c r="AP93" s="3131"/>
      <c r="AQ93" s="3131"/>
      <c r="AR93" s="3131"/>
      <c r="AS93" s="3131"/>
      <c r="AT93" s="3131"/>
      <c r="AU93" s="3131"/>
      <c r="AV93" s="3131"/>
      <c r="AW93" s="3131"/>
      <c r="AX93" s="3131"/>
      <c r="AY93" s="3131"/>
      <c r="AZ93" s="3131"/>
      <c r="BA93" s="3131"/>
      <c r="BB93" s="3131"/>
      <c r="BC93" s="3131"/>
      <c r="BD93" s="3131"/>
      <c r="BE93" s="3131"/>
      <c r="BF93" s="3131"/>
      <c r="BG93" s="3131"/>
      <c r="BH93" s="3131"/>
      <c r="BI93" s="3146"/>
      <c r="BJ93" s="2989"/>
      <c r="BK93" s="3143"/>
      <c r="BL93" s="3143"/>
      <c r="BM93" s="3144"/>
      <c r="BN93" s="2989"/>
      <c r="BO93" s="2664"/>
      <c r="BP93" s="2664"/>
      <c r="BQ93" s="2989"/>
      <c r="BR93" s="2989"/>
      <c r="BS93" s="2989"/>
      <c r="BT93" s="2989"/>
      <c r="BU93" s="2989"/>
    </row>
    <row r="94" spans="1:73" s="2006" customFormat="1" ht="43.5" customHeight="1" x14ac:dyDescent="0.25">
      <c r="A94" s="2920"/>
      <c r="B94" s="2008"/>
      <c r="C94" s="2007"/>
      <c r="D94" s="2008"/>
      <c r="E94" s="3030"/>
      <c r="F94" s="3030"/>
      <c r="G94" s="3033"/>
      <c r="H94" s="3034"/>
      <c r="I94" s="3033"/>
      <c r="J94" s="3034"/>
      <c r="K94" s="3007"/>
      <c r="L94" s="3036"/>
      <c r="M94" s="3007"/>
      <c r="N94" s="3036"/>
      <c r="O94" s="3007"/>
      <c r="P94" s="3007"/>
      <c r="Q94" s="3007"/>
      <c r="R94" s="3036"/>
      <c r="S94" s="3141"/>
      <c r="T94" s="3058"/>
      <c r="U94" s="3036"/>
      <c r="V94" s="2580"/>
      <c r="W94" s="3133"/>
      <c r="X94" s="2009">
        <v>3027629</v>
      </c>
      <c r="Y94" s="2009">
        <v>0</v>
      </c>
      <c r="Z94" s="2009">
        <v>0</v>
      </c>
      <c r="AA94" s="1708" t="s">
        <v>3098</v>
      </c>
      <c r="AB94" s="2055">
        <v>88</v>
      </c>
      <c r="AC94" s="1714" t="s">
        <v>2980</v>
      </c>
      <c r="AD94" s="3135"/>
      <c r="AE94" s="3053"/>
      <c r="AF94" s="3138"/>
      <c r="AG94" s="3131"/>
      <c r="AH94" s="3131"/>
      <c r="AI94" s="3131"/>
      <c r="AJ94" s="3131"/>
      <c r="AK94" s="3131"/>
      <c r="AL94" s="3131"/>
      <c r="AM94" s="3131"/>
      <c r="AN94" s="3131"/>
      <c r="AO94" s="3131"/>
      <c r="AP94" s="3131"/>
      <c r="AQ94" s="3131"/>
      <c r="AR94" s="3131"/>
      <c r="AS94" s="3131"/>
      <c r="AT94" s="3131"/>
      <c r="AU94" s="3131"/>
      <c r="AV94" s="3131"/>
      <c r="AW94" s="3131"/>
      <c r="AX94" s="3131"/>
      <c r="AY94" s="3131"/>
      <c r="AZ94" s="3131"/>
      <c r="BA94" s="3131"/>
      <c r="BB94" s="3131"/>
      <c r="BC94" s="3131"/>
      <c r="BD94" s="3131"/>
      <c r="BE94" s="3131"/>
      <c r="BF94" s="3131"/>
      <c r="BG94" s="3131"/>
      <c r="BH94" s="3131"/>
      <c r="BI94" s="3146"/>
      <c r="BJ94" s="2989"/>
      <c r="BK94" s="3143"/>
      <c r="BL94" s="3143"/>
      <c r="BM94" s="3144"/>
      <c r="BN94" s="2989"/>
      <c r="BO94" s="2664"/>
      <c r="BP94" s="2664"/>
      <c r="BQ94" s="2989"/>
      <c r="BR94" s="2989"/>
      <c r="BS94" s="2989"/>
      <c r="BT94" s="2989"/>
      <c r="BU94" s="2989"/>
    </row>
    <row r="95" spans="1:73" s="2006" customFormat="1" ht="40.5" customHeight="1" x14ac:dyDescent="0.25">
      <c r="A95" s="2920"/>
      <c r="B95" s="2008"/>
      <c r="C95" s="2007"/>
      <c r="D95" s="2008"/>
      <c r="E95" s="3030"/>
      <c r="F95" s="3030"/>
      <c r="G95" s="3033"/>
      <c r="H95" s="3034"/>
      <c r="I95" s="3033"/>
      <c r="J95" s="3034"/>
      <c r="K95" s="3007"/>
      <c r="L95" s="3036"/>
      <c r="M95" s="3007"/>
      <c r="N95" s="3036"/>
      <c r="O95" s="3007"/>
      <c r="P95" s="3007"/>
      <c r="Q95" s="3007"/>
      <c r="R95" s="3036"/>
      <c r="S95" s="3141"/>
      <c r="T95" s="3058"/>
      <c r="U95" s="3036"/>
      <c r="V95" s="2580"/>
      <c r="W95" s="3133" t="s">
        <v>3099</v>
      </c>
      <c r="X95" s="2009">
        <f>9000000-9000000</f>
        <v>0</v>
      </c>
      <c r="Y95" s="2009">
        <v>0</v>
      </c>
      <c r="Z95" s="2009">
        <v>0</v>
      </c>
      <c r="AA95" s="1708" t="s">
        <v>3096</v>
      </c>
      <c r="AB95" s="2055">
        <v>20</v>
      </c>
      <c r="AC95" s="1709" t="s">
        <v>734</v>
      </c>
      <c r="AD95" s="3135"/>
      <c r="AE95" s="3053"/>
      <c r="AF95" s="3138"/>
      <c r="AG95" s="3131"/>
      <c r="AH95" s="3131"/>
      <c r="AI95" s="3131"/>
      <c r="AJ95" s="3131"/>
      <c r="AK95" s="3131"/>
      <c r="AL95" s="3131"/>
      <c r="AM95" s="3131"/>
      <c r="AN95" s="3131"/>
      <c r="AO95" s="3131"/>
      <c r="AP95" s="3131"/>
      <c r="AQ95" s="3131"/>
      <c r="AR95" s="3131"/>
      <c r="AS95" s="3131"/>
      <c r="AT95" s="3131"/>
      <c r="AU95" s="3131"/>
      <c r="AV95" s="3131"/>
      <c r="AW95" s="3131"/>
      <c r="AX95" s="3131"/>
      <c r="AY95" s="3131"/>
      <c r="AZ95" s="3131"/>
      <c r="BA95" s="3131"/>
      <c r="BB95" s="3131"/>
      <c r="BC95" s="3131"/>
      <c r="BD95" s="3131"/>
      <c r="BE95" s="3131"/>
      <c r="BF95" s="3131"/>
      <c r="BG95" s="3131"/>
      <c r="BH95" s="3131"/>
      <c r="BI95" s="3146"/>
      <c r="BJ95" s="2989"/>
      <c r="BK95" s="3143"/>
      <c r="BL95" s="3143"/>
      <c r="BM95" s="3144"/>
      <c r="BN95" s="2989"/>
      <c r="BO95" s="2664"/>
      <c r="BP95" s="2664"/>
      <c r="BQ95" s="2989"/>
      <c r="BR95" s="2989"/>
      <c r="BS95" s="2989"/>
      <c r="BT95" s="2989"/>
      <c r="BU95" s="2989"/>
    </row>
    <row r="96" spans="1:73" s="2006" customFormat="1" ht="40.5" customHeight="1" x14ac:dyDescent="0.25">
      <c r="A96" s="2920"/>
      <c r="B96" s="2008"/>
      <c r="C96" s="2007"/>
      <c r="D96" s="2008"/>
      <c r="E96" s="3030"/>
      <c r="F96" s="3030"/>
      <c r="G96" s="3033"/>
      <c r="H96" s="3034"/>
      <c r="I96" s="3033"/>
      <c r="J96" s="3034"/>
      <c r="K96" s="3007"/>
      <c r="L96" s="3036"/>
      <c r="M96" s="3007"/>
      <c r="N96" s="3036"/>
      <c r="O96" s="3007"/>
      <c r="P96" s="3007"/>
      <c r="Q96" s="3007"/>
      <c r="R96" s="3036"/>
      <c r="S96" s="3141"/>
      <c r="T96" s="3058"/>
      <c r="U96" s="3036"/>
      <c r="V96" s="2580"/>
      <c r="W96" s="3133"/>
      <c r="X96" s="2009">
        <v>5000000</v>
      </c>
      <c r="Y96" s="2009">
        <v>4000000</v>
      </c>
      <c r="Z96" s="2009">
        <v>0</v>
      </c>
      <c r="AA96" s="1708" t="s">
        <v>3100</v>
      </c>
      <c r="AB96" s="2055">
        <v>20</v>
      </c>
      <c r="AC96" s="1709" t="s">
        <v>734</v>
      </c>
      <c r="AD96" s="3135"/>
      <c r="AE96" s="3053"/>
      <c r="AF96" s="3138"/>
      <c r="AG96" s="3131"/>
      <c r="AH96" s="3131"/>
      <c r="AI96" s="3131"/>
      <c r="AJ96" s="3131"/>
      <c r="AK96" s="3131"/>
      <c r="AL96" s="3131"/>
      <c r="AM96" s="3131"/>
      <c r="AN96" s="3131"/>
      <c r="AO96" s="3131"/>
      <c r="AP96" s="3131"/>
      <c r="AQ96" s="3131"/>
      <c r="AR96" s="3131"/>
      <c r="AS96" s="3131"/>
      <c r="AT96" s="3131"/>
      <c r="AU96" s="3131"/>
      <c r="AV96" s="3131"/>
      <c r="AW96" s="3131"/>
      <c r="AX96" s="3131"/>
      <c r="AY96" s="3131"/>
      <c r="AZ96" s="3131"/>
      <c r="BA96" s="3131"/>
      <c r="BB96" s="3131"/>
      <c r="BC96" s="3131"/>
      <c r="BD96" s="3131"/>
      <c r="BE96" s="3131"/>
      <c r="BF96" s="3131"/>
      <c r="BG96" s="3131"/>
      <c r="BH96" s="3131"/>
      <c r="BI96" s="3146"/>
      <c r="BJ96" s="2989"/>
      <c r="BK96" s="3143"/>
      <c r="BL96" s="3143"/>
      <c r="BM96" s="3144"/>
      <c r="BN96" s="2989"/>
      <c r="BO96" s="2664"/>
      <c r="BP96" s="2664"/>
      <c r="BQ96" s="2989"/>
      <c r="BR96" s="2989"/>
      <c r="BS96" s="2989"/>
      <c r="BT96" s="2989"/>
      <c r="BU96" s="2989"/>
    </row>
    <row r="97" spans="1:73" s="2006" customFormat="1" ht="40.5" customHeight="1" x14ac:dyDescent="0.25">
      <c r="A97" s="2920"/>
      <c r="B97" s="2008"/>
      <c r="C97" s="2007"/>
      <c r="D97" s="2008"/>
      <c r="E97" s="3030"/>
      <c r="F97" s="3030"/>
      <c r="G97" s="3033"/>
      <c r="H97" s="3034"/>
      <c r="I97" s="3033"/>
      <c r="J97" s="3034"/>
      <c r="K97" s="3007"/>
      <c r="L97" s="3036"/>
      <c r="M97" s="3007"/>
      <c r="N97" s="3036"/>
      <c r="O97" s="3007"/>
      <c r="P97" s="3007"/>
      <c r="Q97" s="3007"/>
      <c r="R97" s="3036"/>
      <c r="S97" s="3141"/>
      <c r="T97" s="3058"/>
      <c r="U97" s="3036"/>
      <c r="V97" s="2580"/>
      <c r="W97" s="3133"/>
      <c r="X97" s="2009">
        <v>4000000</v>
      </c>
      <c r="Y97" s="2009">
        <v>0</v>
      </c>
      <c r="Z97" s="2009">
        <v>0</v>
      </c>
      <c r="AA97" s="1708" t="s">
        <v>3101</v>
      </c>
      <c r="AB97" s="2055">
        <v>20</v>
      </c>
      <c r="AC97" s="1709" t="s">
        <v>734</v>
      </c>
      <c r="AD97" s="3135"/>
      <c r="AE97" s="3053"/>
      <c r="AF97" s="3138"/>
      <c r="AG97" s="3131"/>
      <c r="AH97" s="3131"/>
      <c r="AI97" s="3131"/>
      <c r="AJ97" s="3131"/>
      <c r="AK97" s="3131"/>
      <c r="AL97" s="3131"/>
      <c r="AM97" s="3131"/>
      <c r="AN97" s="3131"/>
      <c r="AO97" s="3131"/>
      <c r="AP97" s="3131"/>
      <c r="AQ97" s="3131"/>
      <c r="AR97" s="3131"/>
      <c r="AS97" s="3131"/>
      <c r="AT97" s="3131"/>
      <c r="AU97" s="3131"/>
      <c r="AV97" s="3131"/>
      <c r="AW97" s="3131"/>
      <c r="AX97" s="3131"/>
      <c r="AY97" s="3131"/>
      <c r="AZ97" s="3131"/>
      <c r="BA97" s="3131"/>
      <c r="BB97" s="3131"/>
      <c r="BC97" s="3131"/>
      <c r="BD97" s="3131"/>
      <c r="BE97" s="3131"/>
      <c r="BF97" s="3131"/>
      <c r="BG97" s="3131"/>
      <c r="BH97" s="3131"/>
      <c r="BI97" s="3146"/>
      <c r="BJ97" s="2989"/>
      <c r="BK97" s="3143"/>
      <c r="BL97" s="3143"/>
      <c r="BM97" s="3144"/>
      <c r="BN97" s="2989"/>
      <c r="BO97" s="2664"/>
      <c r="BP97" s="2664"/>
      <c r="BQ97" s="2989"/>
      <c r="BR97" s="2989"/>
      <c r="BS97" s="2989"/>
      <c r="BT97" s="2989"/>
      <c r="BU97" s="2989"/>
    </row>
    <row r="98" spans="1:73" s="2006" customFormat="1" ht="40.5" customHeight="1" x14ac:dyDescent="0.25">
      <c r="A98" s="2920"/>
      <c r="B98" s="2008"/>
      <c r="C98" s="2007"/>
      <c r="D98" s="2008"/>
      <c r="E98" s="3030"/>
      <c r="F98" s="3030"/>
      <c r="G98" s="3033"/>
      <c r="H98" s="3034"/>
      <c r="I98" s="3033"/>
      <c r="J98" s="3034"/>
      <c r="K98" s="3007"/>
      <c r="L98" s="3036"/>
      <c r="M98" s="3007"/>
      <c r="N98" s="3036"/>
      <c r="O98" s="3007"/>
      <c r="P98" s="3007"/>
      <c r="Q98" s="3007"/>
      <c r="R98" s="3036"/>
      <c r="S98" s="3141"/>
      <c r="T98" s="3058"/>
      <c r="U98" s="3036"/>
      <c r="V98" s="2580"/>
      <c r="W98" s="3133"/>
      <c r="X98" s="2009">
        <v>5000000</v>
      </c>
      <c r="Y98" s="2009">
        <v>0</v>
      </c>
      <c r="Z98" s="2009">
        <v>0</v>
      </c>
      <c r="AA98" s="1708" t="s">
        <v>3102</v>
      </c>
      <c r="AB98" s="2055">
        <v>88</v>
      </c>
      <c r="AC98" s="1714" t="s">
        <v>2980</v>
      </c>
      <c r="AD98" s="3135"/>
      <c r="AE98" s="3053"/>
      <c r="AF98" s="3138"/>
      <c r="AG98" s="3131"/>
      <c r="AH98" s="3131"/>
      <c r="AI98" s="3131"/>
      <c r="AJ98" s="3131"/>
      <c r="AK98" s="3131"/>
      <c r="AL98" s="3131"/>
      <c r="AM98" s="3131"/>
      <c r="AN98" s="3131"/>
      <c r="AO98" s="3131"/>
      <c r="AP98" s="3131"/>
      <c r="AQ98" s="3131"/>
      <c r="AR98" s="3131"/>
      <c r="AS98" s="3131"/>
      <c r="AT98" s="3131"/>
      <c r="AU98" s="3131"/>
      <c r="AV98" s="3131"/>
      <c r="AW98" s="3131"/>
      <c r="AX98" s="3131"/>
      <c r="AY98" s="3131"/>
      <c r="AZ98" s="3131"/>
      <c r="BA98" s="3131"/>
      <c r="BB98" s="3131"/>
      <c r="BC98" s="3131"/>
      <c r="BD98" s="3131"/>
      <c r="BE98" s="3131"/>
      <c r="BF98" s="3131"/>
      <c r="BG98" s="3131"/>
      <c r="BH98" s="3131"/>
      <c r="BI98" s="3146"/>
      <c r="BJ98" s="2989"/>
      <c r="BK98" s="3143"/>
      <c r="BL98" s="3143"/>
      <c r="BM98" s="3144"/>
      <c r="BN98" s="2989"/>
      <c r="BO98" s="2664"/>
      <c r="BP98" s="2664"/>
      <c r="BQ98" s="2989"/>
      <c r="BR98" s="2989"/>
      <c r="BS98" s="2989"/>
      <c r="BT98" s="2989"/>
      <c r="BU98" s="2989"/>
    </row>
    <row r="99" spans="1:73" s="2006" customFormat="1" ht="40.5" customHeight="1" x14ac:dyDescent="0.25">
      <c r="A99" s="2920"/>
      <c r="B99" s="2008"/>
      <c r="C99" s="2007"/>
      <c r="D99" s="2008"/>
      <c r="E99" s="3030"/>
      <c r="F99" s="3030"/>
      <c r="G99" s="3033"/>
      <c r="H99" s="3034"/>
      <c r="I99" s="3033"/>
      <c r="J99" s="3034"/>
      <c r="K99" s="3007"/>
      <c r="L99" s="3036"/>
      <c r="M99" s="3007"/>
      <c r="N99" s="3036"/>
      <c r="O99" s="3007"/>
      <c r="P99" s="3007"/>
      <c r="Q99" s="3007"/>
      <c r="R99" s="3036"/>
      <c r="S99" s="3141"/>
      <c r="T99" s="3058"/>
      <c r="U99" s="3036"/>
      <c r="V99" s="2580"/>
      <c r="W99" s="3142"/>
      <c r="X99" s="2009">
        <v>3000000</v>
      </c>
      <c r="Y99" s="2009">
        <v>0</v>
      </c>
      <c r="Z99" s="2009">
        <v>0</v>
      </c>
      <c r="AA99" s="1708" t="s">
        <v>3103</v>
      </c>
      <c r="AB99" s="2056">
        <v>88</v>
      </c>
      <c r="AC99" s="1714" t="s">
        <v>2980</v>
      </c>
      <c r="AD99" s="3135"/>
      <c r="AE99" s="3053"/>
      <c r="AF99" s="3138"/>
      <c r="AG99" s="3131"/>
      <c r="AH99" s="3131"/>
      <c r="AI99" s="3131"/>
      <c r="AJ99" s="3131"/>
      <c r="AK99" s="3131"/>
      <c r="AL99" s="3131"/>
      <c r="AM99" s="3131"/>
      <c r="AN99" s="3131"/>
      <c r="AO99" s="3131"/>
      <c r="AP99" s="3131"/>
      <c r="AQ99" s="3131"/>
      <c r="AR99" s="3131"/>
      <c r="AS99" s="3131"/>
      <c r="AT99" s="3131"/>
      <c r="AU99" s="3131"/>
      <c r="AV99" s="3131"/>
      <c r="AW99" s="3131"/>
      <c r="AX99" s="3131"/>
      <c r="AY99" s="3131"/>
      <c r="AZ99" s="3131"/>
      <c r="BA99" s="3131"/>
      <c r="BB99" s="3131"/>
      <c r="BC99" s="3131"/>
      <c r="BD99" s="3131"/>
      <c r="BE99" s="3131"/>
      <c r="BF99" s="3131"/>
      <c r="BG99" s="3131"/>
      <c r="BH99" s="3131"/>
      <c r="BI99" s="3146"/>
      <c r="BJ99" s="2989"/>
      <c r="BK99" s="3143"/>
      <c r="BL99" s="3143"/>
      <c r="BM99" s="3144"/>
      <c r="BN99" s="2989"/>
      <c r="BO99" s="2664"/>
      <c r="BP99" s="2664"/>
      <c r="BQ99" s="2989"/>
      <c r="BR99" s="2989"/>
      <c r="BS99" s="2989"/>
      <c r="BT99" s="2989"/>
      <c r="BU99" s="2989"/>
    </row>
    <row r="100" spans="1:73" s="2006" customFormat="1" ht="40.5" customHeight="1" x14ac:dyDescent="0.25">
      <c r="A100" s="2920"/>
      <c r="B100" s="2008"/>
      <c r="C100" s="2007"/>
      <c r="D100" s="2008"/>
      <c r="E100" s="3030"/>
      <c r="F100" s="3030"/>
      <c r="G100" s="3033"/>
      <c r="H100" s="3034"/>
      <c r="I100" s="3033"/>
      <c r="J100" s="3034"/>
      <c r="K100" s="3007"/>
      <c r="L100" s="3036"/>
      <c r="M100" s="3007"/>
      <c r="N100" s="3036"/>
      <c r="O100" s="3007"/>
      <c r="P100" s="3007"/>
      <c r="Q100" s="3007"/>
      <c r="R100" s="3036"/>
      <c r="S100" s="3141"/>
      <c r="T100" s="3058"/>
      <c r="U100" s="3036"/>
      <c r="V100" s="2580"/>
      <c r="W100" s="3133" t="s">
        <v>3104</v>
      </c>
      <c r="X100" s="2009">
        <v>4000000</v>
      </c>
      <c r="Y100" s="2009">
        <v>1000000</v>
      </c>
      <c r="Z100" s="2009">
        <v>0</v>
      </c>
      <c r="AA100" s="1708" t="s">
        <v>3100</v>
      </c>
      <c r="AB100" s="2055">
        <v>20</v>
      </c>
      <c r="AC100" s="1714" t="s">
        <v>734</v>
      </c>
      <c r="AD100" s="3135"/>
      <c r="AE100" s="3053"/>
      <c r="AF100" s="3138"/>
      <c r="AG100" s="3131"/>
      <c r="AH100" s="3131"/>
      <c r="AI100" s="3131"/>
      <c r="AJ100" s="3131"/>
      <c r="AK100" s="3131"/>
      <c r="AL100" s="3131"/>
      <c r="AM100" s="3131"/>
      <c r="AN100" s="3131"/>
      <c r="AO100" s="3131"/>
      <c r="AP100" s="3131"/>
      <c r="AQ100" s="3131"/>
      <c r="AR100" s="3131"/>
      <c r="AS100" s="3131"/>
      <c r="AT100" s="3131"/>
      <c r="AU100" s="3131"/>
      <c r="AV100" s="3131"/>
      <c r="AW100" s="3131"/>
      <c r="AX100" s="3131"/>
      <c r="AY100" s="3131"/>
      <c r="AZ100" s="3131"/>
      <c r="BA100" s="3131"/>
      <c r="BB100" s="3131"/>
      <c r="BC100" s="3131"/>
      <c r="BD100" s="3131"/>
      <c r="BE100" s="3131"/>
      <c r="BF100" s="3131"/>
      <c r="BG100" s="3131"/>
      <c r="BH100" s="3131"/>
      <c r="BI100" s="3146"/>
      <c r="BJ100" s="2989"/>
      <c r="BK100" s="3143"/>
      <c r="BL100" s="3143"/>
      <c r="BM100" s="3144"/>
      <c r="BN100" s="2989"/>
      <c r="BO100" s="2664"/>
      <c r="BP100" s="2664"/>
      <c r="BQ100" s="2989"/>
      <c r="BR100" s="2989"/>
      <c r="BS100" s="2989"/>
      <c r="BT100" s="2989"/>
      <c r="BU100" s="2989"/>
    </row>
    <row r="101" spans="1:73" s="2006" customFormat="1" ht="46.5" customHeight="1" x14ac:dyDescent="0.25">
      <c r="A101" s="2920"/>
      <c r="B101" s="2008"/>
      <c r="C101" s="2057"/>
      <c r="D101" s="2072"/>
      <c r="E101" s="3031"/>
      <c r="F101" s="3031"/>
      <c r="G101" s="3033"/>
      <c r="H101" s="3035"/>
      <c r="I101" s="3033"/>
      <c r="J101" s="3035"/>
      <c r="K101" s="3070"/>
      <c r="L101" s="3036"/>
      <c r="M101" s="3007"/>
      <c r="N101" s="3036"/>
      <c r="O101" s="3007"/>
      <c r="P101" s="3007"/>
      <c r="Q101" s="3007"/>
      <c r="R101" s="3036"/>
      <c r="S101" s="3141"/>
      <c r="T101" s="3058"/>
      <c r="U101" s="3036"/>
      <c r="V101" s="2580"/>
      <c r="W101" s="3133"/>
      <c r="X101" s="2009">
        <v>5000000</v>
      </c>
      <c r="Y101" s="2009">
        <v>0</v>
      </c>
      <c r="Z101" s="2009">
        <v>0</v>
      </c>
      <c r="AA101" s="1708" t="s">
        <v>3098</v>
      </c>
      <c r="AB101" s="2073">
        <v>88</v>
      </c>
      <c r="AC101" s="1705" t="s">
        <v>2980</v>
      </c>
      <c r="AD101" s="3136"/>
      <c r="AE101" s="3054"/>
      <c r="AF101" s="3139"/>
      <c r="AG101" s="3132"/>
      <c r="AH101" s="3132"/>
      <c r="AI101" s="3132"/>
      <c r="AJ101" s="3132"/>
      <c r="AK101" s="3132"/>
      <c r="AL101" s="3132"/>
      <c r="AM101" s="3132"/>
      <c r="AN101" s="3132"/>
      <c r="AO101" s="3132"/>
      <c r="AP101" s="3132"/>
      <c r="AQ101" s="3132"/>
      <c r="AR101" s="3132"/>
      <c r="AS101" s="3132"/>
      <c r="AT101" s="3132"/>
      <c r="AU101" s="3132"/>
      <c r="AV101" s="3132"/>
      <c r="AW101" s="3132"/>
      <c r="AX101" s="3132"/>
      <c r="AY101" s="3132"/>
      <c r="AZ101" s="3132"/>
      <c r="BA101" s="3132"/>
      <c r="BB101" s="3132"/>
      <c r="BC101" s="3132"/>
      <c r="BD101" s="3132"/>
      <c r="BE101" s="3132"/>
      <c r="BF101" s="3132"/>
      <c r="BG101" s="3132"/>
      <c r="BH101" s="3132"/>
      <c r="BI101" s="3147"/>
      <c r="BJ101" s="2989"/>
      <c r="BK101" s="3143"/>
      <c r="BL101" s="3143"/>
      <c r="BM101" s="3144"/>
      <c r="BN101" s="2989"/>
      <c r="BO101" s="2664"/>
      <c r="BP101" s="2664"/>
      <c r="BQ101" s="2989"/>
      <c r="BR101" s="2989"/>
      <c r="BS101" s="2989"/>
      <c r="BT101" s="2989"/>
      <c r="BU101" s="2989"/>
    </row>
    <row r="102" spans="1:73" s="2052" customFormat="1" ht="25.5" customHeight="1" x14ac:dyDescent="0.25">
      <c r="A102" s="325"/>
      <c r="B102" s="348"/>
      <c r="C102" s="1211">
        <v>45</v>
      </c>
      <c r="D102" s="3155" t="s">
        <v>72</v>
      </c>
      <c r="E102" s="3156"/>
      <c r="F102" s="2619"/>
      <c r="G102" s="2619"/>
      <c r="H102" s="2619"/>
      <c r="I102" s="2074"/>
      <c r="J102" s="2075"/>
      <c r="K102" s="2074"/>
      <c r="L102" s="1512"/>
      <c r="M102" s="1750"/>
      <c r="N102" s="1512"/>
      <c r="O102" s="2059"/>
      <c r="P102" s="2059"/>
      <c r="Q102" s="2059"/>
      <c r="R102" s="2060"/>
      <c r="S102" s="2061"/>
      <c r="T102" s="2062"/>
      <c r="U102" s="2060"/>
      <c r="V102" s="2060"/>
      <c r="W102" s="2076"/>
      <c r="X102" s="2064"/>
      <c r="Y102" s="2064"/>
      <c r="Z102" s="2064"/>
      <c r="AA102" s="687"/>
      <c r="AB102" s="2077"/>
      <c r="AC102" s="2058"/>
      <c r="AD102" s="2065"/>
      <c r="AE102" s="2065"/>
      <c r="AF102" s="2065"/>
      <c r="AG102" s="2065"/>
      <c r="AH102" s="2078"/>
      <c r="AI102" s="2078"/>
      <c r="AJ102" s="2078"/>
      <c r="AK102" s="2078"/>
      <c r="AL102" s="2078"/>
      <c r="AM102" s="2078"/>
      <c r="AN102" s="2078"/>
      <c r="AO102" s="2078"/>
      <c r="AP102" s="2078"/>
      <c r="AQ102" s="2078"/>
      <c r="AR102" s="2078"/>
      <c r="AS102" s="2078"/>
      <c r="AT102" s="2078"/>
      <c r="AU102" s="2078"/>
      <c r="AV102" s="2078"/>
      <c r="AW102" s="2078"/>
      <c r="AX102" s="2078"/>
      <c r="AY102" s="2078"/>
      <c r="AZ102" s="2078"/>
      <c r="BA102" s="2078"/>
      <c r="BB102" s="2078"/>
      <c r="BC102" s="2078"/>
      <c r="BD102" s="2078"/>
      <c r="BE102" s="2078"/>
      <c r="BF102" s="2078"/>
      <c r="BG102" s="2078"/>
      <c r="BH102" s="2078"/>
      <c r="BI102" s="2078"/>
      <c r="BJ102" s="3157"/>
      <c r="BK102" s="3157"/>
      <c r="BL102" s="3157"/>
      <c r="BM102" s="3157"/>
      <c r="BN102" s="3157"/>
      <c r="BO102" s="3157"/>
      <c r="BP102" s="3157"/>
      <c r="BQ102" s="3157"/>
      <c r="BR102" s="3157"/>
      <c r="BS102" s="3157"/>
      <c r="BT102" s="3157"/>
      <c r="BU102" s="3157"/>
    </row>
    <row r="103" spans="1:73" s="2006" customFormat="1" ht="29.25" customHeight="1" x14ac:dyDescent="0.25">
      <c r="A103" s="2920"/>
      <c r="B103" s="3159"/>
      <c r="C103" s="2079"/>
      <c r="D103" s="2080"/>
      <c r="E103" s="1408">
        <v>4501</v>
      </c>
      <c r="F103" s="3161" t="s">
        <v>3105</v>
      </c>
      <c r="G103" s="3065"/>
      <c r="H103" s="3065"/>
      <c r="I103" s="3065"/>
      <c r="J103" s="3065"/>
      <c r="K103" s="3065"/>
      <c r="L103" s="3065"/>
      <c r="M103" s="3065"/>
      <c r="N103" s="3065"/>
      <c r="O103" s="2021"/>
      <c r="P103" s="2021"/>
      <c r="Q103" s="2021"/>
      <c r="R103" s="2025"/>
      <c r="S103" s="2021"/>
      <c r="T103" s="2068"/>
      <c r="U103" s="2025"/>
      <c r="V103" s="2025"/>
      <c r="W103" s="2028"/>
      <c r="X103" s="2023"/>
      <c r="Y103" s="2023"/>
      <c r="Z103" s="2023"/>
      <c r="AA103" s="2024"/>
      <c r="AB103" s="2022"/>
      <c r="AC103" s="2028"/>
      <c r="AD103" s="2021"/>
      <c r="AE103" s="2021"/>
      <c r="AF103" s="2021"/>
      <c r="AG103" s="2021"/>
      <c r="AH103" s="2021"/>
      <c r="AI103" s="2021"/>
      <c r="AJ103" s="2021"/>
      <c r="AK103" s="2021"/>
      <c r="AL103" s="2021"/>
      <c r="AM103" s="2021"/>
      <c r="AN103" s="2021"/>
      <c r="AO103" s="2021"/>
      <c r="AP103" s="2021"/>
      <c r="AQ103" s="2021"/>
      <c r="AR103" s="2021"/>
      <c r="AS103" s="2021"/>
      <c r="AT103" s="2021"/>
      <c r="AU103" s="2021"/>
      <c r="AV103" s="2021"/>
      <c r="AW103" s="2021"/>
      <c r="AX103" s="2021"/>
      <c r="AY103" s="2021"/>
      <c r="AZ103" s="2021"/>
      <c r="BA103" s="2021"/>
      <c r="BB103" s="2021"/>
      <c r="BC103" s="2021"/>
      <c r="BD103" s="2021"/>
      <c r="BE103" s="2021"/>
      <c r="BF103" s="2021"/>
      <c r="BG103" s="2021"/>
      <c r="BH103" s="2021"/>
      <c r="BI103" s="2021"/>
      <c r="BJ103" s="2991"/>
      <c r="BK103" s="2991"/>
      <c r="BL103" s="2991"/>
      <c r="BM103" s="2991"/>
      <c r="BN103" s="2991"/>
      <c r="BO103" s="2991"/>
      <c r="BP103" s="2991"/>
      <c r="BQ103" s="2991"/>
      <c r="BR103" s="2991"/>
      <c r="BS103" s="2991"/>
      <c r="BT103" s="2991"/>
      <c r="BU103" s="2991"/>
    </row>
    <row r="104" spans="1:73" s="2006" customFormat="1" ht="42" customHeight="1" x14ac:dyDescent="0.25">
      <c r="A104" s="2920"/>
      <c r="B104" s="3159"/>
      <c r="C104" s="2053"/>
      <c r="D104" s="2080"/>
      <c r="E104" s="3162"/>
      <c r="F104" s="3162"/>
      <c r="G104" s="3107" t="s">
        <v>74</v>
      </c>
      <c r="H104" s="3153" t="s">
        <v>3106</v>
      </c>
      <c r="I104" s="3107">
        <v>4501029</v>
      </c>
      <c r="J104" s="3153" t="s">
        <v>3107</v>
      </c>
      <c r="K104" s="3107" t="s">
        <v>74</v>
      </c>
      <c r="L104" s="3150" t="s">
        <v>3108</v>
      </c>
      <c r="M104" s="3107">
        <v>450102900</v>
      </c>
      <c r="N104" s="3154" t="s">
        <v>3109</v>
      </c>
      <c r="O104" s="3148">
        <v>5</v>
      </c>
      <c r="P104" s="3148">
        <v>4</v>
      </c>
      <c r="Q104" s="3149" t="s">
        <v>3110</v>
      </c>
      <c r="R104" s="3150" t="s">
        <v>3111</v>
      </c>
      <c r="S104" s="3151">
        <f>SUM(X104:X122)/T104</f>
        <v>1</v>
      </c>
      <c r="T104" s="3152">
        <f>SUM(X104:X122)</f>
        <v>4387879528.3299999</v>
      </c>
      <c r="U104" s="3150" t="s">
        <v>3112</v>
      </c>
      <c r="V104" s="3150" t="s">
        <v>3113</v>
      </c>
      <c r="W104" s="3173" t="s">
        <v>3114</v>
      </c>
      <c r="X104" s="2009">
        <f>1055182726-771385127</f>
        <v>283797599</v>
      </c>
      <c r="Y104" s="2009">
        <v>0</v>
      </c>
      <c r="Z104" s="2009">
        <v>0</v>
      </c>
      <c r="AA104" s="1708" t="s">
        <v>3115</v>
      </c>
      <c r="AB104" s="263">
        <v>42</v>
      </c>
      <c r="AC104" s="2081" t="s">
        <v>3116</v>
      </c>
      <c r="AD104" s="3115">
        <v>291786</v>
      </c>
      <c r="AE104" s="3115">
        <v>291786</v>
      </c>
      <c r="AF104" s="3115">
        <v>270331</v>
      </c>
      <c r="AG104" s="3115">
        <v>270331</v>
      </c>
      <c r="AH104" s="3115">
        <v>102045</v>
      </c>
      <c r="AI104" s="3115">
        <v>102045</v>
      </c>
      <c r="AJ104" s="3115">
        <v>39183</v>
      </c>
      <c r="AK104" s="3115">
        <v>39183</v>
      </c>
      <c r="AL104" s="3115">
        <v>310195</v>
      </c>
      <c r="AM104" s="3115">
        <v>310195</v>
      </c>
      <c r="AN104" s="3115">
        <v>110694</v>
      </c>
      <c r="AO104" s="3115">
        <v>110694</v>
      </c>
      <c r="AP104" s="3169">
        <v>2145</v>
      </c>
      <c r="AQ104" s="3115"/>
      <c r="AR104" s="3169">
        <v>12718</v>
      </c>
      <c r="AS104" s="3163"/>
      <c r="AT104" s="3182">
        <v>26</v>
      </c>
      <c r="AU104" s="3163"/>
      <c r="AV104" s="3166">
        <v>37</v>
      </c>
      <c r="AW104" s="3163"/>
      <c r="AX104" s="3166">
        <v>0</v>
      </c>
      <c r="AY104" s="3163"/>
      <c r="AZ104" s="3166">
        <v>0</v>
      </c>
      <c r="BA104" s="3163"/>
      <c r="BB104" s="3166">
        <v>44350</v>
      </c>
      <c r="BC104" s="3166"/>
      <c r="BD104" s="3166">
        <v>21944</v>
      </c>
      <c r="BE104" s="3166"/>
      <c r="BF104" s="3166">
        <v>75687</v>
      </c>
      <c r="BG104" s="3166"/>
      <c r="BH104" s="3166">
        <f>AD104+AF104</f>
        <v>562117</v>
      </c>
      <c r="BI104" s="3166">
        <f>AI104+AK104+AM104+AO104+AQ104</f>
        <v>562117</v>
      </c>
      <c r="BJ104" s="2987">
        <v>1</v>
      </c>
      <c r="BK104" s="2958">
        <f>SUM(Y104:Y122)</f>
        <v>526978582.32999998</v>
      </c>
      <c r="BL104" s="2958">
        <f>SUM(Z104:Z122)</f>
        <v>42540000</v>
      </c>
      <c r="BM104" s="2961">
        <f>+BL104/BK104</f>
        <v>8.0724343315647248E-2</v>
      </c>
      <c r="BN104" s="2963">
        <v>42</v>
      </c>
      <c r="BO104" s="2963" t="s">
        <v>3117</v>
      </c>
      <c r="BP104" s="2987" t="s">
        <v>2977</v>
      </c>
      <c r="BQ104" s="3172">
        <v>44198</v>
      </c>
      <c r="BR104" s="3172">
        <v>44249</v>
      </c>
      <c r="BS104" s="3172">
        <v>44560</v>
      </c>
      <c r="BT104" s="3172">
        <v>44491</v>
      </c>
      <c r="BU104" s="2987" t="s">
        <v>2978</v>
      </c>
    </row>
    <row r="105" spans="1:73" s="2006" customFormat="1" ht="42" customHeight="1" x14ac:dyDescent="0.25">
      <c r="A105" s="2920"/>
      <c r="B105" s="3159"/>
      <c r="C105" s="2053"/>
      <c r="D105" s="2080"/>
      <c r="E105" s="3162"/>
      <c r="F105" s="3162"/>
      <c r="G105" s="3107"/>
      <c r="H105" s="3153"/>
      <c r="I105" s="3107"/>
      <c r="J105" s="3153"/>
      <c r="K105" s="3107"/>
      <c r="L105" s="3150"/>
      <c r="M105" s="3107"/>
      <c r="N105" s="3154"/>
      <c r="O105" s="3148"/>
      <c r="P105" s="3148"/>
      <c r="Q105" s="3149"/>
      <c r="R105" s="3150"/>
      <c r="S105" s="3151"/>
      <c r="T105" s="3152"/>
      <c r="U105" s="3150"/>
      <c r="V105" s="3150"/>
      <c r="W105" s="3174"/>
      <c r="X105" s="2009">
        <v>1234817274</v>
      </c>
      <c r="Y105" s="2009">
        <v>0</v>
      </c>
      <c r="Z105" s="2009">
        <v>0</v>
      </c>
      <c r="AA105" s="1708" t="s">
        <v>3118</v>
      </c>
      <c r="AB105" s="263">
        <v>92</v>
      </c>
      <c r="AC105" s="2081" t="s">
        <v>3119</v>
      </c>
      <c r="AD105" s="3116"/>
      <c r="AE105" s="3116"/>
      <c r="AF105" s="3116"/>
      <c r="AG105" s="3116"/>
      <c r="AH105" s="3116"/>
      <c r="AI105" s="3116"/>
      <c r="AJ105" s="3116"/>
      <c r="AK105" s="3116"/>
      <c r="AL105" s="3116"/>
      <c r="AM105" s="3116"/>
      <c r="AN105" s="3116"/>
      <c r="AO105" s="3116"/>
      <c r="AP105" s="3170"/>
      <c r="AQ105" s="3116"/>
      <c r="AR105" s="3170"/>
      <c r="AS105" s="3164"/>
      <c r="AT105" s="3183"/>
      <c r="AU105" s="3164"/>
      <c r="AV105" s="3167"/>
      <c r="AW105" s="3164"/>
      <c r="AX105" s="3167"/>
      <c r="AY105" s="3164"/>
      <c r="AZ105" s="3167"/>
      <c r="BA105" s="3164"/>
      <c r="BB105" s="3167"/>
      <c r="BC105" s="3167"/>
      <c r="BD105" s="3167"/>
      <c r="BE105" s="3167"/>
      <c r="BF105" s="3167"/>
      <c r="BG105" s="3167"/>
      <c r="BH105" s="3167"/>
      <c r="BI105" s="3167"/>
      <c r="BJ105" s="2987"/>
      <c r="BK105" s="2959"/>
      <c r="BL105" s="2959"/>
      <c r="BM105" s="2962"/>
      <c r="BN105" s="2964"/>
      <c r="BO105" s="2964"/>
      <c r="BP105" s="2987"/>
      <c r="BQ105" s="3172"/>
      <c r="BR105" s="3172"/>
      <c r="BS105" s="3172"/>
      <c r="BT105" s="3172"/>
      <c r="BU105" s="2987"/>
    </row>
    <row r="106" spans="1:73" s="2006" customFormat="1" ht="36.75" customHeight="1" x14ac:dyDescent="0.25">
      <c r="A106" s="2920"/>
      <c r="B106" s="3159"/>
      <c r="C106" s="2053"/>
      <c r="D106" s="2080"/>
      <c r="E106" s="3162"/>
      <c r="F106" s="3162"/>
      <c r="G106" s="3107"/>
      <c r="H106" s="3153"/>
      <c r="I106" s="3107"/>
      <c r="J106" s="3153"/>
      <c r="K106" s="3107"/>
      <c r="L106" s="3150"/>
      <c r="M106" s="3107"/>
      <c r="N106" s="3154"/>
      <c r="O106" s="3148"/>
      <c r="P106" s="3148"/>
      <c r="Q106" s="3149"/>
      <c r="R106" s="3150"/>
      <c r="S106" s="3151"/>
      <c r="T106" s="3152"/>
      <c r="U106" s="3150"/>
      <c r="V106" s="3150"/>
      <c r="W106" s="2082" t="s">
        <v>3120</v>
      </c>
      <c r="X106" s="2009">
        <v>100000000</v>
      </c>
      <c r="Y106" s="2009">
        <v>0</v>
      </c>
      <c r="Z106" s="2009">
        <v>0</v>
      </c>
      <c r="AA106" s="1708" t="s">
        <v>3121</v>
      </c>
      <c r="AB106" s="263">
        <v>42</v>
      </c>
      <c r="AC106" s="2081" t="s">
        <v>3116</v>
      </c>
      <c r="AD106" s="3116"/>
      <c r="AE106" s="3116"/>
      <c r="AF106" s="3116"/>
      <c r="AG106" s="3116"/>
      <c r="AH106" s="3116"/>
      <c r="AI106" s="3116"/>
      <c r="AJ106" s="3116"/>
      <c r="AK106" s="3116"/>
      <c r="AL106" s="3116"/>
      <c r="AM106" s="3116"/>
      <c r="AN106" s="3116"/>
      <c r="AO106" s="3116"/>
      <c r="AP106" s="3170"/>
      <c r="AQ106" s="3116"/>
      <c r="AR106" s="3170"/>
      <c r="AS106" s="3164"/>
      <c r="AT106" s="3183"/>
      <c r="AU106" s="3164"/>
      <c r="AV106" s="3167"/>
      <c r="AW106" s="3164"/>
      <c r="AX106" s="3167"/>
      <c r="AY106" s="3164"/>
      <c r="AZ106" s="3167"/>
      <c r="BA106" s="3164"/>
      <c r="BB106" s="3167"/>
      <c r="BC106" s="3167"/>
      <c r="BD106" s="3167"/>
      <c r="BE106" s="3167"/>
      <c r="BF106" s="3167"/>
      <c r="BG106" s="3167"/>
      <c r="BH106" s="3167"/>
      <c r="BI106" s="3167"/>
      <c r="BJ106" s="2987"/>
      <c r="BK106" s="2959"/>
      <c r="BL106" s="2959"/>
      <c r="BM106" s="2962"/>
      <c r="BN106" s="2964"/>
      <c r="BO106" s="2964"/>
      <c r="BP106" s="2987"/>
      <c r="BQ106" s="3172"/>
      <c r="BR106" s="3172"/>
      <c r="BS106" s="3172"/>
      <c r="BT106" s="3172"/>
      <c r="BU106" s="2987"/>
    </row>
    <row r="107" spans="1:73" s="2006" customFormat="1" ht="51" customHeight="1" x14ac:dyDescent="0.25">
      <c r="A107" s="2920"/>
      <c r="B107" s="3159"/>
      <c r="C107" s="2053"/>
      <c r="D107" s="2080"/>
      <c r="E107" s="3162"/>
      <c r="F107" s="3162"/>
      <c r="G107" s="3107"/>
      <c r="H107" s="3153"/>
      <c r="I107" s="3107"/>
      <c r="J107" s="3153"/>
      <c r="K107" s="3107"/>
      <c r="L107" s="3150"/>
      <c r="M107" s="3107"/>
      <c r="N107" s="3154"/>
      <c r="O107" s="3148"/>
      <c r="P107" s="3148"/>
      <c r="Q107" s="3149"/>
      <c r="R107" s="3150"/>
      <c r="S107" s="3151"/>
      <c r="T107" s="3152"/>
      <c r="U107" s="3150"/>
      <c r="V107" s="3150"/>
      <c r="W107" s="3173" t="s">
        <v>3122</v>
      </c>
      <c r="X107" s="2009">
        <f>121000000+771385127</f>
        <v>892385127</v>
      </c>
      <c r="Y107" s="2009">
        <v>120021572</v>
      </c>
      <c r="Z107" s="2009">
        <v>11540000</v>
      </c>
      <c r="AA107" s="1708" t="s">
        <v>3123</v>
      </c>
      <c r="AB107" s="263">
        <v>42</v>
      </c>
      <c r="AC107" s="2081" t="s">
        <v>3116</v>
      </c>
      <c r="AD107" s="3116"/>
      <c r="AE107" s="3116"/>
      <c r="AF107" s="3116"/>
      <c r="AG107" s="3116"/>
      <c r="AH107" s="3116"/>
      <c r="AI107" s="3116"/>
      <c r="AJ107" s="3116"/>
      <c r="AK107" s="3116"/>
      <c r="AL107" s="3116"/>
      <c r="AM107" s="3116"/>
      <c r="AN107" s="3116"/>
      <c r="AO107" s="3116"/>
      <c r="AP107" s="3170"/>
      <c r="AQ107" s="3116"/>
      <c r="AR107" s="3170"/>
      <c r="AS107" s="3164"/>
      <c r="AT107" s="3183"/>
      <c r="AU107" s="3164"/>
      <c r="AV107" s="3167"/>
      <c r="AW107" s="3164"/>
      <c r="AX107" s="3167"/>
      <c r="AY107" s="3164"/>
      <c r="AZ107" s="3167"/>
      <c r="BA107" s="3164"/>
      <c r="BB107" s="3167"/>
      <c r="BC107" s="3167"/>
      <c r="BD107" s="3167"/>
      <c r="BE107" s="3167"/>
      <c r="BF107" s="3167"/>
      <c r="BG107" s="3167"/>
      <c r="BH107" s="3167"/>
      <c r="BI107" s="3167"/>
      <c r="BJ107" s="2987"/>
      <c r="BK107" s="2959"/>
      <c r="BL107" s="2959"/>
      <c r="BM107" s="2962"/>
      <c r="BN107" s="2964"/>
      <c r="BO107" s="2964"/>
      <c r="BP107" s="2987"/>
      <c r="BQ107" s="3172"/>
      <c r="BR107" s="3172"/>
      <c r="BS107" s="3172"/>
      <c r="BT107" s="3172"/>
      <c r="BU107" s="2987"/>
    </row>
    <row r="108" spans="1:73" s="2006" customFormat="1" ht="51" customHeight="1" x14ac:dyDescent="0.25">
      <c r="A108" s="2920"/>
      <c r="B108" s="3159"/>
      <c r="C108" s="2053"/>
      <c r="D108" s="2080"/>
      <c r="E108" s="3162"/>
      <c r="F108" s="3162"/>
      <c r="G108" s="3107"/>
      <c r="H108" s="3153"/>
      <c r="I108" s="3107"/>
      <c r="J108" s="3153"/>
      <c r="K108" s="3107"/>
      <c r="L108" s="3150"/>
      <c r="M108" s="3107"/>
      <c r="N108" s="3154"/>
      <c r="O108" s="3148"/>
      <c r="P108" s="3148"/>
      <c r="Q108" s="3149"/>
      <c r="R108" s="3150"/>
      <c r="S108" s="3151"/>
      <c r="T108" s="3152"/>
      <c r="U108" s="3150"/>
      <c r="V108" s="3150"/>
      <c r="W108" s="3174"/>
      <c r="X108" s="2009">
        <v>315614874</v>
      </c>
      <c r="Y108" s="2009">
        <v>0</v>
      </c>
      <c r="Z108" s="2009">
        <v>0</v>
      </c>
      <c r="AA108" s="1708" t="s">
        <v>3124</v>
      </c>
      <c r="AB108" s="263">
        <v>92</v>
      </c>
      <c r="AC108" s="2081" t="s">
        <v>3119</v>
      </c>
      <c r="AD108" s="3116"/>
      <c r="AE108" s="3116"/>
      <c r="AF108" s="3116"/>
      <c r="AG108" s="3116"/>
      <c r="AH108" s="3116"/>
      <c r="AI108" s="3116"/>
      <c r="AJ108" s="3116"/>
      <c r="AK108" s="3116"/>
      <c r="AL108" s="3116"/>
      <c r="AM108" s="3116"/>
      <c r="AN108" s="3116"/>
      <c r="AO108" s="3116"/>
      <c r="AP108" s="3170"/>
      <c r="AQ108" s="3116"/>
      <c r="AR108" s="3170"/>
      <c r="AS108" s="3164"/>
      <c r="AT108" s="3183"/>
      <c r="AU108" s="3164"/>
      <c r="AV108" s="3167"/>
      <c r="AW108" s="3164"/>
      <c r="AX108" s="3167"/>
      <c r="AY108" s="3164"/>
      <c r="AZ108" s="3167"/>
      <c r="BA108" s="3164"/>
      <c r="BB108" s="3167"/>
      <c r="BC108" s="3167"/>
      <c r="BD108" s="3167"/>
      <c r="BE108" s="3167"/>
      <c r="BF108" s="3167"/>
      <c r="BG108" s="3167"/>
      <c r="BH108" s="3167"/>
      <c r="BI108" s="3167"/>
      <c r="BJ108" s="2987"/>
      <c r="BK108" s="2959"/>
      <c r="BL108" s="2959"/>
      <c r="BM108" s="2962"/>
      <c r="BN108" s="2964"/>
      <c r="BO108" s="2964"/>
      <c r="BP108" s="2987"/>
      <c r="BQ108" s="3172"/>
      <c r="BR108" s="3172"/>
      <c r="BS108" s="3172"/>
      <c r="BT108" s="3172"/>
      <c r="BU108" s="2987"/>
    </row>
    <row r="109" spans="1:73" s="2006" customFormat="1" ht="30.75" customHeight="1" x14ac:dyDescent="0.25">
      <c r="A109" s="2920"/>
      <c r="B109" s="3159"/>
      <c r="C109" s="2053"/>
      <c r="D109" s="2080"/>
      <c r="E109" s="3162"/>
      <c r="F109" s="3162"/>
      <c r="G109" s="3107"/>
      <c r="H109" s="3153"/>
      <c r="I109" s="3107"/>
      <c r="J109" s="3153"/>
      <c r="K109" s="3107"/>
      <c r="L109" s="3150"/>
      <c r="M109" s="3107"/>
      <c r="N109" s="3154"/>
      <c r="O109" s="3148"/>
      <c r="P109" s="3148"/>
      <c r="Q109" s="3149"/>
      <c r="R109" s="3150"/>
      <c r="S109" s="3151"/>
      <c r="T109" s="3152"/>
      <c r="U109" s="3150"/>
      <c r="V109" s="3150"/>
      <c r="W109" s="3175" t="s">
        <v>3125</v>
      </c>
      <c r="X109" s="2009">
        <v>22000000</v>
      </c>
      <c r="Y109" s="2009">
        <v>0</v>
      </c>
      <c r="Z109" s="2009">
        <v>0</v>
      </c>
      <c r="AA109" s="1708" t="s">
        <v>3115</v>
      </c>
      <c r="AB109" s="263">
        <v>42</v>
      </c>
      <c r="AC109" s="2081" t="s">
        <v>3116</v>
      </c>
      <c r="AD109" s="3116"/>
      <c r="AE109" s="3116"/>
      <c r="AF109" s="3116"/>
      <c r="AG109" s="3116"/>
      <c r="AH109" s="3116"/>
      <c r="AI109" s="3116"/>
      <c r="AJ109" s="3116"/>
      <c r="AK109" s="3116"/>
      <c r="AL109" s="3116"/>
      <c r="AM109" s="3116"/>
      <c r="AN109" s="3116"/>
      <c r="AO109" s="3116"/>
      <c r="AP109" s="3170"/>
      <c r="AQ109" s="3116"/>
      <c r="AR109" s="3170"/>
      <c r="AS109" s="3164"/>
      <c r="AT109" s="3183"/>
      <c r="AU109" s="3164"/>
      <c r="AV109" s="3167"/>
      <c r="AW109" s="3164"/>
      <c r="AX109" s="3167"/>
      <c r="AY109" s="3164"/>
      <c r="AZ109" s="3167"/>
      <c r="BA109" s="3164"/>
      <c r="BB109" s="3167"/>
      <c r="BC109" s="3167"/>
      <c r="BD109" s="3167"/>
      <c r="BE109" s="3167"/>
      <c r="BF109" s="3167"/>
      <c r="BG109" s="3167"/>
      <c r="BH109" s="3167"/>
      <c r="BI109" s="3167"/>
      <c r="BJ109" s="2987"/>
      <c r="BK109" s="2959"/>
      <c r="BL109" s="2959"/>
      <c r="BM109" s="2962"/>
      <c r="BN109" s="2964"/>
      <c r="BO109" s="2964"/>
      <c r="BP109" s="2987"/>
      <c r="BQ109" s="3172"/>
      <c r="BR109" s="3172"/>
      <c r="BS109" s="3172"/>
      <c r="BT109" s="3172"/>
      <c r="BU109" s="2987"/>
    </row>
    <row r="110" spans="1:73" s="2006" customFormat="1" ht="38.25" customHeight="1" x14ac:dyDescent="0.25">
      <c r="A110" s="2920"/>
      <c r="B110" s="3159"/>
      <c r="C110" s="2053"/>
      <c r="D110" s="2080"/>
      <c r="E110" s="3162"/>
      <c r="F110" s="3162"/>
      <c r="G110" s="3107"/>
      <c r="H110" s="3153"/>
      <c r="I110" s="3107"/>
      <c r="J110" s="3153"/>
      <c r="K110" s="3107"/>
      <c r="L110" s="3150"/>
      <c r="M110" s="3107"/>
      <c r="N110" s="3154"/>
      <c r="O110" s="3148"/>
      <c r="P110" s="3148"/>
      <c r="Q110" s="3149"/>
      <c r="R110" s="3150"/>
      <c r="S110" s="3151"/>
      <c r="T110" s="3152"/>
      <c r="U110" s="3150"/>
      <c r="V110" s="3150"/>
      <c r="W110" s="3176"/>
      <c r="X110" s="2009">
        <f>8000000-1000000</f>
        <v>7000000</v>
      </c>
      <c r="Y110" s="2009">
        <v>7000000</v>
      </c>
      <c r="Z110" s="2009">
        <v>0</v>
      </c>
      <c r="AA110" s="1708" t="s">
        <v>3126</v>
      </c>
      <c r="AB110" s="263">
        <v>42</v>
      </c>
      <c r="AC110" s="2081" t="s">
        <v>3116</v>
      </c>
      <c r="AD110" s="3116"/>
      <c r="AE110" s="3116"/>
      <c r="AF110" s="3116"/>
      <c r="AG110" s="3116"/>
      <c r="AH110" s="3116"/>
      <c r="AI110" s="3116"/>
      <c r="AJ110" s="3116"/>
      <c r="AK110" s="3116"/>
      <c r="AL110" s="3116"/>
      <c r="AM110" s="3116"/>
      <c r="AN110" s="3116"/>
      <c r="AO110" s="3116"/>
      <c r="AP110" s="3170"/>
      <c r="AQ110" s="3116"/>
      <c r="AR110" s="3170"/>
      <c r="AS110" s="3164"/>
      <c r="AT110" s="3183"/>
      <c r="AU110" s="3164"/>
      <c r="AV110" s="3167"/>
      <c r="AW110" s="3164"/>
      <c r="AX110" s="3167"/>
      <c r="AY110" s="3164"/>
      <c r="AZ110" s="3167"/>
      <c r="BA110" s="3164"/>
      <c r="BB110" s="3167"/>
      <c r="BC110" s="3167"/>
      <c r="BD110" s="3167"/>
      <c r="BE110" s="3167"/>
      <c r="BF110" s="3167"/>
      <c r="BG110" s="3167"/>
      <c r="BH110" s="3167"/>
      <c r="BI110" s="3167"/>
      <c r="BJ110" s="2987"/>
      <c r="BK110" s="2959"/>
      <c r="BL110" s="2959"/>
      <c r="BM110" s="2962"/>
      <c r="BN110" s="2964"/>
      <c r="BO110" s="2964"/>
      <c r="BP110" s="2987"/>
      <c r="BQ110" s="3172"/>
      <c r="BR110" s="3172"/>
      <c r="BS110" s="3172"/>
      <c r="BT110" s="3172"/>
      <c r="BU110" s="2987"/>
    </row>
    <row r="111" spans="1:73" s="2006" customFormat="1" ht="64.5" customHeight="1" x14ac:dyDescent="0.25">
      <c r="A111" s="2920"/>
      <c r="B111" s="3159"/>
      <c r="C111" s="2053"/>
      <c r="D111" s="2080"/>
      <c r="E111" s="3162"/>
      <c r="F111" s="3162"/>
      <c r="G111" s="3107"/>
      <c r="H111" s="3153"/>
      <c r="I111" s="3107"/>
      <c r="J111" s="3153"/>
      <c r="K111" s="3107"/>
      <c r="L111" s="3150"/>
      <c r="M111" s="3107"/>
      <c r="N111" s="3154"/>
      <c r="O111" s="3148"/>
      <c r="P111" s="3148"/>
      <c r="Q111" s="3149"/>
      <c r="R111" s="3150"/>
      <c r="S111" s="3151"/>
      <c r="T111" s="3152"/>
      <c r="U111" s="3150"/>
      <c r="V111" s="3150"/>
      <c r="W111" s="2082" t="s">
        <v>3127</v>
      </c>
      <c r="X111" s="2009">
        <v>50000000</v>
      </c>
      <c r="Y111" s="2009">
        <v>34000000</v>
      </c>
      <c r="Z111" s="2009">
        <v>0</v>
      </c>
      <c r="AA111" s="1708" t="s">
        <v>3126</v>
      </c>
      <c r="AB111" s="263">
        <v>42</v>
      </c>
      <c r="AC111" s="2081" t="s">
        <v>3116</v>
      </c>
      <c r="AD111" s="3116"/>
      <c r="AE111" s="3116"/>
      <c r="AF111" s="3116"/>
      <c r="AG111" s="3116"/>
      <c r="AH111" s="3116"/>
      <c r="AI111" s="3116"/>
      <c r="AJ111" s="3116"/>
      <c r="AK111" s="3116"/>
      <c r="AL111" s="3116"/>
      <c r="AM111" s="3116"/>
      <c r="AN111" s="3116"/>
      <c r="AO111" s="3116"/>
      <c r="AP111" s="3170"/>
      <c r="AQ111" s="3116"/>
      <c r="AR111" s="3170"/>
      <c r="AS111" s="3164"/>
      <c r="AT111" s="3183"/>
      <c r="AU111" s="3164"/>
      <c r="AV111" s="3167"/>
      <c r="AW111" s="3164"/>
      <c r="AX111" s="3167"/>
      <c r="AY111" s="3164"/>
      <c r="AZ111" s="3167"/>
      <c r="BA111" s="3164"/>
      <c r="BB111" s="3167"/>
      <c r="BC111" s="3167"/>
      <c r="BD111" s="3167"/>
      <c r="BE111" s="3167"/>
      <c r="BF111" s="3167"/>
      <c r="BG111" s="3167"/>
      <c r="BH111" s="3167"/>
      <c r="BI111" s="3167"/>
      <c r="BJ111" s="2987"/>
      <c r="BK111" s="2959"/>
      <c r="BL111" s="2959"/>
      <c r="BM111" s="2962"/>
      <c r="BN111" s="2964"/>
      <c r="BO111" s="2964"/>
      <c r="BP111" s="2987"/>
      <c r="BQ111" s="3172"/>
      <c r="BR111" s="3172"/>
      <c r="BS111" s="3172"/>
      <c r="BT111" s="3172"/>
      <c r="BU111" s="2987"/>
    </row>
    <row r="112" spans="1:73" s="2006" customFormat="1" ht="42" customHeight="1" x14ac:dyDescent="0.25">
      <c r="A112" s="2920"/>
      <c r="B112" s="3159"/>
      <c r="C112" s="2053"/>
      <c r="D112" s="2080"/>
      <c r="E112" s="3162"/>
      <c r="F112" s="3162"/>
      <c r="G112" s="3107"/>
      <c r="H112" s="3153"/>
      <c r="I112" s="3107"/>
      <c r="J112" s="3153"/>
      <c r="K112" s="3107"/>
      <c r="L112" s="3150"/>
      <c r="M112" s="3107"/>
      <c r="N112" s="3154"/>
      <c r="O112" s="3148"/>
      <c r="P112" s="3148"/>
      <c r="Q112" s="3149"/>
      <c r="R112" s="3150"/>
      <c r="S112" s="3151"/>
      <c r="T112" s="3152"/>
      <c r="U112" s="3150"/>
      <c r="V112" s="3150"/>
      <c r="W112" s="2082" t="s">
        <v>3128</v>
      </c>
      <c r="X112" s="2009">
        <f>40000000-458751+25000000</f>
        <v>64541249</v>
      </c>
      <c r="Y112" s="2009">
        <v>31000000</v>
      </c>
      <c r="Z112" s="2009">
        <v>31000000</v>
      </c>
      <c r="AA112" s="1708" t="s">
        <v>3126</v>
      </c>
      <c r="AB112" s="263">
        <v>42</v>
      </c>
      <c r="AC112" s="2081" t="s">
        <v>3116</v>
      </c>
      <c r="AD112" s="3116"/>
      <c r="AE112" s="3116"/>
      <c r="AF112" s="3116"/>
      <c r="AG112" s="3116"/>
      <c r="AH112" s="3116"/>
      <c r="AI112" s="3116"/>
      <c r="AJ112" s="3116"/>
      <c r="AK112" s="3116"/>
      <c r="AL112" s="3116"/>
      <c r="AM112" s="3116"/>
      <c r="AN112" s="3116"/>
      <c r="AO112" s="3116"/>
      <c r="AP112" s="3170"/>
      <c r="AQ112" s="3116"/>
      <c r="AR112" s="3170"/>
      <c r="AS112" s="3164"/>
      <c r="AT112" s="3183"/>
      <c r="AU112" s="3164"/>
      <c r="AV112" s="3167"/>
      <c r="AW112" s="3164"/>
      <c r="AX112" s="3167"/>
      <c r="AY112" s="3164"/>
      <c r="AZ112" s="3167"/>
      <c r="BA112" s="3164"/>
      <c r="BB112" s="3167"/>
      <c r="BC112" s="3167"/>
      <c r="BD112" s="3167"/>
      <c r="BE112" s="3167"/>
      <c r="BF112" s="3167"/>
      <c r="BG112" s="3167"/>
      <c r="BH112" s="3167"/>
      <c r="BI112" s="3167"/>
      <c r="BJ112" s="2987"/>
      <c r="BK112" s="2959"/>
      <c r="BL112" s="2959"/>
      <c r="BM112" s="2962"/>
      <c r="BN112" s="2964"/>
      <c r="BO112" s="2964"/>
      <c r="BP112" s="2987"/>
      <c r="BQ112" s="3172"/>
      <c r="BR112" s="3172"/>
      <c r="BS112" s="3172"/>
      <c r="BT112" s="3172"/>
      <c r="BU112" s="2987"/>
    </row>
    <row r="113" spans="1:73" s="2006" customFormat="1" ht="42.75" customHeight="1" x14ac:dyDescent="0.25">
      <c r="A113" s="2920"/>
      <c r="B113" s="3159"/>
      <c r="C113" s="2053"/>
      <c r="D113" s="2080"/>
      <c r="E113" s="3162"/>
      <c r="F113" s="3162"/>
      <c r="G113" s="3107"/>
      <c r="H113" s="3153"/>
      <c r="I113" s="3107"/>
      <c r="J113" s="3153"/>
      <c r="K113" s="3107"/>
      <c r="L113" s="3150"/>
      <c r="M113" s="3107"/>
      <c r="N113" s="3154"/>
      <c r="O113" s="3148"/>
      <c r="P113" s="3148"/>
      <c r="Q113" s="3149"/>
      <c r="R113" s="3150"/>
      <c r="S113" s="3151"/>
      <c r="T113" s="3152"/>
      <c r="U113" s="3150"/>
      <c r="V113" s="3150"/>
      <c r="W113" s="3175" t="s">
        <v>3129</v>
      </c>
      <c r="X113" s="2009">
        <f>50000000-25000000-25000000</f>
        <v>0</v>
      </c>
      <c r="Y113" s="2009">
        <v>0</v>
      </c>
      <c r="Z113" s="2009">
        <v>0</v>
      </c>
      <c r="AA113" s="1708" t="s">
        <v>3130</v>
      </c>
      <c r="AB113" s="3177">
        <v>42</v>
      </c>
      <c r="AC113" s="3071" t="s">
        <v>3116</v>
      </c>
      <c r="AD113" s="3116"/>
      <c r="AE113" s="3116"/>
      <c r="AF113" s="3116"/>
      <c r="AG113" s="3116"/>
      <c r="AH113" s="3116"/>
      <c r="AI113" s="3116"/>
      <c r="AJ113" s="3116"/>
      <c r="AK113" s="3116"/>
      <c r="AL113" s="3116"/>
      <c r="AM113" s="3116"/>
      <c r="AN113" s="3116"/>
      <c r="AO113" s="3116"/>
      <c r="AP113" s="3170"/>
      <c r="AQ113" s="3116"/>
      <c r="AR113" s="3170"/>
      <c r="AS113" s="3164"/>
      <c r="AT113" s="3183"/>
      <c r="AU113" s="3164"/>
      <c r="AV113" s="3167"/>
      <c r="AW113" s="3164"/>
      <c r="AX113" s="3167"/>
      <c r="AY113" s="3164"/>
      <c r="AZ113" s="3167"/>
      <c r="BA113" s="3164"/>
      <c r="BB113" s="3167"/>
      <c r="BC113" s="3167"/>
      <c r="BD113" s="3167"/>
      <c r="BE113" s="3167"/>
      <c r="BF113" s="3167"/>
      <c r="BG113" s="3167"/>
      <c r="BH113" s="3167"/>
      <c r="BI113" s="3167"/>
      <c r="BJ113" s="2987"/>
      <c r="BK113" s="2959"/>
      <c r="BL113" s="2959"/>
      <c r="BM113" s="2962"/>
      <c r="BN113" s="2964"/>
      <c r="BO113" s="2964"/>
      <c r="BP113" s="2987"/>
      <c r="BQ113" s="3172"/>
      <c r="BR113" s="3172"/>
      <c r="BS113" s="3172"/>
      <c r="BT113" s="3172"/>
      <c r="BU113" s="2987"/>
    </row>
    <row r="114" spans="1:73" s="2006" customFormat="1" ht="38.25" customHeight="1" x14ac:dyDescent="0.25">
      <c r="A114" s="2920"/>
      <c r="B114" s="3159"/>
      <c r="C114" s="2053"/>
      <c r="D114" s="2080"/>
      <c r="E114" s="3162"/>
      <c r="F114" s="3162"/>
      <c r="G114" s="3107"/>
      <c r="H114" s="3153"/>
      <c r="I114" s="3107"/>
      <c r="J114" s="3153"/>
      <c r="K114" s="3107"/>
      <c r="L114" s="3150"/>
      <c r="M114" s="3107"/>
      <c r="N114" s="3154"/>
      <c r="O114" s="3148"/>
      <c r="P114" s="3148"/>
      <c r="Q114" s="3149"/>
      <c r="R114" s="3150"/>
      <c r="S114" s="3151"/>
      <c r="T114" s="3152"/>
      <c r="U114" s="3150"/>
      <c r="V114" s="3150"/>
      <c r="W114" s="3176"/>
      <c r="X114" s="2009">
        <v>48000000</v>
      </c>
      <c r="Y114" s="2009">
        <v>48000000</v>
      </c>
      <c r="Z114" s="2009">
        <v>0</v>
      </c>
      <c r="AA114" s="1708" t="s">
        <v>3123</v>
      </c>
      <c r="AB114" s="3178"/>
      <c r="AC114" s="3179"/>
      <c r="AD114" s="3116"/>
      <c r="AE114" s="3116"/>
      <c r="AF114" s="3116"/>
      <c r="AG114" s="3116"/>
      <c r="AH114" s="3116"/>
      <c r="AI114" s="3116"/>
      <c r="AJ114" s="3116"/>
      <c r="AK114" s="3116"/>
      <c r="AL114" s="3116"/>
      <c r="AM114" s="3116"/>
      <c r="AN114" s="3116"/>
      <c r="AO114" s="3116"/>
      <c r="AP114" s="3170"/>
      <c r="AQ114" s="3116"/>
      <c r="AR114" s="3170"/>
      <c r="AS114" s="3164"/>
      <c r="AT114" s="3183"/>
      <c r="AU114" s="3164"/>
      <c r="AV114" s="3167"/>
      <c r="AW114" s="3164"/>
      <c r="AX114" s="3167"/>
      <c r="AY114" s="3164"/>
      <c r="AZ114" s="3167"/>
      <c r="BA114" s="3164"/>
      <c r="BB114" s="3167"/>
      <c r="BC114" s="3167"/>
      <c r="BD114" s="3167"/>
      <c r="BE114" s="3167"/>
      <c r="BF114" s="3167"/>
      <c r="BG114" s="3167"/>
      <c r="BH114" s="3167"/>
      <c r="BI114" s="3167"/>
      <c r="BJ114" s="2987"/>
      <c r="BK114" s="2959"/>
      <c r="BL114" s="2959"/>
      <c r="BM114" s="2962"/>
      <c r="BN114" s="2964"/>
      <c r="BO114" s="2964"/>
      <c r="BP114" s="2987"/>
      <c r="BQ114" s="3172"/>
      <c r="BR114" s="3172"/>
      <c r="BS114" s="3172"/>
      <c r="BT114" s="3172"/>
      <c r="BU114" s="2987"/>
    </row>
    <row r="115" spans="1:73" s="2006" customFormat="1" ht="38.25" customHeight="1" x14ac:dyDescent="0.25">
      <c r="A115" s="2920"/>
      <c r="B115" s="3159"/>
      <c r="C115" s="2053"/>
      <c r="D115" s="2080"/>
      <c r="E115" s="3162"/>
      <c r="F115" s="3162"/>
      <c r="G115" s="3107"/>
      <c r="H115" s="3153"/>
      <c r="I115" s="3107"/>
      <c r="J115" s="3153"/>
      <c r="K115" s="3107"/>
      <c r="L115" s="3150"/>
      <c r="M115" s="3107"/>
      <c r="N115" s="3154"/>
      <c r="O115" s="3148"/>
      <c r="P115" s="3148"/>
      <c r="Q115" s="3149"/>
      <c r="R115" s="3150"/>
      <c r="S115" s="3151"/>
      <c r="T115" s="3152"/>
      <c r="U115" s="3150"/>
      <c r="V115" s="3150"/>
      <c r="W115" s="2083" t="s">
        <v>3131</v>
      </c>
      <c r="X115" s="2009">
        <v>25000000</v>
      </c>
      <c r="Y115" s="2009">
        <v>25000000</v>
      </c>
      <c r="Z115" s="2009"/>
      <c r="AA115" s="1708" t="s">
        <v>3132</v>
      </c>
      <c r="AB115" s="263">
        <v>42</v>
      </c>
      <c r="AC115" s="2081" t="s">
        <v>3116</v>
      </c>
      <c r="AD115" s="3116"/>
      <c r="AE115" s="3116"/>
      <c r="AF115" s="3116"/>
      <c r="AG115" s="3116"/>
      <c r="AH115" s="3116"/>
      <c r="AI115" s="3116"/>
      <c r="AJ115" s="3116"/>
      <c r="AK115" s="3116"/>
      <c r="AL115" s="3116"/>
      <c r="AM115" s="3116"/>
      <c r="AN115" s="3116"/>
      <c r="AO115" s="3116"/>
      <c r="AP115" s="3170"/>
      <c r="AQ115" s="3116"/>
      <c r="AR115" s="3170"/>
      <c r="AS115" s="3164"/>
      <c r="AT115" s="3183"/>
      <c r="AU115" s="3164"/>
      <c r="AV115" s="3167"/>
      <c r="AW115" s="3164"/>
      <c r="AX115" s="3167"/>
      <c r="AY115" s="3164"/>
      <c r="AZ115" s="3167"/>
      <c r="BA115" s="3164"/>
      <c r="BB115" s="3167"/>
      <c r="BC115" s="3167"/>
      <c r="BD115" s="3167"/>
      <c r="BE115" s="3167"/>
      <c r="BF115" s="3167"/>
      <c r="BG115" s="3167"/>
      <c r="BH115" s="3167"/>
      <c r="BI115" s="3167"/>
      <c r="BJ115" s="2987"/>
      <c r="BK115" s="2959"/>
      <c r="BL115" s="2959"/>
      <c r="BM115" s="2962"/>
      <c r="BN115" s="2964"/>
      <c r="BO115" s="2964"/>
      <c r="BP115" s="2987"/>
      <c r="BQ115" s="3172"/>
      <c r="BR115" s="3172"/>
      <c r="BS115" s="3172"/>
      <c r="BT115" s="3172"/>
      <c r="BU115" s="2987"/>
    </row>
    <row r="116" spans="1:73" s="2006" customFormat="1" ht="62.25" customHeight="1" x14ac:dyDescent="0.25">
      <c r="A116" s="2920"/>
      <c r="B116" s="3159"/>
      <c r="C116" s="2053"/>
      <c r="D116" s="2080"/>
      <c r="E116" s="3162"/>
      <c r="F116" s="3162"/>
      <c r="G116" s="3107"/>
      <c r="H116" s="3153"/>
      <c r="I116" s="3107"/>
      <c r="J116" s="3153"/>
      <c r="K116" s="3107"/>
      <c r="L116" s="3150"/>
      <c r="M116" s="3107"/>
      <c r="N116" s="3154"/>
      <c r="O116" s="3148"/>
      <c r="P116" s="3148"/>
      <c r="Q116" s="3149"/>
      <c r="R116" s="3150"/>
      <c r="S116" s="3151"/>
      <c r="T116" s="3152"/>
      <c r="U116" s="3150"/>
      <c r="V116" s="3150"/>
      <c r="W116" s="2082" t="s">
        <v>3133</v>
      </c>
      <c r="X116" s="2009">
        <f>40000000-28460000</f>
        <v>11540000</v>
      </c>
      <c r="Y116" s="2009">
        <v>11540000</v>
      </c>
      <c r="Z116" s="2009">
        <v>0</v>
      </c>
      <c r="AA116" s="1708" t="s">
        <v>3126</v>
      </c>
      <c r="AB116" s="263">
        <v>42</v>
      </c>
      <c r="AC116" s="2081" t="s">
        <v>3116</v>
      </c>
      <c r="AD116" s="3116"/>
      <c r="AE116" s="3116"/>
      <c r="AF116" s="3116"/>
      <c r="AG116" s="3116"/>
      <c r="AH116" s="3116"/>
      <c r="AI116" s="3116"/>
      <c r="AJ116" s="3116"/>
      <c r="AK116" s="3116"/>
      <c r="AL116" s="3116"/>
      <c r="AM116" s="3116"/>
      <c r="AN116" s="3116"/>
      <c r="AO116" s="3116"/>
      <c r="AP116" s="3170"/>
      <c r="AQ116" s="3116"/>
      <c r="AR116" s="3170"/>
      <c r="AS116" s="3164"/>
      <c r="AT116" s="3183"/>
      <c r="AU116" s="3164"/>
      <c r="AV116" s="3167"/>
      <c r="AW116" s="3164"/>
      <c r="AX116" s="3167"/>
      <c r="AY116" s="3164"/>
      <c r="AZ116" s="3167"/>
      <c r="BA116" s="3164"/>
      <c r="BB116" s="3167"/>
      <c r="BC116" s="3167"/>
      <c r="BD116" s="3167"/>
      <c r="BE116" s="3167"/>
      <c r="BF116" s="3167"/>
      <c r="BG116" s="3167"/>
      <c r="BH116" s="3167"/>
      <c r="BI116" s="3167"/>
      <c r="BJ116" s="2987"/>
      <c r="BK116" s="2959"/>
      <c r="BL116" s="2959"/>
      <c r="BM116" s="2962"/>
      <c r="BN116" s="2964"/>
      <c r="BO116" s="2964"/>
      <c r="BP116" s="2987"/>
      <c r="BQ116" s="3172"/>
      <c r="BR116" s="3172"/>
      <c r="BS116" s="3172"/>
      <c r="BT116" s="3172"/>
      <c r="BU116" s="2987"/>
    </row>
    <row r="117" spans="1:73" s="2006" customFormat="1" ht="31.5" customHeight="1" x14ac:dyDescent="0.25">
      <c r="A117" s="2920"/>
      <c r="B117" s="3159"/>
      <c r="C117" s="2053"/>
      <c r="D117" s="2080"/>
      <c r="E117" s="3162"/>
      <c r="F117" s="3162"/>
      <c r="G117" s="3107"/>
      <c r="H117" s="3153"/>
      <c r="I117" s="3107"/>
      <c r="J117" s="3153"/>
      <c r="K117" s="3107"/>
      <c r="L117" s="3150"/>
      <c r="M117" s="3107"/>
      <c r="N117" s="3154"/>
      <c r="O117" s="3148"/>
      <c r="P117" s="3148"/>
      <c r="Q117" s="3149"/>
      <c r="R117" s="3150"/>
      <c r="S117" s="3151"/>
      <c r="T117" s="3152"/>
      <c r="U117" s="3150"/>
      <c r="V117" s="3150"/>
      <c r="W117" s="3175" t="s">
        <v>3134</v>
      </c>
      <c r="X117" s="2009">
        <v>71000000</v>
      </c>
      <c r="Y117" s="2009">
        <v>71000000</v>
      </c>
      <c r="Z117" s="2009">
        <v>0</v>
      </c>
      <c r="AA117" s="1708" t="s">
        <v>3123</v>
      </c>
      <c r="AB117" s="263">
        <v>42</v>
      </c>
      <c r="AC117" s="2081" t="s">
        <v>3116</v>
      </c>
      <c r="AD117" s="3116"/>
      <c r="AE117" s="3116"/>
      <c r="AF117" s="3116"/>
      <c r="AG117" s="3116"/>
      <c r="AH117" s="3116"/>
      <c r="AI117" s="3116"/>
      <c r="AJ117" s="3116"/>
      <c r="AK117" s="3116"/>
      <c r="AL117" s="3116"/>
      <c r="AM117" s="3116"/>
      <c r="AN117" s="3116"/>
      <c r="AO117" s="3116"/>
      <c r="AP117" s="3170"/>
      <c r="AQ117" s="3116"/>
      <c r="AR117" s="3170"/>
      <c r="AS117" s="3164"/>
      <c r="AT117" s="3183"/>
      <c r="AU117" s="3164"/>
      <c r="AV117" s="3167"/>
      <c r="AW117" s="3164"/>
      <c r="AX117" s="3167"/>
      <c r="AY117" s="3164"/>
      <c r="AZ117" s="3167"/>
      <c r="BA117" s="3164"/>
      <c r="BB117" s="3167"/>
      <c r="BC117" s="3167"/>
      <c r="BD117" s="3167"/>
      <c r="BE117" s="3167"/>
      <c r="BF117" s="3167"/>
      <c r="BG117" s="3167"/>
      <c r="BH117" s="3167"/>
      <c r="BI117" s="3167"/>
      <c r="BJ117" s="2987"/>
      <c r="BK117" s="2959"/>
      <c r="BL117" s="2959"/>
      <c r="BM117" s="2962"/>
      <c r="BN117" s="2964"/>
      <c r="BO117" s="2964"/>
      <c r="BP117" s="2987"/>
      <c r="BQ117" s="3172"/>
      <c r="BR117" s="3172"/>
      <c r="BS117" s="3172"/>
      <c r="BT117" s="3172"/>
      <c r="BU117" s="2987"/>
    </row>
    <row r="118" spans="1:73" s="2006" customFormat="1" ht="33.75" customHeight="1" x14ac:dyDescent="0.25">
      <c r="A118" s="2920"/>
      <c r="B118" s="3159"/>
      <c r="C118" s="2053"/>
      <c r="D118" s="2080"/>
      <c r="E118" s="3162"/>
      <c r="F118" s="3162"/>
      <c r="G118" s="3107"/>
      <c r="H118" s="3153"/>
      <c r="I118" s="3107"/>
      <c r="J118" s="3153"/>
      <c r="K118" s="3107"/>
      <c r="L118" s="3150"/>
      <c r="M118" s="3107"/>
      <c r="N118" s="3154"/>
      <c r="O118" s="3148"/>
      <c r="P118" s="3148"/>
      <c r="Q118" s="3149"/>
      <c r="R118" s="3150"/>
      <c r="S118" s="3151"/>
      <c r="T118" s="3152"/>
      <c r="U118" s="3150"/>
      <c r="V118" s="3150"/>
      <c r="W118" s="3190"/>
      <c r="X118" s="2009">
        <v>50000000</v>
      </c>
      <c r="Y118" s="2009">
        <v>0</v>
      </c>
      <c r="Z118" s="2009">
        <v>0</v>
      </c>
      <c r="AA118" s="1708" t="s">
        <v>3121</v>
      </c>
      <c r="AB118" s="263">
        <v>42</v>
      </c>
      <c r="AC118" s="2081" t="s">
        <v>3116</v>
      </c>
      <c r="AD118" s="3116"/>
      <c r="AE118" s="3116"/>
      <c r="AF118" s="3116"/>
      <c r="AG118" s="3116"/>
      <c r="AH118" s="3116"/>
      <c r="AI118" s="3116"/>
      <c r="AJ118" s="3116"/>
      <c r="AK118" s="3116"/>
      <c r="AL118" s="3116"/>
      <c r="AM118" s="3116"/>
      <c r="AN118" s="3116"/>
      <c r="AO118" s="3116"/>
      <c r="AP118" s="3170"/>
      <c r="AQ118" s="3116"/>
      <c r="AR118" s="3170"/>
      <c r="AS118" s="3164"/>
      <c r="AT118" s="3183"/>
      <c r="AU118" s="3164"/>
      <c r="AV118" s="3167"/>
      <c r="AW118" s="3164"/>
      <c r="AX118" s="3167"/>
      <c r="AY118" s="3164"/>
      <c r="AZ118" s="3167"/>
      <c r="BA118" s="3164"/>
      <c r="BB118" s="3167"/>
      <c r="BC118" s="3167"/>
      <c r="BD118" s="3167"/>
      <c r="BE118" s="3167"/>
      <c r="BF118" s="3167"/>
      <c r="BG118" s="3167"/>
      <c r="BH118" s="3167"/>
      <c r="BI118" s="3167"/>
      <c r="BJ118" s="2987"/>
      <c r="BK118" s="2959"/>
      <c r="BL118" s="2959"/>
      <c r="BM118" s="2962"/>
      <c r="BN118" s="2964"/>
      <c r="BO118" s="2964"/>
      <c r="BP118" s="2987"/>
      <c r="BQ118" s="3172"/>
      <c r="BR118" s="3172"/>
      <c r="BS118" s="3172"/>
      <c r="BT118" s="3172"/>
      <c r="BU118" s="2987"/>
    </row>
    <row r="119" spans="1:73" s="2006" customFormat="1" ht="30" customHeight="1" x14ac:dyDescent="0.25">
      <c r="A119" s="2920"/>
      <c r="B119" s="3159"/>
      <c r="C119" s="2053"/>
      <c r="D119" s="2080"/>
      <c r="E119" s="3162"/>
      <c r="F119" s="3162"/>
      <c r="G119" s="3107"/>
      <c r="H119" s="3153"/>
      <c r="I119" s="3107"/>
      <c r="J119" s="3153"/>
      <c r="K119" s="3107"/>
      <c r="L119" s="3150"/>
      <c r="M119" s="3107"/>
      <c r="N119" s="3154"/>
      <c r="O119" s="3148"/>
      <c r="P119" s="3148"/>
      <c r="Q119" s="3149"/>
      <c r="R119" s="3150"/>
      <c r="S119" s="3151"/>
      <c r="T119" s="3152"/>
      <c r="U119" s="3150"/>
      <c r="V119" s="3150"/>
      <c r="W119" s="3176"/>
      <c r="X119" s="2009">
        <v>19000000</v>
      </c>
      <c r="Y119" s="2009">
        <v>19000000</v>
      </c>
      <c r="Z119" s="2009">
        <v>0</v>
      </c>
      <c r="AA119" s="1708" t="s">
        <v>3126</v>
      </c>
      <c r="AB119" s="263">
        <v>42</v>
      </c>
      <c r="AC119" s="1707" t="s">
        <v>3116</v>
      </c>
      <c r="AD119" s="3116"/>
      <c r="AE119" s="3116"/>
      <c r="AF119" s="3116"/>
      <c r="AG119" s="3116"/>
      <c r="AH119" s="3116"/>
      <c r="AI119" s="3116"/>
      <c r="AJ119" s="3116"/>
      <c r="AK119" s="3116"/>
      <c r="AL119" s="3116"/>
      <c r="AM119" s="3116"/>
      <c r="AN119" s="3116"/>
      <c r="AO119" s="3116"/>
      <c r="AP119" s="3170"/>
      <c r="AQ119" s="3116"/>
      <c r="AR119" s="3170"/>
      <c r="AS119" s="3164"/>
      <c r="AT119" s="3183"/>
      <c r="AU119" s="3164"/>
      <c r="AV119" s="3167"/>
      <c r="AW119" s="3164"/>
      <c r="AX119" s="3167"/>
      <c r="AY119" s="3164"/>
      <c r="AZ119" s="3167"/>
      <c r="BA119" s="3164"/>
      <c r="BB119" s="3167"/>
      <c r="BC119" s="3167"/>
      <c r="BD119" s="3167"/>
      <c r="BE119" s="3167"/>
      <c r="BF119" s="3167"/>
      <c r="BG119" s="3167"/>
      <c r="BH119" s="3167"/>
      <c r="BI119" s="3167"/>
      <c r="BJ119" s="2987"/>
      <c r="BK119" s="2959"/>
      <c r="BL119" s="2959"/>
      <c r="BM119" s="2962"/>
      <c r="BN119" s="2964"/>
      <c r="BO119" s="2964"/>
      <c r="BP119" s="2987"/>
      <c r="BQ119" s="3172"/>
      <c r="BR119" s="3172"/>
      <c r="BS119" s="3172"/>
      <c r="BT119" s="3172"/>
      <c r="BU119" s="2987"/>
    </row>
    <row r="120" spans="1:73" s="2006" customFormat="1" ht="39.950000000000003" customHeight="1" x14ac:dyDescent="0.25">
      <c r="A120" s="2920"/>
      <c r="B120" s="3159"/>
      <c r="C120" s="2053"/>
      <c r="D120" s="2080"/>
      <c r="E120" s="3162"/>
      <c r="F120" s="3162"/>
      <c r="G120" s="3107"/>
      <c r="H120" s="3153"/>
      <c r="I120" s="3107"/>
      <c r="J120" s="3153"/>
      <c r="K120" s="3107"/>
      <c r="L120" s="3150"/>
      <c r="M120" s="3107"/>
      <c r="N120" s="3154"/>
      <c r="O120" s="3148"/>
      <c r="P120" s="3148"/>
      <c r="Q120" s="3149"/>
      <c r="R120" s="3150"/>
      <c r="S120" s="3151"/>
      <c r="T120" s="3152"/>
      <c r="U120" s="3150"/>
      <c r="V120" s="3150"/>
      <c r="W120" s="2084" t="s">
        <v>3135</v>
      </c>
      <c r="X120" s="2009">
        <v>50000000</v>
      </c>
      <c r="Y120" s="2009">
        <v>50000000</v>
      </c>
      <c r="Z120" s="2009">
        <v>0</v>
      </c>
      <c r="AA120" s="1708" t="s">
        <v>3123</v>
      </c>
      <c r="AB120" s="2085">
        <v>42</v>
      </c>
      <c r="AC120" s="1709" t="s">
        <v>3116</v>
      </c>
      <c r="AD120" s="3116"/>
      <c r="AE120" s="3116"/>
      <c r="AF120" s="3116"/>
      <c r="AG120" s="3116"/>
      <c r="AH120" s="3116"/>
      <c r="AI120" s="3116"/>
      <c r="AJ120" s="3116"/>
      <c r="AK120" s="3116"/>
      <c r="AL120" s="3116"/>
      <c r="AM120" s="3116"/>
      <c r="AN120" s="3116"/>
      <c r="AO120" s="3116"/>
      <c r="AP120" s="3170"/>
      <c r="AQ120" s="3116"/>
      <c r="AR120" s="3170"/>
      <c r="AS120" s="3164"/>
      <c r="AT120" s="3183"/>
      <c r="AU120" s="3164"/>
      <c r="AV120" s="3167"/>
      <c r="AW120" s="3164"/>
      <c r="AX120" s="3167"/>
      <c r="AY120" s="3164"/>
      <c r="AZ120" s="3167"/>
      <c r="BA120" s="3164"/>
      <c r="BB120" s="3167"/>
      <c r="BC120" s="3167"/>
      <c r="BD120" s="3167"/>
      <c r="BE120" s="3167"/>
      <c r="BF120" s="3167"/>
      <c r="BG120" s="3167"/>
      <c r="BH120" s="3167"/>
      <c r="BI120" s="3167"/>
      <c r="BJ120" s="2987"/>
      <c r="BK120" s="2959"/>
      <c r="BL120" s="2959"/>
      <c r="BM120" s="2962"/>
      <c r="BN120" s="2964"/>
      <c r="BO120" s="2964"/>
      <c r="BP120" s="2987"/>
      <c r="BQ120" s="3172"/>
      <c r="BR120" s="3172"/>
      <c r="BS120" s="3172"/>
      <c r="BT120" s="3172"/>
      <c r="BU120" s="2987"/>
    </row>
    <row r="121" spans="1:73" s="2006" customFormat="1" ht="49.5" customHeight="1" x14ac:dyDescent="0.25">
      <c r="A121" s="2920"/>
      <c r="B121" s="3159"/>
      <c r="C121" s="2053"/>
      <c r="D121" s="2080"/>
      <c r="E121" s="3162"/>
      <c r="F121" s="3162"/>
      <c r="G121" s="3107"/>
      <c r="H121" s="3153"/>
      <c r="I121" s="3107"/>
      <c r="J121" s="3153"/>
      <c r="K121" s="3107"/>
      <c r="L121" s="3150"/>
      <c r="M121" s="3107"/>
      <c r="N121" s="3154"/>
      <c r="O121" s="3148"/>
      <c r="P121" s="3148"/>
      <c r="Q121" s="3149"/>
      <c r="R121" s="3150"/>
      <c r="S121" s="3151"/>
      <c r="T121" s="3152"/>
      <c r="U121" s="3150"/>
      <c r="V121" s="3150"/>
      <c r="W121" s="3173" t="s">
        <v>3136</v>
      </c>
      <c r="X121" s="2009">
        <v>29918751</v>
      </c>
      <c r="Y121" s="2009">
        <v>0</v>
      </c>
      <c r="Z121" s="2009">
        <v>0</v>
      </c>
      <c r="AA121" s="1708" t="s">
        <v>3126</v>
      </c>
      <c r="AB121" s="2085">
        <v>42</v>
      </c>
      <c r="AC121" s="1709" t="s">
        <v>3116</v>
      </c>
      <c r="AD121" s="3116"/>
      <c r="AE121" s="3116"/>
      <c r="AF121" s="3116"/>
      <c r="AG121" s="3116"/>
      <c r="AH121" s="3116"/>
      <c r="AI121" s="3116"/>
      <c r="AJ121" s="3116"/>
      <c r="AK121" s="3116"/>
      <c r="AL121" s="3116"/>
      <c r="AM121" s="3116"/>
      <c r="AN121" s="3116"/>
      <c r="AO121" s="3116"/>
      <c r="AP121" s="3170"/>
      <c r="AQ121" s="3116"/>
      <c r="AR121" s="3170"/>
      <c r="AS121" s="3164"/>
      <c r="AT121" s="3183"/>
      <c r="AU121" s="3164"/>
      <c r="AV121" s="3167"/>
      <c r="AW121" s="3164"/>
      <c r="AX121" s="3167"/>
      <c r="AY121" s="3164"/>
      <c r="AZ121" s="3167"/>
      <c r="BA121" s="3164"/>
      <c r="BB121" s="3167"/>
      <c r="BC121" s="3167"/>
      <c r="BD121" s="3167"/>
      <c r="BE121" s="3167"/>
      <c r="BF121" s="3167"/>
      <c r="BG121" s="3167"/>
      <c r="BH121" s="3167"/>
      <c r="BI121" s="3167"/>
      <c r="BJ121" s="2987"/>
      <c r="BK121" s="2959"/>
      <c r="BL121" s="2959"/>
      <c r="BM121" s="2962"/>
      <c r="BN121" s="2964"/>
      <c r="BO121" s="2964"/>
      <c r="BP121" s="2987"/>
      <c r="BQ121" s="3172"/>
      <c r="BR121" s="3172"/>
      <c r="BS121" s="3172"/>
      <c r="BT121" s="3172"/>
      <c r="BU121" s="2987"/>
    </row>
    <row r="122" spans="1:73" s="2006" customFormat="1" ht="68.25" customHeight="1" x14ac:dyDescent="0.25">
      <c r="A122" s="2920"/>
      <c r="B122" s="3159"/>
      <c r="C122" s="2053"/>
      <c r="D122" s="2080"/>
      <c r="E122" s="3162"/>
      <c r="F122" s="3162"/>
      <c r="G122" s="3107"/>
      <c r="H122" s="3153"/>
      <c r="I122" s="3107"/>
      <c r="J122" s="3153"/>
      <c r="K122" s="3107"/>
      <c r="L122" s="3150"/>
      <c r="M122" s="3107"/>
      <c r="N122" s="3154"/>
      <c r="O122" s="3148"/>
      <c r="P122" s="3148"/>
      <c r="Q122" s="3149"/>
      <c r="R122" s="3150"/>
      <c r="S122" s="3151"/>
      <c r="T122" s="3152"/>
      <c r="U122" s="3150"/>
      <c r="V122" s="3150"/>
      <c r="W122" s="3174"/>
      <c r="X122" s="2009">
        <f>113264654.33+1000000000</f>
        <v>1113264654.3299999</v>
      </c>
      <c r="Y122" s="2009">
        <v>110417010.33</v>
      </c>
      <c r="Z122" s="2009">
        <v>0</v>
      </c>
      <c r="AA122" s="1708" t="s">
        <v>3137</v>
      </c>
      <c r="AB122" s="2085">
        <v>92</v>
      </c>
      <c r="AC122" s="1704" t="s">
        <v>3119</v>
      </c>
      <c r="AD122" s="3032"/>
      <c r="AE122" s="3189"/>
      <c r="AF122" s="3032"/>
      <c r="AG122" s="3032"/>
      <c r="AH122" s="3032"/>
      <c r="AI122" s="3032"/>
      <c r="AJ122" s="3032"/>
      <c r="AK122" s="3032"/>
      <c r="AL122" s="3032"/>
      <c r="AM122" s="3032"/>
      <c r="AN122" s="3032"/>
      <c r="AO122" s="3032"/>
      <c r="AP122" s="3171"/>
      <c r="AQ122" s="3032"/>
      <c r="AR122" s="3171"/>
      <c r="AS122" s="3165"/>
      <c r="AT122" s="3184"/>
      <c r="AU122" s="3165"/>
      <c r="AV122" s="3168"/>
      <c r="AW122" s="3165"/>
      <c r="AX122" s="3168"/>
      <c r="AY122" s="3165"/>
      <c r="AZ122" s="3168"/>
      <c r="BA122" s="3165"/>
      <c r="BB122" s="3181"/>
      <c r="BC122" s="3181"/>
      <c r="BD122" s="3181"/>
      <c r="BE122" s="3181"/>
      <c r="BF122" s="3181"/>
      <c r="BG122" s="3181"/>
      <c r="BH122" s="3181"/>
      <c r="BI122" s="3181"/>
      <c r="BJ122" s="2987"/>
      <c r="BK122" s="2960"/>
      <c r="BL122" s="2960"/>
      <c r="BM122" s="3180"/>
      <c r="BN122" s="2969"/>
      <c r="BO122" s="2969"/>
      <c r="BP122" s="2987"/>
      <c r="BQ122" s="3172"/>
      <c r="BR122" s="3172"/>
      <c r="BS122" s="3172"/>
      <c r="BT122" s="3172"/>
      <c r="BU122" s="2987"/>
    </row>
    <row r="123" spans="1:73" s="2006" customFormat="1" ht="57.75" customHeight="1" x14ac:dyDescent="0.25">
      <c r="A123" s="2920"/>
      <c r="B123" s="3159"/>
      <c r="C123" s="2053"/>
      <c r="D123" s="2080"/>
      <c r="E123" s="3030"/>
      <c r="F123" s="3030"/>
      <c r="G123" s="3033">
        <v>4501001</v>
      </c>
      <c r="H123" s="3034" t="s">
        <v>3138</v>
      </c>
      <c r="I123" s="3033">
        <v>4501001</v>
      </c>
      <c r="J123" s="3034" t="s">
        <v>3138</v>
      </c>
      <c r="K123" s="3007">
        <v>450100100</v>
      </c>
      <c r="L123" s="3036" t="s">
        <v>3139</v>
      </c>
      <c r="M123" s="3007">
        <v>450100100</v>
      </c>
      <c r="N123" s="3036" t="s">
        <v>3139</v>
      </c>
      <c r="O123" s="3007">
        <v>12</v>
      </c>
      <c r="P123" s="3007">
        <v>12</v>
      </c>
      <c r="Q123" s="3007" t="s">
        <v>3140</v>
      </c>
      <c r="R123" s="3036" t="s">
        <v>3141</v>
      </c>
      <c r="S123" s="3141">
        <f>SUM(X123:X126)/T123</f>
        <v>1</v>
      </c>
      <c r="T123" s="3058">
        <f>SUM(X123:X126)</f>
        <v>61000000</v>
      </c>
      <c r="U123" s="2478" t="s">
        <v>3004</v>
      </c>
      <c r="V123" s="3036" t="s">
        <v>3142</v>
      </c>
      <c r="W123" s="3071" t="s">
        <v>3143</v>
      </c>
      <c r="X123" s="2009">
        <v>30000000</v>
      </c>
      <c r="Y123" s="2009">
        <v>6710000</v>
      </c>
      <c r="Z123" s="2009">
        <v>2855000</v>
      </c>
      <c r="AA123" s="1708" t="s">
        <v>3144</v>
      </c>
      <c r="AB123" s="263">
        <v>20</v>
      </c>
      <c r="AC123" s="2081" t="s">
        <v>734</v>
      </c>
      <c r="AD123" s="3192">
        <v>291786</v>
      </c>
      <c r="AE123" s="3195">
        <v>291786</v>
      </c>
      <c r="AF123" s="3186">
        <v>270331</v>
      </c>
      <c r="AG123" s="3186">
        <v>270331</v>
      </c>
      <c r="AH123" s="3186">
        <v>102045</v>
      </c>
      <c r="AI123" s="3186">
        <v>102045</v>
      </c>
      <c r="AJ123" s="3186">
        <v>39183</v>
      </c>
      <c r="AK123" s="3186">
        <v>39183</v>
      </c>
      <c r="AL123" s="3186">
        <v>310195</v>
      </c>
      <c r="AM123" s="3186">
        <v>310195</v>
      </c>
      <c r="AN123" s="3186">
        <v>110694</v>
      </c>
      <c r="AO123" s="3186">
        <v>110694</v>
      </c>
      <c r="AP123" s="3186">
        <v>2145</v>
      </c>
      <c r="AQ123" s="3186"/>
      <c r="AR123" s="3186">
        <v>12718</v>
      </c>
      <c r="AS123" s="3191"/>
      <c r="AT123" s="3191">
        <v>26</v>
      </c>
      <c r="AU123" s="3191"/>
      <c r="AV123" s="3191">
        <v>37</v>
      </c>
      <c r="AW123" s="3191"/>
      <c r="AX123" s="3191">
        <v>0</v>
      </c>
      <c r="AY123" s="3191"/>
      <c r="AZ123" s="3191">
        <v>0</v>
      </c>
      <c r="BA123" s="3191"/>
      <c r="BB123" s="3210">
        <v>44350</v>
      </c>
      <c r="BC123" s="3191"/>
      <c r="BD123" s="3210">
        <v>21944</v>
      </c>
      <c r="BE123" s="3191"/>
      <c r="BF123" s="3210">
        <v>75687</v>
      </c>
      <c r="BG123" s="3191"/>
      <c r="BH123" s="3210">
        <f>+AD123+AF123</f>
        <v>562117</v>
      </c>
      <c r="BI123" s="3210">
        <f>AI123+AK123+AM123+AO123+AQ123</f>
        <v>562117</v>
      </c>
      <c r="BJ123" s="3203">
        <v>2</v>
      </c>
      <c r="BK123" s="3213">
        <f>SUM(Y123:Y126)</f>
        <v>7710000</v>
      </c>
      <c r="BL123" s="3213">
        <f>SUM(Z123:Z126)</f>
        <v>3855000</v>
      </c>
      <c r="BM123" s="3206">
        <f>+BL123/BK123</f>
        <v>0.5</v>
      </c>
      <c r="BN123" s="3203">
        <v>20</v>
      </c>
      <c r="BO123" s="3208" t="s">
        <v>86</v>
      </c>
      <c r="BP123" s="3208" t="s">
        <v>2977</v>
      </c>
      <c r="BQ123" s="3201">
        <v>44198</v>
      </c>
      <c r="BR123" s="3201">
        <v>44278</v>
      </c>
      <c r="BS123" s="3201">
        <v>44560</v>
      </c>
      <c r="BT123" s="3201">
        <v>44489</v>
      </c>
      <c r="BU123" s="3203" t="s">
        <v>2978</v>
      </c>
    </row>
    <row r="124" spans="1:73" s="2006" customFormat="1" ht="57.75" customHeight="1" x14ac:dyDescent="0.25">
      <c r="A124" s="2920"/>
      <c r="B124" s="3159"/>
      <c r="C124" s="2053"/>
      <c r="D124" s="2080"/>
      <c r="E124" s="3030"/>
      <c r="F124" s="3030"/>
      <c r="G124" s="3033"/>
      <c r="H124" s="3034"/>
      <c r="I124" s="3033"/>
      <c r="J124" s="3034"/>
      <c r="K124" s="3007"/>
      <c r="L124" s="3036"/>
      <c r="M124" s="3007"/>
      <c r="N124" s="3036"/>
      <c r="O124" s="3007"/>
      <c r="P124" s="3007"/>
      <c r="Q124" s="3007"/>
      <c r="R124" s="3036"/>
      <c r="S124" s="3141"/>
      <c r="T124" s="3058"/>
      <c r="U124" s="3036"/>
      <c r="V124" s="3036"/>
      <c r="W124" s="3179"/>
      <c r="X124" s="2009">
        <v>25000000</v>
      </c>
      <c r="Y124" s="2009">
        <v>0</v>
      </c>
      <c r="Z124" s="2009">
        <v>0</v>
      </c>
      <c r="AA124" s="1708" t="s">
        <v>3145</v>
      </c>
      <c r="AB124" s="2055">
        <v>88</v>
      </c>
      <c r="AC124" s="1714" t="s">
        <v>2980</v>
      </c>
      <c r="AD124" s="3193"/>
      <c r="AE124" s="3187"/>
      <c r="AF124" s="3187"/>
      <c r="AG124" s="3187"/>
      <c r="AH124" s="3187"/>
      <c r="AI124" s="3187"/>
      <c r="AJ124" s="3187"/>
      <c r="AK124" s="3187"/>
      <c r="AL124" s="3187"/>
      <c r="AM124" s="3187"/>
      <c r="AN124" s="3187"/>
      <c r="AO124" s="3187"/>
      <c r="AP124" s="3187"/>
      <c r="AQ124" s="3187"/>
      <c r="AR124" s="3187"/>
      <c r="AS124" s="3053"/>
      <c r="AT124" s="3053"/>
      <c r="AU124" s="3053"/>
      <c r="AV124" s="3053"/>
      <c r="AW124" s="3053"/>
      <c r="AX124" s="3053"/>
      <c r="AY124" s="3053"/>
      <c r="AZ124" s="3053"/>
      <c r="BA124" s="3053"/>
      <c r="BB124" s="3211"/>
      <c r="BC124" s="3053"/>
      <c r="BD124" s="3211"/>
      <c r="BE124" s="3053"/>
      <c r="BF124" s="3211"/>
      <c r="BG124" s="3053"/>
      <c r="BH124" s="3211"/>
      <c r="BI124" s="3211"/>
      <c r="BJ124" s="3204"/>
      <c r="BK124" s="3214"/>
      <c r="BL124" s="3214"/>
      <c r="BM124" s="3207"/>
      <c r="BN124" s="3204"/>
      <c r="BO124" s="3209"/>
      <c r="BP124" s="3209"/>
      <c r="BQ124" s="3202"/>
      <c r="BR124" s="3202"/>
      <c r="BS124" s="3202"/>
      <c r="BT124" s="3202"/>
      <c r="BU124" s="3204"/>
    </row>
    <row r="125" spans="1:73" s="2006" customFormat="1" ht="39" customHeight="1" x14ac:dyDescent="0.25">
      <c r="A125" s="2920"/>
      <c r="B125" s="3159"/>
      <c r="C125" s="2053"/>
      <c r="D125" s="2080"/>
      <c r="E125" s="3030"/>
      <c r="F125" s="3030"/>
      <c r="G125" s="3033"/>
      <c r="H125" s="3034"/>
      <c r="I125" s="3033"/>
      <c r="J125" s="3034"/>
      <c r="K125" s="3007"/>
      <c r="L125" s="3036"/>
      <c r="M125" s="3007"/>
      <c r="N125" s="3036"/>
      <c r="O125" s="3007"/>
      <c r="P125" s="3007"/>
      <c r="Q125" s="3007"/>
      <c r="R125" s="3036"/>
      <c r="S125" s="3141"/>
      <c r="T125" s="3058"/>
      <c r="U125" s="3036"/>
      <c r="V125" s="3036"/>
      <c r="W125" s="3071" t="s">
        <v>3146</v>
      </c>
      <c r="X125" s="2009">
        <v>1000000</v>
      </c>
      <c r="Y125" s="2009">
        <v>1000000</v>
      </c>
      <c r="Z125" s="2009">
        <v>1000000</v>
      </c>
      <c r="AA125" s="1708" t="s">
        <v>3144</v>
      </c>
      <c r="AB125" s="3177">
        <v>20</v>
      </c>
      <c r="AC125" s="3071" t="s">
        <v>734</v>
      </c>
      <c r="AD125" s="3193"/>
      <c r="AE125" s="3187"/>
      <c r="AF125" s="3187"/>
      <c r="AG125" s="3187"/>
      <c r="AH125" s="3187"/>
      <c r="AI125" s="3187"/>
      <c r="AJ125" s="3187"/>
      <c r="AK125" s="3187"/>
      <c r="AL125" s="3187"/>
      <c r="AM125" s="3187"/>
      <c r="AN125" s="3187"/>
      <c r="AO125" s="3187"/>
      <c r="AP125" s="3187"/>
      <c r="AQ125" s="3187"/>
      <c r="AR125" s="3187"/>
      <c r="AS125" s="3053"/>
      <c r="AT125" s="3053"/>
      <c r="AU125" s="3053"/>
      <c r="AV125" s="3053"/>
      <c r="AW125" s="3053"/>
      <c r="AX125" s="3053"/>
      <c r="AY125" s="3053"/>
      <c r="AZ125" s="3053"/>
      <c r="BA125" s="3053"/>
      <c r="BB125" s="3211"/>
      <c r="BC125" s="3053"/>
      <c r="BD125" s="3211"/>
      <c r="BE125" s="3053"/>
      <c r="BF125" s="3211"/>
      <c r="BG125" s="3053"/>
      <c r="BH125" s="3211"/>
      <c r="BI125" s="3211"/>
      <c r="BJ125" s="3204"/>
      <c r="BK125" s="3214"/>
      <c r="BL125" s="3214"/>
      <c r="BM125" s="3207"/>
      <c r="BN125" s="3204"/>
      <c r="BO125" s="3209"/>
      <c r="BP125" s="3209"/>
      <c r="BQ125" s="3202"/>
      <c r="BR125" s="3202"/>
      <c r="BS125" s="3202"/>
      <c r="BT125" s="3202"/>
      <c r="BU125" s="3204"/>
    </row>
    <row r="126" spans="1:73" s="2006" customFormat="1" ht="64.5" customHeight="1" x14ac:dyDescent="0.25">
      <c r="A126" s="3158"/>
      <c r="B126" s="3160"/>
      <c r="C126" s="2086"/>
      <c r="D126" s="2087"/>
      <c r="E126" s="3031"/>
      <c r="F126" s="3031"/>
      <c r="G126" s="3033"/>
      <c r="H126" s="3035"/>
      <c r="I126" s="3033"/>
      <c r="J126" s="3034"/>
      <c r="K126" s="3007"/>
      <c r="L126" s="3036"/>
      <c r="M126" s="3007"/>
      <c r="N126" s="3036"/>
      <c r="O126" s="3007"/>
      <c r="P126" s="3007"/>
      <c r="Q126" s="3007"/>
      <c r="R126" s="3036"/>
      <c r="S126" s="3141"/>
      <c r="T126" s="3058"/>
      <c r="U126" s="3185"/>
      <c r="V126" s="3036"/>
      <c r="W126" s="2580"/>
      <c r="X126" s="2009">
        <v>5000000</v>
      </c>
      <c r="Y126" s="2009">
        <v>0</v>
      </c>
      <c r="Z126" s="2009">
        <v>0</v>
      </c>
      <c r="AA126" s="1708" t="s">
        <v>3147</v>
      </c>
      <c r="AB126" s="3205"/>
      <c r="AC126" s="2580"/>
      <c r="AD126" s="3194"/>
      <c r="AE126" s="3196"/>
      <c r="AF126" s="3188"/>
      <c r="AG126" s="3188"/>
      <c r="AH126" s="3188"/>
      <c r="AI126" s="3188"/>
      <c r="AJ126" s="3188"/>
      <c r="AK126" s="3188"/>
      <c r="AL126" s="3188"/>
      <c r="AM126" s="3188"/>
      <c r="AN126" s="3188"/>
      <c r="AO126" s="3188"/>
      <c r="AP126" s="3188"/>
      <c r="AQ126" s="3188"/>
      <c r="AR126" s="3188"/>
      <c r="AS126" s="3054"/>
      <c r="AT126" s="3054"/>
      <c r="AU126" s="3054"/>
      <c r="AV126" s="3054"/>
      <c r="AW126" s="3054"/>
      <c r="AX126" s="3054"/>
      <c r="AY126" s="3054"/>
      <c r="AZ126" s="3054"/>
      <c r="BA126" s="3054"/>
      <c r="BB126" s="3212"/>
      <c r="BC126" s="3054"/>
      <c r="BD126" s="3212"/>
      <c r="BE126" s="3054"/>
      <c r="BF126" s="3212"/>
      <c r="BG126" s="3054"/>
      <c r="BH126" s="3212"/>
      <c r="BI126" s="3212"/>
      <c r="BJ126" s="3204"/>
      <c r="BK126" s="3214"/>
      <c r="BL126" s="3214"/>
      <c r="BM126" s="3207"/>
      <c r="BN126" s="3204"/>
      <c r="BO126" s="3209"/>
      <c r="BP126" s="3209"/>
      <c r="BQ126" s="3202"/>
      <c r="BR126" s="3202"/>
      <c r="BS126" s="3202"/>
      <c r="BT126" s="3202"/>
      <c r="BU126" s="3204"/>
    </row>
    <row r="127" spans="1:73" ht="27.75" customHeight="1" x14ac:dyDescent="0.25">
      <c r="A127" s="2088">
        <v>3</v>
      </c>
      <c r="B127" s="2916" t="s">
        <v>525</v>
      </c>
      <c r="C127" s="2917"/>
      <c r="D127" s="2917"/>
      <c r="E127" s="2917"/>
      <c r="F127" s="2917"/>
      <c r="G127" s="2917"/>
      <c r="H127" s="2917"/>
      <c r="I127" s="2089"/>
      <c r="J127" s="2090"/>
      <c r="K127" s="2091"/>
      <c r="L127" s="2090"/>
      <c r="M127" s="2091"/>
      <c r="N127" s="2090"/>
      <c r="O127" s="2091"/>
      <c r="P127" s="2091"/>
      <c r="Q127" s="2091"/>
      <c r="R127" s="2090"/>
      <c r="S127" s="2091"/>
      <c r="T127" s="2092"/>
      <c r="U127" s="2090"/>
      <c r="V127" s="2090"/>
      <c r="W127" s="2090"/>
      <c r="X127" s="2093"/>
      <c r="Y127" s="2093"/>
      <c r="Z127" s="2093"/>
      <c r="AA127" s="2094"/>
      <c r="AB127" s="2091"/>
      <c r="AC127" s="2090"/>
      <c r="AD127" s="2091"/>
      <c r="AE127" s="2089"/>
      <c r="AF127" s="2091"/>
      <c r="AG127" s="2091"/>
      <c r="AH127" s="2091"/>
      <c r="AI127" s="2091"/>
      <c r="AJ127" s="2091"/>
      <c r="AK127" s="2091"/>
      <c r="AL127" s="2091"/>
      <c r="AM127" s="2091"/>
      <c r="AN127" s="2091"/>
      <c r="AO127" s="2091"/>
      <c r="AP127" s="2091"/>
      <c r="AQ127" s="2091"/>
      <c r="AR127" s="2091"/>
      <c r="AS127" s="2091"/>
      <c r="AT127" s="2091"/>
      <c r="AU127" s="2091"/>
      <c r="AV127" s="2091"/>
      <c r="AW127" s="2091"/>
      <c r="AX127" s="2091"/>
      <c r="AY127" s="2091"/>
      <c r="AZ127" s="2091"/>
      <c r="BA127" s="2091"/>
      <c r="BB127" s="2089"/>
      <c r="BC127" s="2089"/>
      <c r="BD127" s="2091"/>
      <c r="BE127" s="2091"/>
      <c r="BF127" s="2091"/>
      <c r="BG127" s="2091"/>
      <c r="BH127" s="2091"/>
      <c r="BI127" s="2091"/>
      <c r="BJ127" s="3197"/>
      <c r="BK127" s="3197"/>
      <c r="BL127" s="3197"/>
      <c r="BM127" s="3197"/>
      <c r="BN127" s="3197"/>
      <c r="BO127" s="3197"/>
      <c r="BP127" s="3197"/>
      <c r="BQ127" s="3197"/>
      <c r="BR127" s="3197"/>
      <c r="BS127" s="3197"/>
      <c r="BT127" s="3197"/>
      <c r="BU127" s="3197"/>
    </row>
    <row r="128" spans="1:73" s="2052" customFormat="1" ht="27.75" customHeight="1" x14ac:dyDescent="0.25">
      <c r="A128" s="1359"/>
      <c r="B128" s="1983"/>
      <c r="C128" s="31">
        <v>32</v>
      </c>
      <c r="D128" s="3077" t="s">
        <v>587</v>
      </c>
      <c r="E128" s="2324"/>
      <c r="F128" s="3198"/>
      <c r="G128" s="3198"/>
      <c r="H128" s="3198"/>
      <c r="I128" s="3198"/>
      <c r="J128" s="1744"/>
      <c r="K128" s="1743"/>
      <c r="L128" s="1744"/>
      <c r="M128" s="1743"/>
      <c r="N128" s="1744"/>
      <c r="O128" s="1743"/>
      <c r="P128" s="1743"/>
      <c r="Q128" s="1743"/>
      <c r="R128" s="1744"/>
      <c r="S128" s="2095"/>
      <c r="T128" s="2096"/>
      <c r="U128" s="2097"/>
      <c r="V128" s="2097"/>
      <c r="W128" s="2097"/>
      <c r="X128" s="2098"/>
      <c r="Y128" s="2098"/>
      <c r="Z128" s="2098"/>
      <c r="AA128" s="2099"/>
      <c r="AB128" s="2095"/>
      <c r="AC128" s="2097"/>
      <c r="AD128" s="2095"/>
      <c r="AE128" s="2095"/>
      <c r="AF128" s="2095"/>
      <c r="AG128" s="2095"/>
      <c r="AH128" s="2095"/>
      <c r="AI128" s="2095"/>
      <c r="AJ128" s="2095"/>
      <c r="AK128" s="2095"/>
      <c r="AL128" s="2095"/>
      <c r="AM128" s="2095"/>
      <c r="AN128" s="2095"/>
      <c r="AO128" s="2095"/>
      <c r="AP128" s="2095"/>
      <c r="AQ128" s="2095"/>
      <c r="AR128" s="2095"/>
      <c r="AS128" s="2095"/>
      <c r="AT128" s="2095"/>
      <c r="AU128" s="2095"/>
      <c r="AV128" s="2095"/>
      <c r="AW128" s="2095"/>
      <c r="AX128" s="2095"/>
      <c r="AY128" s="2095"/>
      <c r="AZ128" s="2095"/>
      <c r="BA128" s="2095"/>
      <c r="BB128" s="2095"/>
      <c r="BC128" s="2095"/>
      <c r="BD128" s="2095"/>
      <c r="BE128" s="2095"/>
      <c r="BF128" s="2095"/>
      <c r="BG128" s="2095"/>
      <c r="BH128" s="2095"/>
      <c r="BI128" s="2095"/>
      <c r="BJ128" s="3199"/>
      <c r="BK128" s="3199"/>
      <c r="BL128" s="3199"/>
      <c r="BM128" s="3199"/>
      <c r="BN128" s="3199"/>
      <c r="BO128" s="3199"/>
      <c r="BP128" s="3199"/>
      <c r="BQ128" s="3199"/>
      <c r="BR128" s="3199"/>
      <c r="BS128" s="3199"/>
      <c r="BT128" s="3199"/>
      <c r="BU128" s="3199"/>
    </row>
    <row r="129" spans="1:73" ht="27" customHeight="1" x14ac:dyDescent="0.25">
      <c r="A129" s="2053"/>
      <c r="B129" s="2080"/>
      <c r="C129" s="2079"/>
      <c r="D129" s="2080"/>
      <c r="E129" s="2067">
        <v>3205</v>
      </c>
      <c r="F129" s="3064" t="s">
        <v>588</v>
      </c>
      <c r="G129" s="3065"/>
      <c r="H129" s="3065"/>
      <c r="I129" s="3065"/>
      <c r="J129" s="3065"/>
      <c r="K129" s="3065"/>
      <c r="L129" s="3065"/>
      <c r="M129" s="3065"/>
      <c r="N129" s="3065"/>
      <c r="O129" s="3065"/>
      <c r="P129" s="3065"/>
      <c r="Q129" s="3065"/>
      <c r="R129" s="3065"/>
      <c r="S129" s="2022"/>
      <c r="T129" s="2071"/>
      <c r="U129" s="2028"/>
      <c r="V129" s="2028"/>
      <c r="W129" s="2028"/>
      <c r="X129" s="2023"/>
      <c r="Y129" s="2023"/>
      <c r="Z129" s="2023"/>
      <c r="AA129" s="2024"/>
      <c r="AB129" s="2021"/>
      <c r="AC129" s="2025"/>
      <c r="AD129" s="2022"/>
      <c r="AE129" s="2022"/>
      <c r="AF129" s="2022"/>
      <c r="AG129" s="2022"/>
      <c r="AH129" s="2022"/>
      <c r="AI129" s="2022"/>
      <c r="AJ129" s="2022"/>
      <c r="AK129" s="2022"/>
      <c r="AL129" s="2022"/>
      <c r="AM129" s="2022"/>
      <c r="AN129" s="2022"/>
      <c r="AO129" s="2022"/>
      <c r="AP129" s="2022"/>
      <c r="AQ129" s="2022"/>
      <c r="AR129" s="2022"/>
      <c r="AS129" s="2022"/>
      <c r="AT129" s="2022"/>
      <c r="AU129" s="2022"/>
      <c r="AV129" s="2022"/>
      <c r="AW129" s="2022"/>
      <c r="AX129" s="2022"/>
      <c r="AY129" s="2022"/>
      <c r="AZ129" s="2022"/>
      <c r="BA129" s="2022"/>
      <c r="BB129" s="2022"/>
      <c r="BC129" s="2022"/>
      <c r="BD129" s="2022"/>
      <c r="BE129" s="2022"/>
      <c r="BF129" s="2022"/>
      <c r="BG129" s="2022"/>
      <c r="BH129" s="2022"/>
      <c r="BI129" s="2022"/>
      <c r="BJ129" s="3200"/>
      <c r="BK129" s="3200"/>
      <c r="BL129" s="3200"/>
      <c r="BM129" s="3200"/>
      <c r="BN129" s="3200"/>
      <c r="BO129" s="3200"/>
      <c r="BP129" s="3200"/>
      <c r="BQ129" s="3200"/>
      <c r="BR129" s="3200"/>
      <c r="BS129" s="3200"/>
      <c r="BT129" s="3200"/>
      <c r="BU129" s="3200"/>
    </row>
    <row r="130" spans="1:73" ht="92.25" customHeight="1" x14ac:dyDescent="0.25">
      <c r="A130" s="2053"/>
      <c r="B130" s="2080"/>
      <c r="C130" s="2053"/>
      <c r="D130" s="2080"/>
      <c r="E130" s="3227"/>
      <c r="F130" s="3227"/>
      <c r="G130" s="2906">
        <v>3205002</v>
      </c>
      <c r="H130" s="2996" t="s">
        <v>3148</v>
      </c>
      <c r="I130" s="2906">
        <v>3205002</v>
      </c>
      <c r="J130" s="2996" t="s">
        <v>3148</v>
      </c>
      <c r="K130" s="3224">
        <v>320500200</v>
      </c>
      <c r="L130" s="2974" t="s">
        <v>3149</v>
      </c>
      <c r="M130" s="3224">
        <v>320500200</v>
      </c>
      <c r="N130" s="2974" t="s">
        <v>3149</v>
      </c>
      <c r="O130" s="3026">
        <v>3</v>
      </c>
      <c r="P130" s="3026">
        <v>1</v>
      </c>
      <c r="Q130" s="2945" t="s">
        <v>3150</v>
      </c>
      <c r="R130" s="3215" t="s">
        <v>3151</v>
      </c>
      <c r="S130" s="3218">
        <f>SUM(X130:X133)/T130</f>
        <v>1</v>
      </c>
      <c r="T130" s="3220">
        <f>SUM(X130:X133)</f>
        <v>243850000</v>
      </c>
      <c r="U130" s="3222" t="s">
        <v>3152</v>
      </c>
      <c r="V130" s="2472" t="s">
        <v>3153</v>
      </c>
      <c r="W130" s="3071" t="s">
        <v>3154</v>
      </c>
      <c r="X130" s="1653">
        <v>31000000</v>
      </c>
      <c r="Y130" s="1653">
        <v>25200000</v>
      </c>
      <c r="Z130" s="1653">
        <v>19600000</v>
      </c>
      <c r="AA130" s="1708" t="s">
        <v>3155</v>
      </c>
      <c r="AB130" s="2018">
        <v>20</v>
      </c>
      <c r="AC130" s="2019" t="s">
        <v>734</v>
      </c>
      <c r="AD130" s="3061">
        <v>181571</v>
      </c>
      <c r="AE130" s="3052">
        <v>99</v>
      </c>
      <c r="AF130" s="3052">
        <v>173060</v>
      </c>
      <c r="AG130" s="3052">
        <v>87</v>
      </c>
      <c r="AH130" s="3052">
        <v>98942</v>
      </c>
      <c r="AI130" s="3052"/>
      <c r="AJ130" s="3052">
        <v>114369</v>
      </c>
      <c r="AK130" s="3052"/>
      <c r="AL130" s="3052">
        <v>114368</v>
      </c>
      <c r="AM130" s="3052">
        <v>186</v>
      </c>
      <c r="AN130" s="3052">
        <v>26952</v>
      </c>
      <c r="AO130" s="3052"/>
      <c r="AP130" s="3052"/>
      <c r="AQ130" s="3052"/>
      <c r="AR130" s="3052"/>
      <c r="AS130" s="3052"/>
      <c r="AT130" s="3052"/>
      <c r="AU130" s="3052"/>
      <c r="AV130" s="3052"/>
      <c r="AW130" s="3052"/>
      <c r="AX130" s="3052"/>
      <c r="AY130" s="3052"/>
      <c r="AZ130" s="3052"/>
      <c r="BA130" s="3052"/>
      <c r="BB130" s="3052"/>
      <c r="BC130" s="2100"/>
      <c r="BD130" s="3052"/>
      <c r="BE130" s="3052"/>
      <c r="BF130" s="3052"/>
      <c r="BG130" s="3052"/>
      <c r="BH130" s="3052">
        <f>AD130+AF130</f>
        <v>354631</v>
      </c>
      <c r="BI130" s="3052">
        <f>+AE130+AG130</f>
        <v>186</v>
      </c>
      <c r="BJ130" s="3095">
        <v>5</v>
      </c>
      <c r="BK130" s="3000">
        <f>SUM(Y130:Y133)</f>
        <v>49722500</v>
      </c>
      <c r="BL130" s="3000">
        <f>SUM(Z130:Z133)</f>
        <v>25370000</v>
      </c>
      <c r="BM130" s="3003">
        <f>BL130/BK130</f>
        <v>0.51023178641460099</v>
      </c>
      <c r="BN130" s="3095">
        <v>20</v>
      </c>
      <c r="BO130" s="3236" t="s">
        <v>86</v>
      </c>
      <c r="BP130" s="3236" t="s">
        <v>3018</v>
      </c>
      <c r="BQ130" s="3239">
        <v>44198</v>
      </c>
      <c r="BR130" s="3239">
        <v>44251</v>
      </c>
      <c r="BS130" s="3241">
        <v>44560</v>
      </c>
      <c r="BT130" s="3241">
        <v>44494</v>
      </c>
      <c r="BU130" s="3095" t="s">
        <v>2978</v>
      </c>
    </row>
    <row r="131" spans="1:73" ht="92.25" customHeight="1" x14ac:dyDescent="0.25">
      <c r="A131" s="2053"/>
      <c r="B131" s="2080"/>
      <c r="C131" s="2053"/>
      <c r="D131" s="2080"/>
      <c r="E131" s="3227"/>
      <c r="F131" s="3227"/>
      <c r="G131" s="2906"/>
      <c r="H131" s="2994"/>
      <c r="I131" s="2906"/>
      <c r="J131" s="2994"/>
      <c r="K131" s="3225"/>
      <c r="L131" s="2973"/>
      <c r="M131" s="3225"/>
      <c r="N131" s="2973"/>
      <c r="O131" s="2943"/>
      <c r="P131" s="2943"/>
      <c r="Q131" s="2971"/>
      <c r="R131" s="3216"/>
      <c r="S131" s="3219"/>
      <c r="T131" s="3221"/>
      <c r="U131" s="3217"/>
      <c r="V131" s="3223"/>
      <c r="W131" s="3179"/>
      <c r="X131" s="1653">
        <f>25000000+134220000</f>
        <v>159220000</v>
      </c>
      <c r="Y131" s="1653">
        <v>11540000</v>
      </c>
      <c r="Z131" s="1653">
        <v>0</v>
      </c>
      <c r="AA131" s="1708" t="s">
        <v>3156</v>
      </c>
      <c r="AB131" s="2101">
        <v>88</v>
      </c>
      <c r="AC131" s="2102" t="s">
        <v>2980</v>
      </c>
      <c r="AD131" s="3062"/>
      <c r="AE131" s="3053"/>
      <c r="AF131" s="3053"/>
      <c r="AG131" s="3053"/>
      <c r="AH131" s="3053"/>
      <c r="AI131" s="3053"/>
      <c r="AJ131" s="3053"/>
      <c r="AK131" s="3053"/>
      <c r="AL131" s="3053"/>
      <c r="AM131" s="3053"/>
      <c r="AN131" s="3053"/>
      <c r="AO131" s="3053"/>
      <c r="AP131" s="3053"/>
      <c r="AQ131" s="3053"/>
      <c r="AR131" s="3053"/>
      <c r="AS131" s="3053"/>
      <c r="AT131" s="3053"/>
      <c r="AU131" s="3053"/>
      <c r="AV131" s="3053"/>
      <c r="AW131" s="3053"/>
      <c r="AX131" s="3053"/>
      <c r="AY131" s="3053"/>
      <c r="AZ131" s="3053"/>
      <c r="BA131" s="3053"/>
      <c r="BB131" s="3053"/>
      <c r="BC131" s="2103"/>
      <c r="BD131" s="3053"/>
      <c r="BE131" s="3053"/>
      <c r="BF131" s="3053"/>
      <c r="BG131" s="3053"/>
      <c r="BH131" s="3053"/>
      <c r="BI131" s="3053"/>
      <c r="BJ131" s="3096"/>
      <c r="BK131" s="3001"/>
      <c r="BL131" s="3001"/>
      <c r="BM131" s="3004"/>
      <c r="BN131" s="3096"/>
      <c r="BO131" s="3237"/>
      <c r="BP131" s="3237"/>
      <c r="BQ131" s="3240"/>
      <c r="BR131" s="3240"/>
      <c r="BS131" s="3242"/>
      <c r="BT131" s="3242"/>
      <c r="BU131" s="3096"/>
    </row>
    <row r="132" spans="1:73" ht="92.25" customHeight="1" x14ac:dyDescent="0.25">
      <c r="A132" s="2053"/>
      <c r="B132" s="2080"/>
      <c r="C132" s="2053"/>
      <c r="D132" s="2080"/>
      <c r="E132" s="3227"/>
      <c r="F132" s="3227"/>
      <c r="G132" s="2906"/>
      <c r="H132" s="2994"/>
      <c r="I132" s="2906"/>
      <c r="J132" s="2994"/>
      <c r="K132" s="3225"/>
      <c r="L132" s="2973"/>
      <c r="M132" s="3225"/>
      <c r="N132" s="2973"/>
      <c r="O132" s="2943"/>
      <c r="P132" s="2943"/>
      <c r="Q132" s="2971"/>
      <c r="R132" s="3216"/>
      <c r="S132" s="3219"/>
      <c r="T132" s="3221"/>
      <c r="U132" s="3217"/>
      <c r="V132" s="3223"/>
      <c r="W132" s="3071" t="s">
        <v>3157</v>
      </c>
      <c r="X132" s="1653">
        <v>14000000</v>
      </c>
      <c r="Y132" s="1653">
        <v>12982500</v>
      </c>
      <c r="Z132" s="1653">
        <v>5770000</v>
      </c>
      <c r="AA132" s="1708" t="s">
        <v>3155</v>
      </c>
      <c r="AB132" s="2101">
        <v>20</v>
      </c>
      <c r="AC132" s="2102" t="s">
        <v>734</v>
      </c>
      <c r="AD132" s="3062"/>
      <c r="AE132" s="3053"/>
      <c r="AF132" s="3053"/>
      <c r="AG132" s="3053"/>
      <c r="AH132" s="3053"/>
      <c r="AI132" s="3053"/>
      <c r="AJ132" s="3053"/>
      <c r="AK132" s="3053"/>
      <c r="AL132" s="3053"/>
      <c r="AM132" s="3053"/>
      <c r="AN132" s="3053"/>
      <c r="AO132" s="3053"/>
      <c r="AP132" s="3053"/>
      <c r="AQ132" s="3053"/>
      <c r="AR132" s="3053"/>
      <c r="AS132" s="3053"/>
      <c r="AT132" s="3053"/>
      <c r="AU132" s="3053"/>
      <c r="AV132" s="3053"/>
      <c r="AW132" s="3053"/>
      <c r="AX132" s="3053"/>
      <c r="AY132" s="3053"/>
      <c r="AZ132" s="3053"/>
      <c r="BA132" s="3053"/>
      <c r="BB132" s="3053"/>
      <c r="BC132" s="2103"/>
      <c r="BD132" s="3053"/>
      <c r="BE132" s="3053"/>
      <c r="BF132" s="3053"/>
      <c r="BG132" s="3053"/>
      <c r="BH132" s="3053"/>
      <c r="BI132" s="3053"/>
      <c r="BJ132" s="3096"/>
      <c r="BK132" s="3001"/>
      <c r="BL132" s="3001"/>
      <c r="BM132" s="3004"/>
      <c r="BN132" s="3096"/>
      <c r="BO132" s="3237"/>
      <c r="BP132" s="3237"/>
      <c r="BQ132" s="3240"/>
      <c r="BR132" s="3240"/>
      <c r="BS132" s="3242"/>
      <c r="BT132" s="3242"/>
      <c r="BU132" s="3096"/>
    </row>
    <row r="133" spans="1:73" ht="88.5" customHeight="1" x14ac:dyDescent="0.25">
      <c r="A133" s="2053"/>
      <c r="B133" s="2080"/>
      <c r="C133" s="2104"/>
      <c r="D133" s="2087"/>
      <c r="E133" s="3228"/>
      <c r="F133" s="3228"/>
      <c r="G133" s="2907"/>
      <c r="H133" s="3229"/>
      <c r="I133" s="2907"/>
      <c r="J133" s="3013"/>
      <c r="K133" s="3226"/>
      <c r="L133" s="2972"/>
      <c r="M133" s="3226"/>
      <c r="N133" s="2972"/>
      <c r="O133" s="3025"/>
      <c r="P133" s="3025"/>
      <c r="Q133" s="2970"/>
      <c r="R133" s="3217"/>
      <c r="S133" s="3219"/>
      <c r="T133" s="3221"/>
      <c r="U133" s="3217"/>
      <c r="V133" s="3223"/>
      <c r="W133" s="3072"/>
      <c r="X133" s="2009">
        <f>20000000+19630000</f>
        <v>39630000</v>
      </c>
      <c r="Y133" s="2009">
        <v>0</v>
      </c>
      <c r="Z133" s="2009">
        <v>0</v>
      </c>
      <c r="AA133" s="1708" t="s">
        <v>3156</v>
      </c>
      <c r="AB133" s="2018">
        <v>88</v>
      </c>
      <c r="AC133" s="2019" t="s">
        <v>2980</v>
      </c>
      <c r="AD133" s="3063"/>
      <c r="AE133" s="3054"/>
      <c r="AF133" s="3054"/>
      <c r="AG133" s="3054"/>
      <c r="AH133" s="3054"/>
      <c r="AI133" s="3054"/>
      <c r="AJ133" s="3054"/>
      <c r="AK133" s="3054"/>
      <c r="AL133" s="3054"/>
      <c r="AM133" s="3054"/>
      <c r="AN133" s="3054"/>
      <c r="AO133" s="3054"/>
      <c r="AP133" s="3054"/>
      <c r="AQ133" s="3054"/>
      <c r="AR133" s="3054"/>
      <c r="AS133" s="3054"/>
      <c r="AT133" s="3054"/>
      <c r="AU133" s="3054"/>
      <c r="AV133" s="3054"/>
      <c r="AW133" s="3054"/>
      <c r="AX133" s="3054"/>
      <c r="AY133" s="3054"/>
      <c r="AZ133" s="3054"/>
      <c r="BA133" s="3054"/>
      <c r="BB133" s="3054"/>
      <c r="BC133" s="2103"/>
      <c r="BD133" s="3054"/>
      <c r="BE133" s="3054"/>
      <c r="BF133" s="3054"/>
      <c r="BG133" s="3054"/>
      <c r="BH133" s="3054"/>
      <c r="BI133" s="3054"/>
      <c r="BJ133" s="3096"/>
      <c r="BK133" s="3002"/>
      <c r="BL133" s="3002"/>
      <c r="BM133" s="3005"/>
      <c r="BN133" s="3097"/>
      <c r="BO133" s="3238"/>
      <c r="BP133" s="3237"/>
      <c r="BQ133" s="3240"/>
      <c r="BR133" s="3240"/>
      <c r="BS133" s="3242"/>
      <c r="BT133" s="3242"/>
      <c r="BU133" s="3096"/>
    </row>
    <row r="134" spans="1:73" ht="15.75" x14ac:dyDescent="0.25">
      <c r="A134" s="2053"/>
      <c r="B134" s="2080"/>
      <c r="C134" s="309">
        <v>45</v>
      </c>
      <c r="D134" s="3155" t="s">
        <v>72</v>
      </c>
      <c r="E134" s="3156"/>
      <c r="F134" s="3156"/>
      <c r="G134" s="3156"/>
      <c r="H134" s="3156"/>
      <c r="I134" s="2105"/>
      <c r="J134" s="2106"/>
      <c r="K134" s="2107"/>
      <c r="L134" s="2108"/>
      <c r="M134" s="2107"/>
      <c r="N134" s="2108"/>
      <c r="O134" s="2109"/>
      <c r="P134" s="2109"/>
      <c r="Q134" s="2109"/>
      <c r="R134" s="2106"/>
      <c r="S134" s="2110"/>
      <c r="T134" s="2111"/>
      <c r="U134" s="2106"/>
      <c r="V134" s="2108"/>
      <c r="W134" s="2060"/>
      <c r="X134" s="2046"/>
      <c r="Y134" s="2046"/>
      <c r="Z134" s="2046"/>
      <c r="AA134" s="2112"/>
      <c r="AB134" s="2113"/>
      <c r="AC134" s="2114"/>
      <c r="AD134" s="2065"/>
      <c r="AE134" s="2065"/>
      <c r="AF134" s="2065"/>
      <c r="AG134" s="2065"/>
      <c r="AH134" s="2065"/>
      <c r="AI134" s="2065"/>
      <c r="AJ134" s="2065"/>
      <c r="AK134" s="2065"/>
      <c r="AL134" s="2065"/>
      <c r="AM134" s="2065"/>
      <c r="AN134" s="2065"/>
      <c r="AO134" s="2065"/>
      <c r="AP134" s="2065"/>
      <c r="AQ134" s="2065"/>
      <c r="AR134" s="2065"/>
      <c r="AS134" s="2065"/>
      <c r="AT134" s="2065"/>
      <c r="AU134" s="2065"/>
      <c r="AV134" s="2065"/>
      <c r="AW134" s="2065"/>
      <c r="AX134" s="2065"/>
      <c r="AY134" s="2065"/>
      <c r="AZ134" s="2065"/>
      <c r="BA134" s="2065"/>
      <c r="BB134" s="2065"/>
      <c r="BC134" s="2065"/>
      <c r="BD134" s="2065"/>
      <c r="BE134" s="2065"/>
      <c r="BF134" s="2065"/>
      <c r="BG134" s="2065"/>
      <c r="BH134" s="2065"/>
      <c r="BI134" s="2065"/>
      <c r="BJ134" s="3230"/>
      <c r="BK134" s="3231"/>
      <c r="BL134" s="3231"/>
      <c r="BM134" s="3231"/>
      <c r="BN134" s="3231"/>
      <c r="BO134" s="3231"/>
      <c r="BP134" s="3231"/>
      <c r="BQ134" s="3231"/>
      <c r="BR134" s="3231"/>
      <c r="BS134" s="3231"/>
      <c r="BT134" s="3231"/>
      <c r="BU134" s="3232"/>
    </row>
    <row r="135" spans="1:73" s="2115" customFormat="1" ht="38.1" customHeight="1" x14ac:dyDescent="0.25">
      <c r="A135" s="2053"/>
      <c r="B135" s="2008"/>
      <c r="C135" s="1995"/>
      <c r="D135" s="2008"/>
      <c r="E135" s="1408">
        <v>4503</v>
      </c>
      <c r="F135" s="3161" t="s">
        <v>3158</v>
      </c>
      <c r="G135" s="3065"/>
      <c r="H135" s="3065"/>
      <c r="I135" s="3065"/>
      <c r="J135" s="3065"/>
      <c r="K135" s="3065"/>
      <c r="L135" s="3065"/>
      <c r="M135" s="3065"/>
      <c r="N135" s="2025"/>
      <c r="O135" s="2021"/>
      <c r="P135" s="2021"/>
      <c r="Q135" s="2021"/>
      <c r="R135" s="2025"/>
      <c r="S135" s="2021"/>
      <c r="T135" s="2068"/>
      <c r="U135" s="2025"/>
      <c r="V135" s="2025"/>
      <c r="W135" s="2028"/>
      <c r="X135" s="2023"/>
      <c r="Y135" s="2023"/>
      <c r="Z135" s="2023"/>
      <c r="AA135" s="2024"/>
      <c r="AB135" s="2022"/>
      <c r="AC135" s="2028"/>
      <c r="AD135" s="2022"/>
      <c r="AE135" s="2022"/>
      <c r="AF135" s="2022"/>
      <c r="AG135" s="2022"/>
      <c r="AH135" s="2022"/>
      <c r="AI135" s="2022"/>
      <c r="AJ135" s="2022"/>
      <c r="AK135" s="2022"/>
      <c r="AL135" s="2022"/>
      <c r="AM135" s="2022"/>
      <c r="AN135" s="2022"/>
      <c r="AO135" s="2022"/>
      <c r="AP135" s="2022"/>
      <c r="AQ135" s="2022"/>
      <c r="AR135" s="2022"/>
      <c r="AS135" s="2022"/>
      <c r="AT135" s="2022"/>
      <c r="AU135" s="2022"/>
      <c r="AV135" s="2022"/>
      <c r="AW135" s="2022"/>
      <c r="AX135" s="2022"/>
      <c r="AY135" s="2022"/>
      <c r="AZ135" s="2022"/>
      <c r="BA135" s="2022"/>
      <c r="BB135" s="2022"/>
      <c r="BC135" s="2022"/>
      <c r="BD135" s="2022"/>
      <c r="BE135" s="2022"/>
      <c r="BF135" s="2022"/>
      <c r="BG135" s="2022"/>
      <c r="BH135" s="2022"/>
      <c r="BI135" s="2022"/>
      <c r="BJ135" s="3233"/>
      <c r="BK135" s="3234"/>
      <c r="BL135" s="3234"/>
      <c r="BM135" s="3234"/>
      <c r="BN135" s="3234"/>
      <c r="BO135" s="3234"/>
      <c r="BP135" s="3234"/>
      <c r="BQ135" s="3234"/>
      <c r="BR135" s="3234"/>
      <c r="BS135" s="3234"/>
      <c r="BT135" s="3234"/>
      <c r="BU135" s="3235"/>
    </row>
    <row r="136" spans="1:73" ht="48" customHeight="1" x14ac:dyDescent="0.25">
      <c r="A136" s="2053"/>
      <c r="B136" s="2921"/>
      <c r="C136" s="2007"/>
      <c r="D136" s="2008"/>
      <c r="E136" s="3227"/>
      <c r="F136" s="3227"/>
      <c r="G136" s="3244">
        <v>4503002</v>
      </c>
      <c r="H136" s="3246" t="s">
        <v>3159</v>
      </c>
      <c r="I136" s="3244">
        <v>4503002</v>
      </c>
      <c r="J136" s="3246" t="s">
        <v>3159</v>
      </c>
      <c r="K136" s="3262">
        <v>450300200</v>
      </c>
      <c r="L136" s="3264" t="s">
        <v>1399</v>
      </c>
      <c r="M136" s="3262">
        <v>450300200</v>
      </c>
      <c r="N136" s="3257" t="s">
        <v>1399</v>
      </c>
      <c r="O136" s="3251">
        <v>4000</v>
      </c>
      <c r="P136" s="3251">
        <v>1000</v>
      </c>
      <c r="Q136" s="3256" t="s">
        <v>3160</v>
      </c>
      <c r="R136" s="3257" t="s">
        <v>3161</v>
      </c>
      <c r="S136" s="3258">
        <f>SUM(X136:X142)/SUM(T136:T174)</f>
        <v>7.3076986232303104E-2</v>
      </c>
      <c r="T136" s="3259">
        <f>SUM(X136:X174)</f>
        <v>547367948</v>
      </c>
      <c r="U136" s="3260" t="s">
        <v>3162</v>
      </c>
      <c r="V136" s="3274" t="s">
        <v>3163</v>
      </c>
      <c r="W136" s="3266" t="s">
        <v>3164</v>
      </c>
      <c r="X136" s="1653">
        <v>14000000</v>
      </c>
      <c r="Y136" s="1653">
        <v>14000000</v>
      </c>
      <c r="Z136" s="1653">
        <v>14000000</v>
      </c>
      <c r="AA136" s="1708" t="s">
        <v>3165</v>
      </c>
      <c r="AB136" s="2010">
        <v>20</v>
      </c>
      <c r="AC136" s="2011" t="s">
        <v>734</v>
      </c>
      <c r="AD136" s="3134">
        <v>296582</v>
      </c>
      <c r="AE136" s="3052">
        <v>759</v>
      </c>
      <c r="AF136" s="3052">
        <v>284952</v>
      </c>
      <c r="AG136" s="3052">
        <v>697</v>
      </c>
      <c r="AH136" s="3052">
        <v>135545</v>
      </c>
      <c r="AI136" s="3052">
        <v>64</v>
      </c>
      <c r="AJ136" s="3052">
        <v>44254</v>
      </c>
      <c r="AK136" s="3052">
        <v>0</v>
      </c>
      <c r="AL136" s="3052">
        <v>309146</v>
      </c>
      <c r="AM136" s="3052">
        <v>1392</v>
      </c>
      <c r="AN136" s="3052">
        <v>92589</v>
      </c>
      <c r="AO136" s="3052">
        <v>0</v>
      </c>
      <c r="AP136" s="3052">
        <v>2145</v>
      </c>
      <c r="AQ136" s="3052"/>
      <c r="AR136" s="3052">
        <v>12718</v>
      </c>
      <c r="AS136" s="3052"/>
      <c r="AT136" s="3052">
        <v>0</v>
      </c>
      <c r="AU136" s="3052"/>
      <c r="AV136" s="3052">
        <v>0</v>
      </c>
      <c r="AW136" s="3052"/>
      <c r="AX136" s="3052">
        <v>0</v>
      </c>
      <c r="AY136" s="3052"/>
      <c r="AZ136" s="3052">
        <v>0</v>
      </c>
      <c r="BA136" s="3052"/>
      <c r="BB136" s="3052">
        <v>0</v>
      </c>
      <c r="BC136" s="3052"/>
      <c r="BD136" s="3052">
        <v>0</v>
      </c>
      <c r="BE136" s="3052"/>
      <c r="BF136" s="3052">
        <v>0</v>
      </c>
      <c r="BG136" s="3052">
        <f>AD136+AF136</f>
        <v>581534</v>
      </c>
      <c r="BH136" s="3052">
        <f>AE136+AG136</f>
        <v>1456</v>
      </c>
      <c r="BI136" s="3052"/>
      <c r="BJ136" s="3265"/>
      <c r="BK136" s="3000">
        <f>SUM(Y136:Y174)</f>
        <v>114340269</v>
      </c>
      <c r="BL136" s="3000">
        <f>SUM(Z136:Z174)</f>
        <v>55188234</v>
      </c>
      <c r="BM136" s="3003">
        <f>BL136/BK136</f>
        <v>0.48266664476712051</v>
      </c>
      <c r="BN136" s="3095">
        <v>20</v>
      </c>
      <c r="BO136" s="3236" t="s">
        <v>86</v>
      </c>
      <c r="BP136" s="3269" t="s">
        <v>3018</v>
      </c>
      <c r="BQ136" s="2999">
        <v>44198</v>
      </c>
      <c r="BR136" s="2999">
        <v>44250</v>
      </c>
      <c r="BS136" s="2999">
        <v>44560</v>
      </c>
      <c r="BT136" s="3265">
        <v>44491</v>
      </c>
      <c r="BU136" s="3265" t="s">
        <v>2978</v>
      </c>
    </row>
    <row r="137" spans="1:73" ht="36" customHeight="1" x14ac:dyDescent="0.25">
      <c r="A137" s="2053"/>
      <c r="B137" s="2921"/>
      <c r="C137" s="2007"/>
      <c r="D137" s="2008"/>
      <c r="E137" s="3227"/>
      <c r="F137" s="3227"/>
      <c r="G137" s="3244"/>
      <c r="H137" s="3246"/>
      <c r="I137" s="3244"/>
      <c r="J137" s="3246"/>
      <c r="K137" s="3262"/>
      <c r="L137" s="3264"/>
      <c r="M137" s="3262"/>
      <c r="N137" s="3257"/>
      <c r="O137" s="3251"/>
      <c r="P137" s="3251"/>
      <c r="Q137" s="3256"/>
      <c r="R137" s="3257"/>
      <c r="S137" s="3258"/>
      <c r="T137" s="3259"/>
      <c r="U137" s="3260"/>
      <c r="V137" s="3274"/>
      <c r="W137" s="3267"/>
      <c r="X137" s="1653">
        <v>12000000</v>
      </c>
      <c r="Y137" s="1653">
        <v>0</v>
      </c>
      <c r="Z137" s="1653">
        <v>0</v>
      </c>
      <c r="AA137" s="1708" t="s">
        <v>3166</v>
      </c>
      <c r="AB137" s="2010">
        <v>88</v>
      </c>
      <c r="AC137" s="2019" t="s">
        <v>2980</v>
      </c>
      <c r="AD137" s="3135"/>
      <c r="AE137" s="3053"/>
      <c r="AF137" s="3053"/>
      <c r="AG137" s="3053"/>
      <c r="AH137" s="3053"/>
      <c r="AI137" s="3053"/>
      <c r="AJ137" s="3053"/>
      <c r="AK137" s="3053"/>
      <c r="AL137" s="3053"/>
      <c r="AM137" s="3053"/>
      <c r="AN137" s="3053"/>
      <c r="AO137" s="3053"/>
      <c r="AP137" s="3053"/>
      <c r="AQ137" s="3053"/>
      <c r="AR137" s="3053"/>
      <c r="AS137" s="3053"/>
      <c r="AT137" s="3053"/>
      <c r="AU137" s="3053"/>
      <c r="AV137" s="3053"/>
      <c r="AW137" s="3053"/>
      <c r="AX137" s="3053"/>
      <c r="AY137" s="3053"/>
      <c r="AZ137" s="3053"/>
      <c r="BA137" s="3053"/>
      <c r="BB137" s="3053"/>
      <c r="BC137" s="3053"/>
      <c r="BD137" s="3053"/>
      <c r="BE137" s="3053"/>
      <c r="BF137" s="3053"/>
      <c r="BG137" s="3053"/>
      <c r="BH137" s="3053"/>
      <c r="BI137" s="3053"/>
      <c r="BJ137" s="3265"/>
      <c r="BK137" s="3001"/>
      <c r="BL137" s="3001"/>
      <c r="BM137" s="3004"/>
      <c r="BN137" s="3096"/>
      <c r="BO137" s="3237"/>
      <c r="BP137" s="3269"/>
      <c r="BQ137" s="2999"/>
      <c r="BR137" s="2999"/>
      <c r="BS137" s="2999"/>
      <c r="BT137" s="3265"/>
      <c r="BU137" s="3265"/>
    </row>
    <row r="138" spans="1:73" ht="39.75" customHeight="1" x14ac:dyDescent="0.25">
      <c r="A138" s="2053"/>
      <c r="B138" s="2921"/>
      <c r="C138" s="2007"/>
      <c r="D138" s="2008"/>
      <c r="E138" s="3227"/>
      <c r="F138" s="3227"/>
      <c r="G138" s="3245"/>
      <c r="H138" s="3246"/>
      <c r="I138" s="3245"/>
      <c r="J138" s="3246"/>
      <c r="K138" s="3262"/>
      <c r="L138" s="3257"/>
      <c r="M138" s="3262"/>
      <c r="N138" s="3257"/>
      <c r="O138" s="3251"/>
      <c r="P138" s="3251"/>
      <c r="Q138" s="3256"/>
      <c r="R138" s="3257"/>
      <c r="S138" s="3258"/>
      <c r="T138" s="3259"/>
      <c r="U138" s="3260"/>
      <c r="V138" s="3274"/>
      <c r="W138" s="3266" t="s">
        <v>3167</v>
      </c>
      <c r="X138" s="1653">
        <v>2000000</v>
      </c>
      <c r="Y138" s="1653"/>
      <c r="Z138" s="1653"/>
      <c r="AA138" s="1708" t="s">
        <v>3165</v>
      </c>
      <c r="AB138" s="2010">
        <v>20</v>
      </c>
      <c r="AC138" s="2011" t="s">
        <v>734</v>
      </c>
      <c r="AD138" s="3135"/>
      <c r="AE138" s="3053"/>
      <c r="AF138" s="3053"/>
      <c r="AG138" s="3053"/>
      <c r="AH138" s="3053"/>
      <c r="AI138" s="3053"/>
      <c r="AJ138" s="3053"/>
      <c r="AK138" s="3053"/>
      <c r="AL138" s="3053"/>
      <c r="AM138" s="3053"/>
      <c r="AN138" s="3053"/>
      <c r="AO138" s="3053"/>
      <c r="AP138" s="3053"/>
      <c r="AQ138" s="3053"/>
      <c r="AR138" s="3053"/>
      <c r="AS138" s="3053"/>
      <c r="AT138" s="3053"/>
      <c r="AU138" s="3053"/>
      <c r="AV138" s="3053"/>
      <c r="AW138" s="3053"/>
      <c r="AX138" s="3053"/>
      <c r="AY138" s="3053"/>
      <c r="AZ138" s="3053"/>
      <c r="BA138" s="3053"/>
      <c r="BB138" s="3053"/>
      <c r="BC138" s="3053"/>
      <c r="BD138" s="3053"/>
      <c r="BE138" s="3053"/>
      <c r="BF138" s="3053"/>
      <c r="BG138" s="3053"/>
      <c r="BH138" s="3053"/>
      <c r="BI138" s="3053"/>
      <c r="BJ138" s="3265"/>
      <c r="BK138" s="3001"/>
      <c r="BL138" s="3001"/>
      <c r="BM138" s="3004"/>
      <c r="BN138" s="3096"/>
      <c r="BO138" s="3237"/>
      <c r="BP138" s="3269"/>
      <c r="BQ138" s="2999"/>
      <c r="BR138" s="2999"/>
      <c r="BS138" s="2999"/>
      <c r="BT138" s="3265"/>
      <c r="BU138" s="3265"/>
    </row>
    <row r="139" spans="1:73" ht="39.75" customHeight="1" x14ac:dyDescent="0.25">
      <c r="A139" s="2053"/>
      <c r="B139" s="2921"/>
      <c r="C139" s="2007"/>
      <c r="D139" s="2008"/>
      <c r="E139" s="3227"/>
      <c r="F139" s="3227"/>
      <c r="G139" s="3245"/>
      <c r="H139" s="3246"/>
      <c r="I139" s="3245"/>
      <c r="J139" s="3246"/>
      <c r="K139" s="3262"/>
      <c r="L139" s="3257"/>
      <c r="M139" s="3262"/>
      <c r="N139" s="3257"/>
      <c r="O139" s="3251"/>
      <c r="P139" s="3251"/>
      <c r="Q139" s="3256"/>
      <c r="R139" s="3257"/>
      <c r="S139" s="3258"/>
      <c r="T139" s="3259"/>
      <c r="U139" s="3260"/>
      <c r="V139" s="3275"/>
      <c r="W139" s="3267"/>
      <c r="X139" s="1653">
        <v>5000000</v>
      </c>
      <c r="Y139" s="1653">
        <v>0</v>
      </c>
      <c r="Z139" s="1653">
        <v>0</v>
      </c>
      <c r="AA139" s="1708" t="s">
        <v>3168</v>
      </c>
      <c r="AB139" s="2010">
        <v>88</v>
      </c>
      <c r="AC139" s="2019" t="s">
        <v>2980</v>
      </c>
      <c r="AD139" s="3135"/>
      <c r="AE139" s="3053"/>
      <c r="AF139" s="3053"/>
      <c r="AG139" s="3053"/>
      <c r="AH139" s="3053"/>
      <c r="AI139" s="3053"/>
      <c r="AJ139" s="3053"/>
      <c r="AK139" s="3053"/>
      <c r="AL139" s="3053"/>
      <c r="AM139" s="3053"/>
      <c r="AN139" s="3053"/>
      <c r="AO139" s="3053"/>
      <c r="AP139" s="3053"/>
      <c r="AQ139" s="3053"/>
      <c r="AR139" s="3053"/>
      <c r="AS139" s="3053"/>
      <c r="AT139" s="3053"/>
      <c r="AU139" s="3053"/>
      <c r="AV139" s="3053"/>
      <c r="AW139" s="3053"/>
      <c r="AX139" s="3053"/>
      <c r="AY139" s="3053"/>
      <c r="AZ139" s="3053"/>
      <c r="BA139" s="3053"/>
      <c r="BB139" s="3053"/>
      <c r="BC139" s="3053"/>
      <c r="BD139" s="3053"/>
      <c r="BE139" s="3053"/>
      <c r="BF139" s="3053"/>
      <c r="BG139" s="3053"/>
      <c r="BH139" s="3053"/>
      <c r="BI139" s="3053"/>
      <c r="BJ139" s="3265"/>
      <c r="BK139" s="3001"/>
      <c r="BL139" s="3001"/>
      <c r="BM139" s="3004"/>
      <c r="BN139" s="3096"/>
      <c r="BO139" s="3237"/>
      <c r="BP139" s="3269"/>
      <c r="BQ139" s="2999"/>
      <c r="BR139" s="2999"/>
      <c r="BS139" s="2999"/>
      <c r="BT139" s="3265"/>
      <c r="BU139" s="3265"/>
    </row>
    <row r="140" spans="1:73" ht="39.75" customHeight="1" x14ac:dyDescent="0.25">
      <c r="A140" s="2053"/>
      <c r="B140" s="2921"/>
      <c r="C140" s="2007"/>
      <c r="D140" s="2008"/>
      <c r="E140" s="3227"/>
      <c r="F140" s="3227"/>
      <c r="G140" s="3245"/>
      <c r="H140" s="3246"/>
      <c r="I140" s="3245"/>
      <c r="J140" s="3246"/>
      <c r="K140" s="3262"/>
      <c r="L140" s="3257"/>
      <c r="M140" s="3262"/>
      <c r="N140" s="3257"/>
      <c r="O140" s="3251"/>
      <c r="P140" s="3251"/>
      <c r="Q140" s="3256"/>
      <c r="R140" s="3257"/>
      <c r="S140" s="3258"/>
      <c r="T140" s="3259"/>
      <c r="U140" s="3260"/>
      <c r="V140" s="3275"/>
      <c r="W140" s="3266" t="s">
        <v>3169</v>
      </c>
      <c r="X140" s="1653">
        <f>2000000-2000000</f>
        <v>0</v>
      </c>
      <c r="Y140" s="1653">
        <v>0</v>
      </c>
      <c r="Z140" s="1653">
        <v>0</v>
      </c>
      <c r="AA140" s="1708" t="s">
        <v>3165</v>
      </c>
      <c r="AB140" s="2010"/>
      <c r="AC140" s="2011"/>
      <c r="AD140" s="3135"/>
      <c r="AE140" s="3053"/>
      <c r="AF140" s="3053"/>
      <c r="AG140" s="3053"/>
      <c r="AH140" s="3053"/>
      <c r="AI140" s="3053"/>
      <c r="AJ140" s="3053"/>
      <c r="AK140" s="3053"/>
      <c r="AL140" s="3053"/>
      <c r="AM140" s="3053"/>
      <c r="AN140" s="3053"/>
      <c r="AO140" s="3053"/>
      <c r="AP140" s="3053"/>
      <c r="AQ140" s="3053"/>
      <c r="AR140" s="3053"/>
      <c r="AS140" s="3053"/>
      <c r="AT140" s="3053"/>
      <c r="AU140" s="3053"/>
      <c r="AV140" s="3053"/>
      <c r="AW140" s="3053"/>
      <c r="AX140" s="3053"/>
      <c r="AY140" s="3053"/>
      <c r="AZ140" s="3053"/>
      <c r="BA140" s="3053"/>
      <c r="BB140" s="3053"/>
      <c r="BC140" s="3053"/>
      <c r="BD140" s="3053"/>
      <c r="BE140" s="3053"/>
      <c r="BF140" s="3053"/>
      <c r="BG140" s="3053"/>
      <c r="BH140" s="3053"/>
      <c r="BI140" s="3053"/>
      <c r="BJ140" s="3265"/>
      <c r="BK140" s="3001"/>
      <c r="BL140" s="3001"/>
      <c r="BM140" s="3004"/>
      <c r="BN140" s="3096"/>
      <c r="BO140" s="3237"/>
      <c r="BP140" s="3269"/>
      <c r="BQ140" s="2999"/>
      <c r="BR140" s="2999"/>
      <c r="BS140" s="2999"/>
      <c r="BT140" s="3265"/>
      <c r="BU140" s="3265"/>
    </row>
    <row r="141" spans="1:73" ht="39.75" customHeight="1" x14ac:dyDescent="0.25">
      <c r="A141" s="2053"/>
      <c r="B141" s="2921"/>
      <c r="C141" s="2007"/>
      <c r="D141" s="2008"/>
      <c r="E141" s="3227"/>
      <c r="F141" s="3227"/>
      <c r="G141" s="3245"/>
      <c r="H141" s="3246"/>
      <c r="I141" s="3245"/>
      <c r="J141" s="3246"/>
      <c r="K141" s="3262"/>
      <c r="L141" s="3257"/>
      <c r="M141" s="3262"/>
      <c r="N141" s="3257"/>
      <c r="O141" s="3251"/>
      <c r="P141" s="3251"/>
      <c r="Q141" s="3256"/>
      <c r="R141" s="3257"/>
      <c r="S141" s="3258"/>
      <c r="T141" s="3259"/>
      <c r="U141" s="3260"/>
      <c r="V141" s="3275"/>
      <c r="W141" s="3268"/>
      <c r="X141" s="1653">
        <v>2000000</v>
      </c>
      <c r="Y141" s="1653">
        <v>2000000</v>
      </c>
      <c r="Z141" s="1653">
        <v>0</v>
      </c>
      <c r="AA141" s="1708" t="s">
        <v>3170</v>
      </c>
      <c r="AB141" s="2015">
        <v>20</v>
      </c>
      <c r="AC141" s="2016" t="s">
        <v>734</v>
      </c>
      <c r="AD141" s="3135"/>
      <c r="AE141" s="3053"/>
      <c r="AF141" s="3053"/>
      <c r="AG141" s="3053"/>
      <c r="AH141" s="3053"/>
      <c r="AI141" s="3053"/>
      <c r="AJ141" s="3053"/>
      <c r="AK141" s="3053"/>
      <c r="AL141" s="3053"/>
      <c r="AM141" s="3053"/>
      <c r="AN141" s="3053"/>
      <c r="AO141" s="3053"/>
      <c r="AP141" s="3053"/>
      <c r="AQ141" s="3053"/>
      <c r="AR141" s="3053"/>
      <c r="AS141" s="3053"/>
      <c r="AT141" s="3053"/>
      <c r="AU141" s="3053"/>
      <c r="AV141" s="3053"/>
      <c r="AW141" s="3053"/>
      <c r="AX141" s="3053"/>
      <c r="AY141" s="3053"/>
      <c r="AZ141" s="3053"/>
      <c r="BA141" s="3053"/>
      <c r="BB141" s="3053"/>
      <c r="BC141" s="3053"/>
      <c r="BD141" s="3053"/>
      <c r="BE141" s="3053"/>
      <c r="BF141" s="3053"/>
      <c r="BG141" s="3053"/>
      <c r="BH141" s="3053"/>
      <c r="BI141" s="3053"/>
      <c r="BJ141" s="3265"/>
      <c r="BK141" s="3001"/>
      <c r="BL141" s="3001"/>
      <c r="BM141" s="3004"/>
      <c r="BN141" s="3096"/>
      <c r="BO141" s="3237"/>
      <c r="BP141" s="3269"/>
      <c r="BQ141" s="2999"/>
      <c r="BR141" s="2999"/>
      <c r="BS141" s="2999"/>
      <c r="BT141" s="3265"/>
      <c r="BU141" s="3265"/>
    </row>
    <row r="142" spans="1:73" ht="52.5" customHeight="1" x14ac:dyDescent="0.25">
      <c r="A142" s="2053"/>
      <c r="B142" s="2921"/>
      <c r="C142" s="2007"/>
      <c r="D142" s="2008"/>
      <c r="E142" s="3227"/>
      <c r="F142" s="3227"/>
      <c r="G142" s="3245"/>
      <c r="H142" s="3247"/>
      <c r="I142" s="3245"/>
      <c r="J142" s="3247"/>
      <c r="K142" s="3263"/>
      <c r="L142" s="3257"/>
      <c r="M142" s="3263"/>
      <c r="N142" s="3257"/>
      <c r="O142" s="3251"/>
      <c r="P142" s="3251"/>
      <c r="Q142" s="3256"/>
      <c r="R142" s="3257"/>
      <c r="S142" s="3258"/>
      <c r="T142" s="3259"/>
      <c r="U142" s="3260"/>
      <c r="V142" s="3275"/>
      <c r="W142" s="3268"/>
      <c r="X142" s="2009">
        <v>5000000</v>
      </c>
      <c r="Y142" s="2009">
        <v>0</v>
      </c>
      <c r="Z142" s="2009">
        <v>0</v>
      </c>
      <c r="AA142" s="1708" t="s">
        <v>3171</v>
      </c>
      <c r="AB142" s="2010">
        <v>88</v>
      </c>
      <c r="AC142" s="2019" t="s">
        <v>2980</v>
      </c>
      <c r="AD142" s="3135"/>
      <c r="AE142" s="3053"/>
      <c r="AF142" s="3053"/>
      <c r="AG142" s="3053"/>
      <c r="AH142" s="3053"/>
      <c r="AI142" s="3053"/>
      <c r="AJ142" s="3053"/>
      <c r="AK142" s="3053"/>
      <c r="AL142" s="3053"/>
      <c r="AM142" s="3053"/>
      <c r="AN142" s="3053"/>
      <c r="AO142" s="3053"/>
      <c r="AP142" s="3053"/>
      <c r="AQ142" s="3053"/>
      <c r="AR142" s="3053"/>
      <c r="AS142" s="3053"/>
      <c r="AT142" s="3053"/>
      <c r="AU142" s="3053"/>
      <c r="AV142" s="3053"/>
      <c r="AW142" s="3053"/>
      <c r="AX142" s="3053"/>
      <c r="AY142" s="3053"/>
      <c r="AZ142" s="3053"/>
      <c r="BA142" s="3053"/>
      <c r="BB142" s="3053"/>
      <c r="BC142" s="3053"/>
      <c r="BD142" s="3053"/>
      <c r="BE142" s="3053"/>
      <c r="BF142" s="3053"/>
      <c r="BG142" s="3053"/>
      <c r="BH142" s="3053"/>
      <c r="BI142" s="3053"/>
      <c r="BJ142" s="3265"/>
      <c r="BK142" s="3001"/>
      <c r="BL142" s="3001"/>
      <c r="BM142" s="3004"/>
      <c r="BN142" s="3096"/>
      <c r="BO142" s="3237"/>
      <c r="BP142" s="3269"/>
      <c r="BQ142" s="2999"/>
      <c r="BR142" s="2999"/>
      <c r="BS142" s="2999"/>
      <c r="BT142" s="3265"/>
      <c r="BU142" s="3265"/>
    </row>
    <row r="143" spans="1:73" ht="49.5" customHeight="1" x14ac:dyDescent="0.25">
      <c r="A143" s="2053"/>
      <c r="B143" s="2921"/>
      <c r="C143" s="2007"/>
      <c r="D143" s="2008"/>
      <c r="E143" s="3227"/>
      <c r="F143" s="3227"/>
      <c r="G143" s="3248">
        <v>4503003</v>
      </c>
      <c r="H143" s="3249" t="s">
        <v>245</v>
      </c>
      <c r="I143" s="3248">
        <v>4503003</v>
      </c>
      <c r="J143" s="3249" t="s">
        <v>245</v>
      </c>
      <c r="K143" s="3252">
        <v>450300300</v>
      </c>
      <c r="L143" s="3254" t="s">
        <v>3172</v>
      </c>
      <c r="M143" s="3252">
        <v>450300300</v>
      </c>
      <c r="N143" s="3254" t="s">
        <v>3172</v>
      </c>
      <c r="O143" s="3248">
        <v>12</v>
      </c>
      <c r="P143" s="3248">
        <v>9</v>
      </c>
      <c r="Q143" s="3256"/>
      <c r="R143" s="3257"/>
      <c r="S143" s="3258">
        <f>SUM(X143:X167)/T136</f>
        <v>0.75792253001997112</v>
      </c>
      <c r="T143" s="3259"/>
      <c r="U143" s="3260"/>
      <c r="V143" s="3255" t="s">
        <v>3173</v>
      </c>
      <c r="W143" s="2577" t="s">
        <v>3174</v>
      </c>
      <c r="X143" s="1653">
        <v>10000000</v>
      </c>
      <c r="Y143" s="1653">
        <v>0</v>
      </c>
      <c r="Z143" s="1653">
        <v>0</v>
      </c>
      <c r="AA143" s="1708" t="s">
        <v>3175</v>
      </c>
      <c r="AB143" s="2116">
        <v>20</v>
      </c>
      <c r="AC143" s="1713" t="s">
        <v>734</v>
      </c>
      <c r="AD143" s="3135"/>
      <c r="AE143" s="3053"/>
      <c r="AF143" s="3053"/>
      <c r="AG143" s="3053"/>
      <c r="AH143" s="3053"/>
      <c r="AI143" s="3053"/>
      <c r="AJ143" s="3053"/>
      <c r="AK143" s="3053"/>
      <c r="AL143" s="3053"/>
      <c r="AM143" s="3053"/>
      <c r="AN143" s="3053"/>
      <c r="AO143" s="3053"/>
      <c r="AP143" s="3053"/>
      <c r="AQ143" s="3053"/>
      <c r="AR143" s="3053"/>
      <c r="AS143" s="3053"/>
      <c r="AT143" s="3053"/>
      <c r="AU143" s="3053"/>
      <c r="AV143" s="3053"/>
      <c r="AW143" s="3053"/>
      <c r="AX143" s="3053"/>
      <c r="AY143" s="3053"/>
      <c r="AZ143" s="3053"/>
      <c r="BA143" s="3053"/>
      <c r="BB143" s="3053"/>
      <c r="BC143" s="3053"/>
      <c r="BD143" s="3053"/>
      <c r="BE143" s="3053"/>
      <c r="BF143" s="3053"/>
      <c r="BG143" s="3053"/>
      <c r="BH143" s="3053"/>
      <c r="BI143" s="3053"/>
      <c r="BJ143" s="3265"/>
      <c r="BK143" s="3001"/>
      <c r="BL143" s="3001"/>
      <c r="BM143" s="3004"/>
      <c r="BN143" s="3096"/>
      <c r="BO143" s="3237"/>
      <c r="BP143" s="3269"/>
      <c r="BQ143" s="2999"/>
      <c r="BR143" s="2999"/>
      <c r="BS143" s="2999"/>
      <c r="BT143" s="3265"/>
      <c r="BU143" s="3265"/>
    </row>
    <row r="144" spans="1:73" ht="49.5" customHeight="1" x14ac:dyDescent="0.25">
      <c r="A144" s="2053"/>
      <c r="B144" s="2921"/>
      <c r="C144" s="2007"/>
      <c r="D144" s="2008"/>
      <c r="E144" s="3227"/>
      <c r="F144" s="3227"/>
      <c r="G144" s="3248"/>
      <c r="H144" s="3250"/>
      <c r="I144" s="3248"/>
      <c r="J144" s="3250"/>
      <c r="K144" s="3253"/>
      <c r="L144" s="3254"/>
      <c r="M144" s="3253"/>
      <c r="N144" s="3254"/>
      <c r="O144" s="3248"/>
      <c r="P144" s="3248"/>
      <c r="Q144" s="3256"/>
      <c r="R144" s="3257"/>
      <c r="S144" s="3258"/>
      <c r="T144" s="3259"/>
      <c r="U144" s="3260"/>
      <c r="V144" s="3255"/>
      <c r="W144" s="2577"/>
      <c r="X144" s="1653">
        <v>10000000</v>
      </c>
      <c r="Y144" s="1653">
        <v>0</v>
      </c>
      <c r="Z144" s="1653">
        <v>0</v>
      </c>
      <c r="AA144" s="1708" t="s">
        <v>3176</v>
      </c>
      <c r="AB144" s="2010">
        <v>88</v>
      </c>
      <c r="AC144" s="2019" t="s">
        <v>2980</v>
      </c>
      <c r="AD144" s="3135"/>
      <c r="AE144" s="3053"/>
      <c r="AF144" s="3053"/>
      <c r="AG144" s="3053"/>
      <c r="AH144" s="3053"/>
      <c r="AI144" s="3053"/>
      <c r="AJ144" s="3053"/>
      <c r="AK144" s="3053"/>
      <c r="AL144" s="3053"/>
      <c r="AM144" s="3053"/>
      <c r="AN144" s="3053"/>
      <c r="AO144" s="3053"/>
      <c r="AP144" s="3053"/>
      <c r="AQ144" s="3053"/>
      <c r="AR144" s="3053"/>
      <c r="AS144" s="3053"/>
      <c r="AT144" s="3053"/>
      <c r="AU144" s="3053"/>
      <c r="AV144" s="3053"/>
      <c r="AW144" s="3053"/>
      <c r="AX144" s="3053"/>
      <c r="AY144" s="3053"/>
      <c r="AZ144" s="3053"/>
      <c r="BA144" s="3053"/>
      <c r="BB144" s="3053"/>
      <c r="BC144" s="3053"/>
      <c r="BD144" s="3053"/>
      <c r="BE144" s="3053"/>
      <c r="BF144" s="3053"/>
      <c r="BG144" s="3053"/>
      <c r="BH144" s="3053"/>
      <c r="BI144" s="3053"/>
      <c r="BJ144" s="3265"/>
      <c r="BK144" s="3001"/>
      <c r="BL144" s="3001"/>
      <c r="BM144" s="3004"/>
      <c r="BN144" s="3096"/>
      <c r="BO144" s="3237"/>
      <c r="BP144" s="3269"/>
      <c r="BQ144" s="2999"/>
      <c r="BR144" s="2999"/>
      <c r="BS144" s="2999"/>
      <c r="BT144" s="3265"/>
      <c r="BU144" s="3265"/>
    </row>
    <row r="145" spans="1:73" ht="49.5" customHeight="1" x14ac:dyDescent="0.25">
      <c r="A145" s="2053"/>
      <c r="B145" s="2921"/>
      <c r="C145" s="2007"/>
      <c r="D145" s="2008"/>
      <c r="E145" s="3227"/>
      <c r="F145" s="3227"/>
      <c r="G145" s="3248"/>
      <c r="H145" s="3250"/>
      <c r="I145" s="3248"/>
      <c r="J145" s="3250"/>
      <c r="K145" s="3253"/>
      <c r="L145" s="3254"/>
      <c r="M145" s="3253"/>
      <c r="N145" s="3254"/>
      <c r="O145" s="3248"/>
      <c r="P145" s="3248"/>
      <c r="Q145" s="3256"/>
      <c r="R145" s="3257"/>
      <c r="S145" s="3258"/>
      <c r="T145" s="3259"/>
      <c r="U145" s="3260"/>
      <c r="V145" s="3255"/>
      <c r="W145" s="1706" t="s">
        <v>3177</v>
      </c>
      <c r="X145" s="1653">
        <v>30512500</v>
      </c>
      <c r="Y145" s="1653">
        <v>8655000</v>
      </c>
      <c r="Z145" s="1653"/>
      <c r="AA145" s="1708" t="s">
        <v>3178</v>
      </c>
      <c r="AB145" s="2010">
        <v>88</v>
      </c>
      <c r="AC145" s="2019" t="s">
        <v>2980</v>
      </c>
      <c r="AD145" s="3135"/>
      <c r="AE145" s="3053"/>
      <c r="AF145" s="3053"/>
      <c r="AG145" s="3053"/>
      <c r="AH145" s="3053"/>
      <c r="AI145" s="3053"/>
      <c r="AJ145" s="3053"/>
      <c r="AK145" s="3053"/>
      <c r="AL145" s="3053"/>
      <c r="AM145" s="3053"/>
      <c r="AN145" s="3053"/>
      <c r="AO145" s="3053"/>
      <c r="AP145" s="3053"/>
      <c r="AQ145" s="3053"/>
      <c r="AR145" s="3053"/>
      <c r="AS145" s="3053"/>
      <c r="AT145" s="3053"/>
      <c r="AU145" s="3053"/>
      <c r="AV145" s="3053"/>
      <c r="AW145" s="3053"/>
      <c r="AX145" s="3053"/>
      <c r="AY145" s="3053"/>
      <c r="AZ145" s="3053"/>
      <c r="BA145" s="3053"/>
      <c r="BB145" s="3053"/>
      <c r="BC145" s="3053"/>
      <c r="BD145" s="3053"/>
      <c r="BE145" s="3053"/>
      <c r="BF145" s="3053"/>
      <c r="BG145" s="3053"/>
      <c r="BH145" s="3053"/>
      <c r="BI145" s="3053"/>
      <c r="BJ145" s="3265"/>
      <c r="BK145" s="3001"/>
      <c r="BL145" s="3001"/>
      <c r="BM145" s="3004"/>
      <c r="BN145" s="3096"/>
      <c r="BO145" s="3237"/>
      <c r="BP145" s="3269"/>
      <c r="BQ145" s="2999"/>
      <c r="BR145" s="2999"/>
      <c r="BS145" s="2999"/>
      <c r="BT145" s="3265"/>
      <c r="BU145" s="3265"/>
    </row>
    <row r="146" spans="1:73" ht="25.5" customHeight="1" x14ac:dyDescent="0.25">
      <c r="A146" s="2053"/>
      <c r="B146" s="2921"/>
      <c r="C146" s="2007"/>
      <c r="D146" s="2008"/>
      <c r="E146" s="3227"/>
      <c r="F146" s="3227"/>
      <c r="G146" s="3248"/>
      <c r="H146" s="3250"/>
      <c r="I146" s="3248"/>
      <c r="J146" s="3250"/>
      <c r="K146" s="3253"/>
      <c r="L146" s="3254"/>
      <c r="M146" s="3253"/>
      <c r="N146" s="3254"/>
      <c r="O146" s="3248"/>
      <c r="P146" s="3248"/>
      <c r="Q146" s="3256"/>
      <c r="R146" s="3257"/>
      <c r="S146" s="3258"/>
      <c r="T146" s="3259"/>
      <c r="U146" s="3260"/>
      <c r="V146" s="3255"/>
      <c r="W146" s="2577" t="s">
        <v>3179</v>
      </c>
      <c r="X146" s="1653">
        <v>28400000</v>
      </c>
      <c r="Y146" s="1653">
        <v>17200000</v>
      </c>
      <c r="Z146" s="1653">
        <v>17200000</v>
      </c>
      <c r="AA146" s="1708" t="s">
        <v>3180</v>
      </c>
      <c r="AB146" s="2117">
        <v>20</v>
      </c>
      <c r="AC146" s="1711" t="s">
        <v>734</v>
      </c>
      <c r="AD146" s="3135"/>
      <c r="AE146" s="3053"/>
      <c r="AF146" s="3053"/>
      <c r="AG146" s="3053"/>
      <c r="AH146" s="3053"/>
      <c r="AI146" s="3053"/>
      <c r="AJ146" s="3053"/>
      <c r="AK146" s="3053"/>
      <c r="AL146" s="3053"/>
      <c r="AM146" s="3053"/>
      <c r="AN146" s="3053"/>
      <c r="AO146" s="3053"/>
      <c r="AP146" s="3053"/>
      <c r="AQ146" s="3053"/>
      <c r="AR146" s="3053"/>
      <c r="AS146" s="3053"/>
      <c r="AT146" s="3053"/>
      <c r="AU146" s="3053"/>
      <c r="AV146" s="3053"/>
      <c r="AW146" s="3053"/>
      <c r="AX146" s="3053"/>
      <c r="AY146" s="3053"/>
      <c r="AZ146" s="3053"/>
      <c r="BA146" s="3053"/>
      <c r="BB146" s="3053"/>
      <c r="BC146" s="3053"/>
      <c r="BD146" s="3053"/>
      <c r="BE146" s="3053"/>
      <c r="BF146" s="3053"/>
      <c r="BG146" s="3053"/>
      <c r="BH146" s="3053"/>
      <c r="BI146" s="3053"/>
      <c r="BJ146" s="3265"/>
      <c r="BK146" s="3001"/>
      <c r="BL146" s="3001"/>
      <c r="BM146" s="3004"/>
      <c r="BN146" s="3096"/>
      <c r="BO146" s="3237"/>
      <c r="BP146" s="3269"/>
      <c r="BQ146" s="2999"/>
      <c r="BR146" s="2999"/>
      <c r="BS146" s="2999"/>
      <c r="BT146" s="3265"/>
      <c r="BU146" s="3265"/>
    </row>
    <row r="147" spans="1:73" ht="25.5" customHeight="1" x14ac:dyDescent="0.25">
      <c r="A147" s="2053"/>
      <c r="B147" s="2921"/>
      <c r="C147" s="2007"/>
      <c r="D147" s="2008"/>
      <c r="E147" s="3227"/>
      <c r="F147" s="3227"/>
      <c r="G147" s="3248"/>
      <c r="H147" s="3250"/>
      <c r="I147" s="3248"/>
      <c r="J147" s="3250"/>
      <c r="K147" s="3253"/>
      <c r="L147" s="3254"/>
      <c r="M147" s="3253"/>
      <c r="N147" s="3254"/>
      <c r="O147" s="3248"/>
      <c r="P147" s="3248"/>
      <c r="Q147" s="3256"/>
      <c r="R147" s="3257"/>
      <c r="S147" s="3258"/>
      <c r="T147" s="3259"/>
      <c r="U147" s="3260"/>
      <c r="V147" s="3255"/>
      <c r="W147" s="2577"/>
      <c r="X147" s="1653">
        <f>6800000-6800000</f>
        <v>0</v>
      </c>
      <c r="Y147" s="1653">
        <v>0</v>
      </c>
      <c r="Z147" s="1653">
        <v>0</v>
      </c>
      <c r="AA147" s="1708" t="s">
        <v>3181</v>
      </c>
      <c r="AB147" s="2118">
        <v>20</v>
      </c>
      <c r="AC147" s="752" t="s">
        <v>734</v>
      </c>
      <c r="AD147" s="3135"/>
      <c r="AE147" s="3053"/>
      <c r="AF147" s="3053"/>
      <c r="AG147" s="3053"/>
      <c r="AH147" s="3053"/>
      <c r="AI147" s="3053"/>
      <c r="AJ147" s="3053"/>
      <c r="AK147" s="3053"/>
      <c r="AL147" s="3053"/>
      <c r="AM147" s="3053"/>
      <c r="AN147" s="3053"/>
      <c r="AO147" s="3053"/>
      <c r="AP147" s="3053"/>
      <c r="AQ147" s="3053"/>
      <c r="AR147" s="3053"/>
      <c r="AS147" s="3053"/>
      <c r="AT147" s="3053"/>
      <c r="AU147" s="3053"/>
      <c r="AV147" s="3053"/>
      <c r="AW147" s="3053"/>
      <c r="AX147" s="3053"/>
      <c r="AY147" s="3053"/>
      <c r="AZ147" s="3053"/>
      <c r="BA147" s="3053"/>
      <c r="BB147" s="3053"/>
      <c r="BC147" s="3053"/>
      <c r="BD147" s="3053"/>
      <c r="BE147" s="3053"/>
      <c r="BF147" s="3053"/>
      <c r="BG147" s="3053"/>
      <c r="BH147" s="3053"/>
      <c r="BI147" s="3053"/>
      <c r="BJ147" s="3265"/>
      <c r="BK147" s="3001"/>
      <c r="BL147" s="3001"/>
      <c r="BM147" s="3004"/>
      <c r="BN147" s="3096"/>
      <c r="BO147" s="3237"/>
      <c r="BP147" s="3269"/>
      <c r="BQ147" s="2999"/>
      <c r="BR147" s="2999"/>
      <c r="BS147" s="2999"/>
      <c r="BT147" s="3265"/>
      <c r="BU147" s="3265"/>
    </row>
    <row r="148" spans="1:73" ht="25.5" customHeight="1" x14ac:dyDescent="0.25">
      <c r="A148" s="2053"/>
      <c r="B148" s="2921"/>
      <c r="C148" s="2007"/>
      <c r="D148" s="2008"/>
      <c r="E148" s="3227"/>
      <c r="F148" s="3227"/>
      <c r="G148" s="3248"/>
      <c r="H148" s="3250"/>
      <c r="I148" s="3248"/>
      <c r="J148" s="3250"/>
      <c r="K148" s="3253"/>
      <c r="L148" s="3254"/>
      <c r="M148" s="3253"/>
      <c r="N148" s="3254"/>
      <c r="O148" s="3248"/>
      <c r="P148" s="3248"/>
      <c r="Q148" s="3256"/>
      <c r="R148" s="3257"/>
      <c r="S148" s="3258"/>
      <c r="T148" s="3259"/>
      <c r="U148" s="3260"/>
      <c r="V148" s="3255"/>
      <c r="W148" s="2577"/>
      <c r="X148" s="1653">
        <v>6800000</v>
      </c>
      <c r="Y148" s="1653">
        <v>0</v>
      </c>
      <c r="Z148" s="1653">
        <v>0</v>
      </c>
      <c r="AA148" s="1708" t="s">
        <v>3182</v>
      </c>
      <c r="AB148" s="2117">
        <v>20</v>
      </c>
      <c r="AC148" s="1711" t="s">
        <v>734</v>
      </c>
      <c r="AD148" s="3135"/>
      <c r="AE148" s="3053"/>
      <c r="AF148" s="3053"/>
      <c r="AG148" s="3053"/>
      <c r="AH148" s="3053"/>
      <c r="AI148" s="3053"/>
      <c r="AJ148" s="3053"/>
      <c r="AK148" s="3053"/>
      <c r="AL148" s="3053"/>
      <c r="AM148" s="3053"/>
      <c r="AN148" s="3053"/>
      <c r="AO148" s="3053"/>
      <c r="AP148" s="3053"/>
      <c r="AQ148" s="3053"/>
      <c r="AR148" s="3053"/>
      <c r="AS148" s="3053"/>
      <c r="AT148" s="3053"/>
      <c r="AU148" s="3053"/>
      <c r="AV148" s="3053"/>
      <c r="AW148" s="3053"/>
      <c r="AX148" s="3053"/>
      <c r="AY148" s="3053"/>
      <c r="AZ148" s="3053"/>
      <c r="BA148" s="3053"/>
      <c r="BB148" s="3053"/>
      <c r="BC148" s="3053"/>
      <c r="BD148" s="3053"/>
      <c r="BE148" s="3053"/>
      <c r="BF148" s="3053"/>
      <c r="BG148" s="3053"/>
      <c r="BH148" s="3053"/>
      <c r="BI148" s="3053"/>
      <c r="BJ148" s="3265"/>
      <c r="BK148" s="3001"/>
      <c r="BL148" s="3001"/>
      <c r="BM148" s="3004"/>
      <c r="BN148" s="3096"/>
      <c r="BO148" s="3237"/>
      <c r="BP148" s="3269"/>
      <c r="BQ148" s="2999"/>
      <c r="BR148" s="2999"/>
      <c r="BS148" s="2999"/>
      <c r="BT148" s="3265"/>
      <c r="BU148" s="3265"/>
    </row>
    <row r="149" spans="1:73" ht="27.75" customHeight="1" x14ac:dyDescent="0.25">
      <c r="A149" s="2053"/>
      <c r="B149" s="2921"/>
      <c r="C149" s="2007"/>
      <c r="D149" s="2008"/>
      <c r="E149" s="3227"/>
      <c r="F149" s="3227"/>
      <c r="G149" s="3248"/>
      <c r="H149" s="3250"/>
      <c r="I149" s="3248"/>
      <c r="J149" s="3250"/>
      <c r="K149" s="3253"/>
      <c r="L149" s="3254"/>
      <c r="M149" s="3253"/>
      <c r="N149" s="3254"/>
      <c r="O149" s="3248"/>
      <c r="P149" s="3248"/>
      <c r="Q149" s="3256"/>
      <c r="R149" s="3257"/>
      <c r="S149" s="3258"/>
      <c r="T149" s="3259"/>
      <c r="U149" s="3260"/>
      <c r="V149" s="3255"/>
      <c r="W149" s="2577"/>
      <c r="X149" s="2009">
        <f>33000000+12415000</f>
        <v>45415000</v>
      </c>
      <c r="Y149" s="2009">
        <v>0</v>
      </c>
      <c r="Z149" s="2009"/>
      <c r="AA149" s="1708" t="s">
        <v>3178</v>
      </c>
      <c r="AB149" s="2010">
        <v>88</v>
      </c>
      <c r="AC149" s="2119" t="s">
        <v>2980</v>
      </c>
      <c r="AD149" s="3135"/>
      <c r="AE149" s="3053"/>
      <c r="AF149" s="3053"/>
      <c r="AG149" s="3053"/>
      <c r="AH149" s="3053"/>
      <c r="AI149" s="3053"/>
      <c r="AJ149" s="3053"/>
      <c r="AK149" s="3053"/>
      <c r="AL149" s="3053"/>
      <c r="AM149" s="3053"/>
      <c r="AN149" s="3053"/>
      <c r="AO149" s="3053"/>
      <c r="AP149" s="3053"/>
      <c r="AQ149" s="3053"/>
      <c r="AR149" s="3053"/>
      <c r="AS149" s="3053"/>
      <c r="AT149" s="3053"/>
      <c r="AU149" s="3053"/>
      <c r="AV149" s="3053"/>
      <c r="AW149" s="3053"/>
      <c r="AX149" s="3053"/>
      <c r="AY149" s="3053"/>
      <c r="AZ149" s="3053"/>
      <c r="BA149" s="3053"/>
      <c r="BB149" s="3053"/>
      <c r="BC149" s="3053"/>
      <c r="BD149" s="3053"/>
      <c r="BE149" s="3053"/>
      <c r="BF149" s="3053"/>
      <c r="BG149" s="3053"/>
      <c r="BH149" s="3053"/>
      <c r="BI149" s="3053"/>
      <c r="BJ149" s="3265"/>
      <c r="BK149" s="3001"/>
      <c r="BL149" s="3001"/>
      <c r="BM149" s="3004"/>
      <c r="BN149" s="3096"/>
      <c r="BO149" s="3237"/>
      <c r="BP149" s="3269"/>
      <c r="BQ149" s="2999"/>
      <c r="BR149" s="2999"/>
      <c r="BS149" s="2999"/>
      <c r="BT149" s="3265"/>
      <c r="BU149" s="3265"/>
    </row>
    <row r="150" spans="1:73" s="2052" customFormat="1" ht="60" customHeight="1" x14ac:dyDescent="0.25">
      <c r="A150" s="325"/>
      <c r="B150" s="2921"/>
      <c r="C150" s="2120"/>
      <c r="D150" s="348"/>
      <c r="E150" s="3227"/>
      <c r="F150" s="3227"/>
      <c r="G150" s="3248"/>
      <c r="H150" s="3250"/>
      <c r="I150" s="3248"/>
      <c r="J150" s="3250"/>
      <c r="K150" s="3253"/>
      <c r="L150" s="3254"/>
      <c r="M150" s="3253"/>
      <c r="N150" s="3254"/>
      <c r="O150" s="3248"/>
      <c r="P150" s="3248"/>
      <c r="Q150" s="3256"/>
      <c r="R150" s="3257"/>
      <c r="S150" s="3258"/>
      <c r="T150" s="3259"/>
      <c r="U150" s="3260"/>
      <c r="V150" s="3153"/>
      <c r="W150" s="2578" t="s">
        <v>3183</v>
      </c>
      <c r="X150" s="1653">
        <v>14400000</v>
      </c>
      <c r="Y150" s="1653">
        <v>14400000</v>
      </c>
      <c r="Z150" s="1653">
        <v>12957500</v>
      </c>
      <c r="AA150" s="1708" t="s">
        <v>3180</v>
      </c>
      <c r="AB150" s="2121">
        <v>20</v>
      </c>
      <c r="AC150" s="1712" t="s">
        <v>734</v>
      </c>
      <c r="AD150" s="3135"/>
      <c r="AE150" s="3053"/>
      <c r="AF150" s="3053"/>
      <c r="AG150" s="3053"/>
      <c r="AH150" s="3053"/>
      <c r="AI150" s="3053"/>
      <c r="AJ150" s="3053"/>
      <c r="AK150" s="3053"/>
      <c r="AL150" s="3053"/>
      <c r="AM150" s="3053"/>
      <c r="AN150" s="3053"/>
      <c r="AO150" s="3053"/>
      <c r="AP150" s="3053"/>
      <c r="AQ150" s="3053"/>
      <c r="AR150" s="3053"/>
      <c r="AS150" s="3053"/>
      <c r="AT150" s="3053"/>
      <c r="AU150" s="3053"/>
      <c r="AV150" s="3053"/>
      <c r="AW150" s="3053"/>
      <c r="AX150" s="3053"/>
      <c r="AY150" s="3053"/>
      <c r="AZ150" s="3053"/>
      <c r="BA150" s="3053"/>
      <c r="BB150" s="3053"/>
      <c r="BC150" s="3053"/>
      <c r="BD150" s="3053"/>
      <c r="BE150" s="3053"/>
      <c r="BF150" s="3053"/>
      <c r="BG150" s="3053"/>
      <c r="BH150" s="3053"/>
      <c r="BI150" s="3053"/>
      <c r="BJ150" s="3265"/>
      <c r="BK150" s="3001"/>
      <c r="BL150" s="3001"/>
      <c r="BM150" s="3004"/>
      <c r="BN150" s="3096"/>
      <c r="BO150" s="3237"/>
      <c r="BP150" s="3269"/>
      <c r="BQ150" s="2999"/>
      <c r="BR150" s="2999"/>
      <c r="BS150" s="2999"/>
      <c r="BT150" s="3265"/>
      <c r="BU150" s="3265"/>
    </row>
    <row r="151" spans="1:73" s="2052" customFormat="1" ht="60" customHeight="1" x14ac:dyDescent="0.25">
      <c r="A151" s="325"/>
      <c r="B151" s="2921"/>
      <c r="C151" s="2120"/>
      <c r="D151" s="348"/>
      <c r="E151" s="3227"/>
      <c r="F151" s="3227"/>
      <c r="G151" s="3248"/>
      <c r="H151" s="3250"/>
      <c r="I151" s="3248"/>
      <c r="J151" s="3250"/>
      <c r="K151" s="3253"/>
      <c r="L151" s="3254"/>
      <c r="M151" s="3253"/>
      <c r="N151" s="3254"/>
      <c r="O151" s="3248"/>
      <c r="P151" s="3248"/>
      <c r="Q151" s="3256"/>
      <c r="R151" s="3257"/>
      <c r="S151" s="3258"/>
      <c r="T151" s="3259"/>
      <c r="U151" s="3260"/>
      <c r="V151" s="3153"/>
      <c r="W151" s="2313"/>
      <c r="X151" s="1653">
        <f>9000000+9845000</f>
        <v>18845000</v>
      </c>
      <c r="Y151" s="1653">
        <v>2065000</v>
      </c>
      <c r="Z151" s="1653">
        <v>0</v>
      </c>
      <c r="AA151" s="1708" t="s">
        <v>3178</v>
      </c>
      <c r="AB151" s="2010">
        <v>88</v>
      </c>
      <c r="AC151" s="2019" t="s">
        <v>2980</v>
      </c>
      <c r="AD151" s="3135"/>
      <c r="AE151" s="3053"/>
      <c r="AF151" s="3053"/>
      <c r="AG151" s="3053"/>
      <c r="AH151" s="3053"/>
      <c r="AI151" s="3053"/>
      <c r="AJ151" s="3053"/>
      <c r="AK151" s="3053"/>
      <c r="AL151" s="3053"/>
      <c r="AM151" s="3053"/>
      <c r="AN151" s="3053"/>
      <c r="AO151" s="3053"/>
      <c r="AP151" s="3053"/>
      <c r="AQ151" s="3053"/>
      <c r="AR151" s="3053"/>
      <c r="AS151" s="3053"/>
      <c r="AT151" s="3053"/>
      <c r="AU151" s="3053"/>
      <c r="AV151" s="3053"/>
      <c r="AW151" s="3053"/>
      <c r="AX151" s="3053"/>
      <c r="AY151" s="3053"/>
      <c r="AZ151" s="3053"/>
      <c r="BA151" s="3053"/>
      <c r="BB151" s="3053"/>
      <c r="BC151" s="3053"/>
      <c r="BD151" s="3053"/>
      <c r="BE151" s="3053"/>
      <c r="BF151" s="3053"/>
      <c r="BG151" s="3053"/>
      <c r="BH151" s="3053"/>
      <c r="BI151" s="3053"/>
      <c r="BJ151" s="3265"/>
      <c r="BK151" s="3001"/>
      <c r="BL151" s="3001"/>
      <c r="BM151" s="3004"/>
      <c r="BN151" s="3096"/>
      <c r="BO151" s="3237"/>
      <c r="BP151" s="3269"/>
      <c r="BQ151" s="2999"/>
      <c r="BR151" s="2999"/>
      <c r="BS151" s="2999"/>
      <c r="BT151" s="3265"/>
      <c r="BU151" s="3265"/>
    </row>
    <row r="152" spans="1:73" s="2052" customFormat="1" ht="33.75" customHeight="1" x14ac:dyDescent="0.25">
      <c r="A152" s="325"/>
      <c r="B152" s="2921"/>
      <c r="C152" s="2120"/>
      <c r="D152" s="348"/>
      <c r="E152" s="3227"/>
      <c r="F152" s="3227"/>
      <c r="G152" s="3248"/>
      <c r="H152" s="3250"/>
      <c r="I152" s="3248"/>
      <c r="J152" s="3250"/>
      <c r="K152" s="3253"/>
      <c r="L152" s="3254"/>
      <c r="M152" s="3253"/>
      <c r="N152" s="3254"/>
      <c r="O152" s="3248"/>
      <c r="P152" s="3248"/>
      <c r="Q152" s="3256"/>
      <c r="R152" s="3257"/>
      <c r="S152" s="3258"/>
      <c r="T152" s="3259"/>
      <c r="U152" s="3260"/>
      <c r="V152" s="3255"/>
      <c r="W152" s="2577" t="s">
        <v>3184</v>
      </c>
      <c r="X152" s="1653">
        <v>10000000</v>
      </c>
      <c r="Y152" s="1653">
        <v>9901969</v>
      </c>
      <c r="Z152" s="1653">
        <v>3010734</v>
      </c>
      <c r="AA152" s="1708" t="s">
        <v>3185</v>
      </c>
      <c r="AB152" s="2116">
        <v>20</v>
      </c>
      <c r="AC152" s="1713" t="s">
        <v>734</v>
      </c>
      <c r="AD152" s="3135"/>
      <c r="AE152" s="3053"/>
      <c r="AF152" s="3053"/>
      <c r="AG152" s="3053"/>
      <c r="AH152" s="3053"/>
      <c r="AI152" s="3053"/>
      <c r="AJ152" s="3053"/>
      <c r="AK152" s="3053"/>
      <c r="AL152" s="3053"/>
      <c r="AM152" s="3053"/>
      <c r="AN152" s="3053"/>
      <c r="AO152" s="3053"/>
      <c r="AP152" s="3053"/>
      <c r="AQ152" s="3053"/>
      <c r="AR152" s="3053"/>
      <c r="AS152" s="3053"/>
      <c r="AT152" s="3053"/>
      <c r="AU152" s="3053"/>
      <c r="AV152" s="3053"/>
      <c r="AW152" s="3053"/>
      <c r="AX152" s="3053"/>
      <c r="AY152" s="3053"/>
      <c r="AZ152" s="3053"/>
      <c r="BA152" s="3053"/>
      <c r="BB152" s="3053"/>
      <c r="BC152" s="3053"/>
      <c r="BD152" s="3053"/>
      <c r="BE152" s="3053"/>
      <c r="BF152" s="3053"/>
      <c r="BG152" s="3053"/>
      <c r="BH152" s="3053"/>
      <c r="BI152" s="3053"/>
      <c r="BJ152" s="3265"/>
      <c r="BK152" s="3001"/>
      <c r="BL152" s="3001"/>
      <c r="BM152" s="3004"/>
      <c r="BN152" s="3096"/>
      <c r="BO152" s="3237"/>
      <c r="BP152" s="3269"/>
      <c r="BQ152" s="2999"/>
      <c r="BR152" s="2999"/>
      <c r="BS152" s="2999"/>
      <c r="BT152" s="3265"/>
      <c r="BU152" s="3265"/>
    </row>
    <row r="153" spans="1:73" ht="33.75" customHeight="1" x14ac:dyDescent="0.25">
      <c r="A153" s="2053"/>
      <c r="B153" s="2921"/>
      <c r="C153" s="2007"/>
      <c r="D153" s="2008"/>
      <c r="E153" s="3227"/>
      <c r="F153" s="3227"/>
      <c r="G153" s="3248"/>
      <c r="H153" s="3250"/>
      <c r="I153" s="3248"/>
      <c r="J153" s="3250"/>
      <c r="K153" s="3253"/>
      <c r="L153" s="3254"/>
      <c r="M153" s="3253"/>
      <c r="N153" s="3254"/>
      <c r="O153" s="3248"/>
      <c r="P153" s="3248"/>
      <c r="Q153" s="3256"/>
      <c r="R153" s="3257"/>
      <c r="S153" s="3258"/>
      <c r="T153" s="3259"/>
      <c r="U153" s="3260"/>
      <c r="V153" s="3255"/>
      <c r="W153" s="2577"/>
      <c r="X153" s="1653">
        <v>5200000</v>
      </c>
      <c r="Y153" s="1653">
        <v>0</v>
      </c>
      <c r="Z153" s="1653">
        <v>0</v>
      </c>
      <c r="AA153" s="1708" t="s">
        <v>3181</v>
      </c>
      <c r="AB153" s="2121">
        <v>20</v>
      </c>
      <c r="AC153" s="1712" t="s">
        <v>734</v>
      </c>
      <c r="AD153" s="3135"/>
      <c r="AE153" s="3053"/>
      <c r="AF153" s="3053"/>
      <c r="AG153" s="3053"/>
      <c r="AH153" s="3053"/>
      <c r="AI153" s="3053"/>
      <c r="AJ153" s="3053"/>
      <c r="AK153" s="3053"/>
      <c r="AL153" s="3053"/>
      <c r="AM153" s="3053"/>
      <c r="AN153" s="3053"/>
      <c r="AO153" s="3053"/>
      <c r="AP153" s="3053"/>
      <c r="AQ153" s="3053"/>
      <c r="AR153" s="3053"/>
      <c r="AS153" s="3053"/>
      <c r="AT153" s="3053"/>
      <c r="AU153" s="3053"/>
      <c r="AV153" s="3053"/>
      <c r="AW153" s="3053"/>
      <c r="AX153" s="3053"/>
      <c r="AY153" s="3053"/>
      <c r="AZ153" s="3053"/>
      <c r="BA153" s="3053"/>
      <c r="BB153" s="3053"/>
      <c r="BC153" s="3053"/>
      <c r="BD153" s="3053"/>
      <c r="BE153" s="3053"/>
      <c r="BF153" s="3053"/>
      <c r="BG153" s="3053"/>
      <c r="BH153" s="3053"/>
      <c r="BI153" s="3053"/>
      <c r="BJ153" s="3265"/>
      <c r="BK153" s="3001"/>
      <c r="BL153" s="3001"/>
      <c r="BM153" s="3004"/>
      <c r="BN153" s="3096"/>
      <c r="BO153" s="3237"/>
      <c r="BP153" s="3269"/>
      <c r="BQ153" s="2999"/>
      <c r="BR153" s="2999"/>
      <c r="BS153" s="2999"/>
      <c r="BT153" s="3265"/>
      <c r="BU153" s="3265"/>
    </row>
    <row r="154" spans="1:73" ht="33.75" customHeight="1" x14ac:dyDescent="0.25">
      <c r="A154" s="2053"/>
      <c r="B154" s="2921"/>
      <c r="C154" s="2007"/>
      <c r="D154" s="2008"/>
      <c r="E154" s="3227"/>
      <c r="F154" s="3227"/>
      <c r="G154" s="3248"/>
      <c r="H154" s="3250"/>
      <c r="I154" s="3248"/>
      <c r="J154" s="3250"/>
      <c r="K154" s="3253"/>
      <c r="L154" s="3254"/>
      <c r="M154" s="3253"/>
      <c r="N154" s="3254"/>
      <c r="O154" s="3248"/>
      <c r="P154" s="3248"/>
      <c r="Q154" s="3256"/>
      <c r="R154" s="3257"/>
      <c r="S154" s="3258"/>
      <c r="T154" s="3259"/>
      <c r="U154" s="3260"/>
      <c r="V154" s="3255"/>
      <c r="W154" s="2577"/>
      <c r="X154" s="1653">
        <v>36000000</v>
      </c>
      <c r="Y154" s="1653">
        <v>0</v>
      </c>
      <c r="Z154" s="1653">
        <v>0</v>
      </c>
      <c r="AA154" s="1708" t="s">
        <v>3186</v>
      </c>
      <c r="AB154" s="2010">
        <v>88</v>
      </c>
      <c r="AC154" s="2019" t="s">
        <v>2980</v>
      </c>
      <c r="AD154" s="3135"/>
      <c r="AE154" s="3053"/>
      <c r="AF154" s="3053"/>
      <c r="AG154" s="3053"/>
      <c r="AH154" s="3053"/>
      <c r="AI154" s="3053"/>
      <c r="AJ154" s="3053"/>
      <c r="AK154" s="3053"/>
      <c r="AL154" s="3053"/>
      <c r="AM154" s="3053"/>
      <c r="AN154" s="3053"/>
      <c r="AO154" s="3053"/>
      <c r="AP154" s="3053"/>
      <c r="AQ154" s="3053"/>
      <c r="AR154" s="3053"/>
      <c r="AS154" s="3053"/>
      <c r="AT154" s="3053"/>
      <c r="AU154" s="3053"/>
      <c r="AV154" s="3053"/>
      <c r="AW154" s="3053"/>
      <c r="AX154" s="3053"/>
      <c r="AY154" s="3053"/>
      <c r="AZ154" s="3053"/>
      <c r="BA154" s="3053"/>
      <c r="BB154" s="3053"/>
      <c r="BC154" s="3053"/>
      <c r="BD154" s="3053"/>
      <c r="BE154" s="3053"/>
      <c r="BF154" s="3053"/>
      <c r="BG154" s="3053"/>
      <c r="BH154" s="3053"/>
      <c r="BI154" s="3053"/>
      <c r="BJ154" s="3265"/>
      <c r="BK154" s="3001"/>
      <c r="BL154" s="3001"/>
      <c r="BM154" s="3004"/>
      <c r="BN154" s="3096"/>
      <c r="BO154" s="3237"/>
      <c r="BP154" s="3269"/>
      <c r="BQ154" s="2999"/>
      <c r="BR154" s="2999"/>
      <c r="BS154" s="2999"/>
      <c r="BT154" s="3265"/>
      <c r="BU154" s="3265"/>
    </row>
    <row r="155" spans="1:73" ht="33.75" customHeight="1" x14ac:dyDescent="0.25">
      <c r="A155" s="2053"/>
      <c r="B155" s="2921"/>
      <c r="C155" s="2007"/>
      <c r="D155" s="2008"/>
      <c r="E155" s="3227"/>
      <c r="F155" s="3227"/>
      <c r="G155" s="3248"/>
      <c r="H155" s="3250"/>
      <c r="I155" s="3248"/>
      <c r="J155" s="3250"/>
      <c r="K155" s="3253"/>
      <c r="L155" s="3254"/>
      <c r="M155" s="3253"/>
      <c r="N155" s="3254"/>
      <c r="O155" s="3248"/>
      <c r="P155" s="3248"/>
      <c r="Q155" s="3256"/>
      <c r="R155" s="3257"/>
      <c r="S155" s="3258"/>
      <c r="T155" s="3259"/>
      <c r="U155" s="3260"/>
      <c r="V155" s="3255"/>
      <c r="W155" s="2577"/>
      <c r="X155" s="2009">
        <v>20000000</v>
      </c>
      <c r="Y155" s="2009">
        <v>0</v>
      </c>
      <c r="Z155" s="2009">
        <v>0</v>
      </c>
      <c r="AA155" s="1708" t="s">
        <v>3187</v>
      </c>
      <c r="AB155" s="2010">
        <v>88</v>
      </c>
      <c r="AC155" s="2019" t="s">
        <v>2980</v>
      </c>
      <c r="AD155" s="3135"/>
      <c r="AE155" s="3053"/>
      <c r="AF155" s="3053"/>
      <c r="AG155" s="3053"/>
      <c r="AH155" s="3053"/>
      <c r="AI155" s="3053"/>
      <c r="AJ155" s="3053"/>
      <c r="AK155" s="3053"/>
      <c r="AL155" s="3053"/>
      <c r="AM155" s="3053"/>
      <c r="AN155" s="3053"/>
      <c r="AO155" s="3053"/>
      <c r="AP155" s="3053"/>
      <c r="AQ155" s="3053"/>
      <c r="AR155" s="3053"/>
      <c r="AS155" s="3053"/>
      <c r="AT155" s="3053"/>
      <c r="AU155" s="3053"/>
      <c r="AV155" s="3053"/>
      <c r="AW155" s="3053"/>
      <c r="AX155" s="3053"/>
      <c r="AY155" s="3053"/>
      <c r="AZ155" s="3053"/>
      <c r="BA155" s="3053"/>
      <c r="BB155" s="3053"/>
      <c r="BC155" s="3053"/>
      <c r="BD155" s="3053"/>
      <c r="BE155" s="3053"/>
      <c r="BF155" s="3053"/>
      <c r="BG155" s="3053"/>
      <c r="BH155" s="3053"/>
      <c r="BI155" s="3053"/>
      <c r="BJ155" s="3265"/>
      <c r="BK155" s="3001"/>
      <c r="BL155" s="3001"/>
      <c r="BM155" s="3004"/>
      <c r="BN155" s="3096"/>
      <c r="BO155" s="3237"/>
      <c r="BP155" s="3269"/>
      <c r="BQ155" s="2999"/>
      <c r="BR155" s="2999"/>
      <c r="BS155" s="2999"/>
      <c r="BT155" s="3265"/>
      <c r="BU155" s="3265"/>
    </row>
    <row r="156" spans="1:73" ht="26.25" customHeight="1" x14ac:dyDescent="0.25">
      <c r="A156" s="2053"/>
      <c r="B156" s="2921"/>
      <c r="C156" s="2007"/>
      <c r="D156" s="2008"/>
      <c r="E156" s="3227"/>
      <c r="F156" s="3227"/>
      <c r="G156" s="3248"/>
      <c r="H156" s="3250"/>
      <c r="I156" s="3248"/>
      <c r="J156" s="3250"/>
      <c r="K156" s="3253"/>
      <c r="L156" s="3254"/>
      <c r="M156" s="3253"/>
      <c r="N156" s="3254"/>
      <c r="O156" s="3248"/>
      <c r="P156" s="3248"/>
      <c r="Q156" s="3256"/>
      <c r="R156" s="3257"/>
      <c r="S156" s="3258"/>
      <c r="T156" s="3259"/>
      <c r="U156" s="3260"/>
      <c r="V156" s="3255"/>
      <c r="W156" s="2577"/>
      <c r="X156" s="2009">
        <v>20000000</v>
      </c>
      <c r="Y156" s="2009">
        <v>0</v>
      </c>
      <c r="Z156" s="2009">
        <v>0</v>
      </c>
      <c r="AA156" s="1708" t="s">
        <v>3188</v>
      </c>
      <c r="AB156" s="2010">
        <v>88</v>
      </c>
      <c r="AC156" s="2019" t="s">
        <v>2980</v>
      </c>
      <c r="AD156" s="3135"/>
      <c r="AE156" s="3053"/>
      <c r="AF156" s="3053"/>
      <c r="AG156" s="3053"/>
      <c r="AH156" s="3053"/>
      <c r="AI156" s="3053"/>
      <c r="AJ156" s="3053"/>
      <c r="AK156" s="3053"/>
      <c r="AL156" s="3053"/>
      <c r="AM156" s="3053"/>
      <c r="AN156" s="3053"/>
      <c r="AO156" s="3053"/>
      <c r="AP156" s="3053"/>
      <c r="AQ156" s="3053"/>
      <c r="AR156" s="3053"/>
      <c r="AS156" s="3053"/>
      <c r="AT156" s="3053"/>
      <c r="AU156" s="3053"/>
      <c r="AV156" s="3053"/>
      <c r="AW156" s="3053"/>
      <c r="AX156" s="3053"/>
      <c r="AY156" s="3053"/>
      <c r="AZ156" s="3053"/>
      <c r="BA156" s="3053"/>
      <c r="BB156" s="3053"/>
      <c r="BC156" s="3053"/>
      <c r="BD156" s="3053"/>
      <c r="BE156" s="3053"/>
      <c r="BF156" s="3053"/>
      <c r="BG156" s="3053"/>
      <c r="BH156" s="3053"/>
      <c r="BI156" s="3053"/>
      <c r="BJ156" s="3265"/>
      <c r="BK156" s="3001"/>
      <c r="BL156" s="3001"/>
      <c r="BM156" s="3004"/>
      <c r="BN156" s="3096"/>
      <c r="BO156" s="3237"/>
      <c r="BP156" s="3269"/>
      <c r="BQ156" s="2999"/>
      <c r="BR156" s="2999"/>
      <c r="BS156" s="2999"/>
      <c r="BT156" s="3265"/>
      <c r="BU156" s="3265"/>
    </row>
    <row r="157" spans="1:73" ht="26.25" customHeight="1" x14ac:dyDescent="0.25">
      <c r="A157" s="2053"/>
      <c r="B157" s="2921"/>
      <c r="C157" s="2007"/>
      <c r="D157" s="2008"/>
      <c r="E157" s="3227"/>
      <c r="F157" s="3227"/>
      <c r="G157" s="3248"/>
      <c r="H157" s="3250"/>
      <c r="I157" s="3248"/>
      <c r="J157" s="3250"/>
      <c r="K157" s="3253"/>
      <c r="L157" s="3254"/>
      <c r="M157" s="3253"/>
      <c r="N157" s="3254"/>
      <c r="O157" s="3248"/>
      <c r="P157" s="3248"/>
      <c r="Q157" s="3256"/>
      <c r="R157" s="3257"/>
      <c r="S157" s="3258"/>
      <c r="T157" s="3259"/>
      <c r="U157" s="3260"/>
      <c r="V157" s="3255"/>
      <c r="W157" s="1706" t="s">
        <v>3189</v>
      </c>
      <c r="X157" s="2009">
        <v>50000000</v>
      </c>
      <c r="Y157" s="2009">
        <v>34285800</v>
      </c>
      <c r="Z157" s="2009">
        <v>0</v>
      </c>
      <c r="AA157" s="1708" t="s">
        <v>3190</v>
      </c>
      <c r="AB157" s="2010">
        <v>88</v>
      </c>
      <c r="AC157" s="2019" t="s">
        <v>2980</v>
      </c>
      <c r="AD157" s="3135"/>
      <c r="AE157" s="3053"/>
      <c r="AF157" s="3053"/>
      <c r="AG157" s="3053"/>
      <c r="AH157" s="3053"/>
      <c r="AI157" s="3053"/>
      <c r="AJ157" s="3053"/>
      <c r="AK157" s="3053"/>
      <c r="AL157" s="3053"/>
      <c r="AM157" s="3053"/>
      <c r="AN157" s="3053"/>
      <c r="AO157" s="3053"/>
      <c r="AP157" s="3053"/>
      <c r="AQ157" s="3053"/>
      <c r="AR157" s="3053"/>
      <c r="AS157" s="3053"/>
      <c r="AT157" s="3053"/>
      <c r="AU157" s="3053"/>
      <c r="AV157" s="3053"/>
      <c r="AW157" s="3053"/>
      <c r="AX157" s="3053"/>
      <c r="AY157" s="3053"/>
      <c r="AZ157" s="3053"/>
      <c r="BA157" s="3053"/>
      <c r="BB157" s="3053"/>
      <c r="BC157" s="3053"/>
      <c r="BD157" s="3053"/>
      <c r="BE157" s="3053"/>
      <c r="BF157" s="3053"/>
      <c r="BG157" s="3053"/>
      <c r="BH157" s="3053"/>
      <c r="BI157" s="3053"/>
      <c r="BJ157" s="3265"/>
      <c r="BK157" s="3001"/>
      <c r="BL157" s="3001"/>
      <c r="BM157" s="3004"/>
      <c r="BN157" s="3096"/>
      <c r="BO157" s="3237"/>
      <c r="BP157" s="3269"/>
      <c r="BQ157" s="2999"/>
      <c r="BR157" s="2999"/>
      <c r="BS157" s="2999"/>
      <c r="BT157" s="3265"/>
      <c r="BU157" s="3265"/>
    </row>
    <row r="158" spans="1:73" ht="37.5" customHeight="1" x14ac:dyDescent="0.25">
      <c r="A158" s="2053"/>
      <c r="B158" s="2921"/>
      <c r="C158" s="2007"/>
      <c r="D158" s="2008"/>
      <c r="E158" s="3227"/>
      <c r="F158" s="3227"/>
      <c r="G158" s="3248"/>
      <c r="H158" s="3250"/>
      <c r="I158" s="3248"/>
      <c r="J158" s="3250"/>
      <c r="K158" s="3253"/>
      <c r="L158" s="3254"/>
      <c r="M158" s="3253"/>
      <c r="N158" s="3254"/>
      <c r="O158" s="3248"/>
      <c r="P158" s="3248"/>
      <c r="Q158" s="3256"/>
      <c r="R158" s="3257"/>
      <c r="S158" s="3258"/>
      <c r="T158" s="3259"/>
      <c r="U158" s="3260"/>
      <c r="V158" s="3255"/>
      <c r="W158" s="2313" t="s">
        <v>3191</v>
      </c>
      <c r="X158" s="1653">
        <v>2700000</v>
      </c>
      <c r="Y158" s="1653">
        <v>0</v>
      </c>
      <c r="Z158" s="1653">
        <v>0</v>
      </c>
      <c r="AA158" s="1708" t="s">
        <v>3181</v>
      </c>
      <c r="AB158" s="2121">
        <v>20</v>
      </c>
      <c r="AC158" s="1712" t="s">
        <v>734</v>
      </c>
      <c r="AD158" s="3135"/>
      <c r="AE158" s="3053"/>
      <c r="AF158" s="3053"/>
      <c r="AG158" s="3053"/>
      <c r="AH158" s="3053"/>
      <c r="AI158" s="3053"/>
      <c r="AJ158" s="3053"/>
      <c r="AK158" s="3053"/>
      <c r="AL158" s="3053"/>
      <c r="AM158" s="3053"/>
      <c r="AN158" s="3053"/>
      <c r="AO158" s="3053"/>
      <c r="AP158" s="3053"/>
      <c r="AQ158" s="3053"/>
      <c r="AR158" s="3053"/>
      <c r="AS158" s="3053"/>
      <c r="AT158" s="3053"/>
      <c r="AU158" s="3053"/>
      <c r="AV158" s="3053"/>
      <c r="AW158" s="3053"/>
      <c r="AX158" s="3053"/>
      <c r="AY158" s="3053"/>
      <c r="AZ158" s="3053"/>
      <c r="BA158" s="3053"/>
      <c r="BB158" s="3053"/>
      <c r="BC158" s="3053"/>
      <c r="BD158" s="3053"/>
      <c r="BE158" s="3053"/>
      <c r="BF158" s="3053"/>
      <c r="BG158" s="3053"/>
      <c r="BH158" s="3053"/>
      <c r="BI158" s="3053"/>
      <c r="BJ158" s="3265"/>
      <c r="BK158" s="3001"/>
      <c r="BL158" s="3001"/>
      <c r="BM158" s="3004"/>
      <c r="BN158" s="3096"/>
      <c r="BO158" s="3237"/>
      <c r="BP158" s="3269"/>
      <c r="BQ158" s="2999"/>
      <c r="BR158" s="2999"/>
      <c r="BS158" s="2999"/>
      <c r="BT158" s="3265"/>
      <c r="BU158" s="3265"/>
    </row>
    <row r="159" spans="1:73" ht="37.5" customHeight="1" x14ac:dyDescent="0.25">
      <c r="A159" s="2053"/>
      <c r="B159" s="2921"/>
      <c r="C159" s="2007"/>
      <c r="D159" s="2008"/>
      <c r="E159" s="3227"/>
      <c r="F159" s="3227"/>
      <c r="G159" s="3248"/>
      <c r="H159" s="3250"/>
      <c r="I159" s="3248"/>
      <c r="J159" s="3250"/>
      <c r="K159" s="3253"/>
      <c r="L159" s="3254"/>
      <c r="M159" s="3253"/>
      <c r="N159" s="3254"/>
      <c r="O159" s="3248"/>
      <c r="P159" s="3248"/>
      <c r="Q159" s="3256"/>
      <c r="R159" s="3257"/>
      <c r="S159" s="3258"/>
      <c r="T159" s="3259"/>
      <c r="U159" s="3260"/>
      <c r="V159" s="3255"/>
      <c r="W159" s="2314"/>
      <c r="X159" s="1653">
        <v>5000000</v>
      </c>
      <c r="Y159" s="1653">
        <v>0</v>
      </c>
      <c r="Z159" s="1653">
        <v>0</v>
      </c>
      <c r="AA159" s="1708" t="s">
        <v>3192</v>
      </c>
      <c r="AB159" s="2010">
        <v>88</v>
      </c>
      <c r="AC159" s="2019" t="s">
        <v>2980</v>
      </c>
      <c r="AD159" s="3135"/>
      <c r="AE159" s="3053"/>
      <c r="AF159" s="3053"/>
      <c r="AG159" s="3053"/>
      <c r="AH159" s="3053"/>
      <c r="AI159" s="3053"/>
      <c r="AJ159" s="3053"/>
      <c r="AK159" s="3053"/>
      <c r="AL159" s="3053"/>
      <c r="AM159" s="3053"/>
      <c r="AN159" s="3053"/>
      <c r="AO159" s="3053"/>
      <c r="AP159" s="3053"/>
      <c r="AQ159" s="3053"/>
      <c r="AR159" s="3053"/>
      <c r="AS159" s="3053"/>
      <c r="AT159" s="3053"/>
      <c r="AU159" s="3053"/>
      <c r="AV159" s="3053"/>
      <c r="AW159" s="3053"/>
      <c r="AX159" s="3053"/>
      <c r="AY159" s="3053"/>
      <c r="AZ159" s="3053"/>
      <c r="BA159" s="3053"/>
      <c r="BB159" s="3053"/>
      <c r="BC159" s="3053"/>
      <c r="BD159" s="3053"/>
      <c r="BE159" s="3053"/>
      <c r="BF159" s="3053"/>
      <c r="BG159" s="3053"/>
      <c r="BH159" s="3053"/>
      <c r="BI159" s="3053"/>
      <c r="BJ159" s="3265"/>
      <c r="BK159" s="3001"/>
      <c r="BL159" s="3001"/>
      <c r="BM159" s="3004"/>
      <c r="BN159" s="3096"/>
      <c r="BO159" s="3237"/>
      <c r="BP159" s="3269"/>
      <c r="BQ159" s="2999"/>
      <c r="BR159" s="2999"/>
      <c r="BS159" s="2999"/>
      <c r="BT159" s="3265"/>
      <c r="BU159" s="3265"/>
    </row>
    <row r="160" spans="1:73" ht="37.5" customHeight="1" x14ac:dyDescent="0.25">
      <c r="A160" s="2053"/>
      <c r="B160" s="2921"/>
      <c r="C160" s="2007"/>
      <c r="D160" s="2008"/>
      <c r="E160" s="3227"/>
      <c r="F160" s="3227"/>
      <c r="G160" s="3248"/>
      <c r="H160" s="3250"/>
      <c r="I160" s="3248"/>
      <c r="J160" s="3250"/>
      <c r="K160" s="3253"/>
      <c r="L160" s="3254"/>
      <c r="M160" s="3253"/>
      <c r="N160" s="3254"/>
      <c r="O160" s="3248"/>
      <c r="P160" s="3248"/>
      <c r="Q160" s="3256"/>
      <c r="R160" s="3257"/>
      <c r="S160" s="3258"/>
      <c r="T160" s="3259"/>
      <c r="U160" s="3260"/>
      <c r="V160" s="3255"/>
      <c r="W160" s="1703" t="s">
        <v>3193</v>
      </c>
      <c r="X160" s="1653">
        <v>50980000</v>
      </c>
      <c r="Y160" s="1653">
        <v>0</v>
      </c>
      <c r="Z160" s="1653">
        <v>0</v>
      </c>
      <c r="AA160" s="1708" t="s">
        <v>3194</v>
      </c>
      <c r="AB160" s="2010">
        <v>88</v>
      </c>
      <c r="AC160" s="2019" t="s">
        <v>2980</v>
      </c>
      <c r="AD160" s="3135"/>
      <c r="AE160" s="3053"/>
      <c r="AF160" s="3053"/>
      <c r="AG160" s="3053"/>
      <c r="AH160" s="3053"/>
      <c r="AI160" s="3053"/>
      <c r="AJ160" s="3053"/>
      <c r="AK160" s="3053"/>
      <c r="AL160" s="3053"/>
      <c r="AM160" s="3053"/>
      <c r="AN160" s="3053"/>
      <c r="AO160" s="3053"/>
      <c r="AP160" s="3053"/>
      <c r="AQ160" s="3053"/>
      <c r="AR160" s="3053"/>
      <c r="AS160" s="3053"/>
      <c r="AT160" s="3053"/>
      <c r="AU160" s="3053"/>
      <c r="AV160" s="3053"/>
      <c r="AW160" s="3053"/>
      <c r="AX160" s="3053"/>
      <c r="AY160" s="3053"/>
      <c r="AZ160" s="3053"/>
      <c r="BA160" s="3053"/>
      <c r="BB160" s="3053"/>
      <c r="BC160" s="3053"/>
      <c r="BD160" s="3053"/>
      <c r="BE160" s="3053"/>
      <c r="BF160" s="3053"/>
      <c r="BG160" s="3053"/>
      <c r="BH160" s="3053"/>
      <c r="BI160" s="3053"/>
      <c r="BJ160" s="3265"/>
      <c r="BK160" s="3001"/>
      <c r="BL160" s="3001"/>
      <c r="BM160" s="3004"/>
      <c r="BN160" s="3096"/>
      <c r="BO160" s="3237"/>
      <c r="BP160" s="3269"/>
      <c r="BQ160" s="2999"/>
      <c r="BR160" s="2999"/>
      <c r="BS160" s="2999"/>
      <c r="BT160" s="3265"/>
      <c r="BU160" s="3265"/>
    </row>
    <row r="161" spans="1:73" ht="57" customHeight="1" x14ac:dyDescent="0.25">
      <c r="A161" s="2053"/>
      <c r="B161" s="2921"/>
      <c r="C161" s="2007"/>
      <c r="D161" s="2008"/>
      <c r="E161" s="3227"/>
      <c r="F161" s="3227"/>
      <c r="G161" s="3248"/>
      <c r="H161" s="3250"/>
      <c r="I161" s="3248"/>
      <c r="J161" s="3250"/>
      <c r="K161" s="3253"/>
      <c r="L161" s="3254"/>
      <c r="M161" s="3253"/>
      <c r="N161" s="3254"/>
      <c r="O161" s="3248"/>
      <c r="P161" s="3248"/>
      <c r="Q161" s="3256"/>
      <c r="R161" s="3257"/>
      <c r="S161" s="3258"/>
      <c r="T161" s="3259"/>
      <c r="U161" s="3260"/>
      <c r="V161" s="3153"/>
      <c r="W161" s="2578" t="s">
        <v>3195</v>
      </c>
      <c r="X161" s="1653">
        <f>4200000-4200000</f>
        <v>0</v>
      </c>
      <c r="Y161" s="1653">
        <v>0</v>
      </c>
      <c r="Z161" s="1653">
        <v>0</v>
      </c>
      <c r="AA161" s="1708" t="s">
        <v>3175</v>
      </c>
      <c r="AB161" s="2121">
        <v>20</v>
      </c>
      <c r="AC161" s="1712" t="s">
        <v>734</v>
      </c>
      <c r="AD161" s="3135"/>
      <c r="AE161" s="3053"/>
      <c r="AF161" s="3053"/>
      <c r="AG161" s="3053"/>
      <c r="AH161" s="3053"/>
      <c r="AI161" s="3053"/>
      <c r="AJ161" s="3053"/>
      <c r="AK161" s="3053"/>
      <c r="AL161" s="3053"/>
      <c r="AM161" s="3053"/>
      <c r="AN161" s="3053"/>
      <c r="AO161" s="3053"/>
      <c r="AP161" s="3053"/>
      <c r="AQ161" s="3053"/>
      <c r="AR161" s="3053"/>
      <c r="AS161" s="3053"/>
      <c r="AT161" s="3053"/>
      <c r="AU161" s="3053"/>
      <c r="AV161" s="3053"/>
      <c r="AW161" s="3053"/>
      <c r="AX161" s="3053"/>
      <c r="AY161" s="3053"/>
      <c r="AZ161" s="3053"/>
      <c r="BA161" s="3053"/>
      <c r="BB161" s="3053"/>
      <c r="BC161" s="3053"/>
      <c r="BD161" s="3053"/>
      <c r="BE161" s="3053"/>
      <c r="BF161" s="3053"/>
      <c r="BG161" s="3053"/>
      <c r="BH161" s="3053"/>
      <c r="BI161" s="3053"/>
      <c r="BJ161" s="3265"/>
      <c r="BK161" s="3001"/>
      <c r="BL161" s="3001"/>
      <c r="BM161" s="3004"/>
      <c r="BN161" s="3096"/>
      <c r="BO161" s="3237"/>
      <c r="BP161" s="3269"/>
      <c r="BQ161" s="2999"/>
      <c r="BR161" s="2999"/>
      <c r="BS161" s="2999"/>
      <c r="BT161" s="3265"/>
      <c r="BU161" s="3265"/>
    </row>
    <row r="162" spans="1:73" ht="57" customHeight="1" x14ac:dyDescent="0.25">
      <c r="A162" s="2053"/>
      <c r="B162" s="2921"/>
      <c r="C162" s="2007"/>
      <c r="D162" s="2008"/>
      <c r="E162" s="3227"/>
      <c r="F162" s="3227"/>
      <c r="G162" s="3248"/>
      <c r="H162" s="3250"/>
      <c r="I162" s="3248"/>
      <c r="J162" s="3250"/>
      <c r="K162" s="3253"/>
      <c r="L162" s="3254"/>
      <c r="M162" s="3253"/>
      <c r="N162" s="3254"/>
      <c r="O162" s="3248"/>
      <c r="P162" s="3248"/>
      <c r="Q162" s="3256"/>
      <c r="R162" s="3257"/>
      <c r="S162" s="3258"/>
      <c r="T162" s="3259"/>
      <c r="U162" s="3260"/>
      <c r="V162" s="3153"/>
      <c r="W162" s="2313"/>
      <c r="X162" s="1653">
        <v>4200000</v>
      </c>
      <c r="Y162" s="1653">
        <v>0</v>
      </c>
      <c r="Z162" s="1653">
        <v>0</v>
      </c>
      <c r="AA162" s="1708" t="s">
        <v>3180</v>
      </c>
      <c r="AB162" s="2117">
        <v>20</v>
      </c>
      <c r="AC162" s="1711" t="s">
        <v>734</v>
      </c>
      <c r="AD162" s="3135"/>
      <c r="AE162" s="3053"/>
      <c r="AF162" s="3053"/>
      <c r="AG162" s="3053"/>
      <c r="AH162" s="3053"/>
      <c r="AI162" s="3053"/>
      <c r="AJ162" s="3053"/>
      <c r="AK162" s="3053"/>
      <c r="AL162" s="3053"/>
      <c r="AM162" s="3053"/>
      <c r="AN162" s="3053"/>
      <c r="AO162" s="3053"/>
      <c r="AP162" s="3053"/>
      <c r="AQ162" s="3053"/>
      <c r="AR162" s="3053"/>
      <c r="AS162" s="3053"/>
      <c r="AT162" s="3053"/>
      <c r="AU162" s="3053"/>
      <c r="AV162" s="3053"/>
      <c r="AW162" s="3053"/>
      <c r="AX162" s="3053"/>
      <c r="AY162" s="3053"/>
      <c r="AZ162" s="3053"/>
      <c r="BA162" s="3053"/>
      <c r="BB162" s="3053"/>
      <c r="BC162" s="3053"/>
      <c r="BD162" s="3053"/>
      <c r="BE162" s="3053"/>
      <c r="BF162" s="3053"/>
      <c r="BG162" s="3053"/>
      <c r="BH162" s="3053"/>
      <c r="BI162" s="3053"/>
      <c r="BJ162" s="3265"/>
      <c r="BK162" s="3001"/>
      <c r="BL162" s="3001"/>
      <c r="BM162" s="3004"/>
      <c r="BN162" s="3096"/>
      <c r="BO162" s="3237"/>
      <c r="BP162" s="3269"/>
      <c r="BQ162" s="2999"/>
      <c r="BR162" s="2999"/>
      <c r="BS162" s="2999"/>
      <c r="BT162" s="3265"/>
      <c r="BU162" s="3265"/>
    </row>
    <row r="163" spans="1:73" ht="57" customHeight="1" x14ac:dyDescent="0.25">
      <c r="A163" s="2053"/>
      <c r="B163" s="2921"/>
      <c r="C163" s="2007"/>
      <c r="D163" s="2008"/>
      <c r="E163" s="3227"/>
      <c r="F163" s="3227"/>
      <c r="G163" s="3248"/>
      <c r="H163" s="3250"/>
      <c r="I163" s="3248"/>
      <c r="J163" s="3250"/>
      <c r="K163" s="3253"/>
      <c r="L163" s="3254"/>
      <c r="M163" s="3253"/>
      <c r="N163" s="3254"/>
      <c r="O163" s="3248"/>
      <c r="P163" s="3248"/>
      <c r="Q163" s="3256"/>
      <c r="R163" s="3257"/>
      <c r="S163" s="3258"/>
      <c r="T163" s="3259"/>
      <c r="U163" s="3260"/>
      <c r="V163" s="3153"/>
      <c r="W163" s="3084"/>
      <c r="X163" s="1653">
        <f>6000000+7110000</f>
        <v>13110000</v>
      </c>
      <c r="Y163" s="1653">
        <v>2885000</v>
      </c>
      <c r="Z163" s="1653"/>
      <c r="AA163" s="1708" t="s">
        <v>3178</v>
      </c>
      <c r="AB163" s="2010">
        <v>88</v>
      </c>
      <c r="AC163" s="2019" t="s">
        <v>2980</v>
      </c>
      <c r="AD163" s="3135"/>
      <c r="AE163" s="3053"/>
      <c r="AF163" s="3053"/>
      <c r="AG163" s="3053"/>
      <c r="AH163" s="3053"/>
      <c r="AI163" s="3053"/>
      <c r="AJ163" s="3053"/>
      <c r="AK163" s="3053"/>
      <c r="AL163" s="3053"/>
      <c r="AM163" s="3053"/>
      <c r="AN163" s="3053"/>
      <c r="AO163" s="3053"/>
      <c r="AP163" s="3053"/>
      <c r="AQ163" s="3053"/>
      <c r="AR163" s="3053"/>
      <c r="AS163" s="3053"/>
      <c r="AT163" s="3053"/>
      <c r="AU163" s="3053"/>
      <c r="AV163" s="3053"/>
      <c r="AW163" s="3053"/>
      <c r="AX163" s="3053"/>
      <c r="AY163" s="3053"/>
      <c r="AZ163" s="3053"/>
      <c r="BA163" s="3053"/>
      <c r="BB163" s="3053"/>
      <c r="BC163" s="3053"/>
      <c r="BD163" s="3053"/>
      <c r="BE163" s="3053"/>
      <c r="BF163" s="3053"/>
      <c r="BG163" s="3053"/>
      <c r="BH163" s="3053"/>
      <c r="BI163" s="3053"/>
      <c r="BJ163" s="3265"/>
      <c r="BK163" s="3001"/>
      <c r="BL163" s="3001"/>
      <c r="BM163" s="3004"/>
      <c r="BN163" s="3096"/>
      <c r="BO163" s="3237"/>
      <c r="BP163" s="3269"/>
      <c r="BQ163" s="2999"/>
      <c r="BR163" s="2999"/>
      <c r="BS163" s="2999"/>
      <c r="BT163" s="3265"/>
      <c r="BU163" s="3265"/>
    </row>
    <row r="164" spans="1:73" ht="43.5" customHeight="1" x14ac:dyDescent="0.25">
      <c r="A164" s="2053"/>
      <c r="B164" s="2921"/>
      <c r="C164" s="2007"/>
      <c r="D164" s="2008"/>
      <c r="E164" s="3227"/>
      <c r="F164" s="3227"/>
      <c r="G164" s="3248"/>
      <c r="H164" s="3250"/>
      <c r="I164" s="3248"/>
      <c r="J164" s="3250"/>
      <c r="K164" s="3253"/>
      <c r="L164" s="3254"/>
      <c r="M164" s="3253"/>
      <c r="N164" s="3254"/>
      <c r="O164" s="3248"/>
      <c r="P164" s="3248"/>
      <c r="Q164" s="3256"/>
      <c r="R164" s="3257"/>
      <c r="S164" s="3258"/>
      <c r="T164" s="3259"/>
      <c r="U164" s="3260"/>
      <c r="V164" s="3153"/>
      <c r="W164" s="2312" t="s">
        <v>3196</v>
      </c>
      <c r="X164" s="1653">
        <f>5800000-5800000</f>
        <v>0</v>
      </c>
      <c r="Y164" s="1653">
        <v>0</v>
      </c>
      <c r="Z164" s="1653">
        <v>0</v>
      </c>
      <c r="AA164" s="1708" t="s">
        <v>3175</v>
      </c>
      <c r="AB164" s="2122">
        <v>20</v>
      </c>
      <c r="AC164" s="1711" t="s">
        <v>734</v>
      </c>
      <c r="AD164" s="3135"/>
      <c r="AE164" s="3053"/>
      <c r="AF164" s="3053"/>
      <c r="AG164" s="3053"/>
      <c r="AH164" s="3053"/>
      <c r="AI164" s="3053"/>
      <c r="AJ164" s="3053"/>
      <c r="AK164" s="3053"/>
      <c r="AL164" s="3053"/>
      <c r="AM164" s="3053"/>
      <c r="AN164" s="3053"/>
      <c r="AO164" s="3053"/>
      <c r="AP164" s="3053"/>
      <c r="AQ164" s="3053"/>
      <c r="AR164" s="3053"/>
      <c r="AS164" s="3053"/>
      <c r="AT164" s="3053"/>
      <c r="AU164" s="3053"/>
      <c r="AV164" s="3053"/>
      <c r="AW164" s="3053"/>
      <c r="AX164" s="3053"/>
      <c r="AY164" s="3053"/>
      <c r="AZ164" s="3053"/>
      <c r="BA164" s="3053"/>
      <c r="BB164" s="3053"/>
      <c r="BC164" s="3053"/>
      <c r="BD164" s="3053"/>
      <c r="BE164" s="3053"/>
      <c r="BF164" s="3053"/>
      <c r="BG164" s="3053"/>
      <c r="BH164" s="3053"/>
      <c r="BI164" s="3053"/>
      <c r="BJ164" s="3265"/>
      <c r="BK164" s="3001"/>
      <c r="BL164" s="3001"/>
      <c r="BM164" s="3004"/>
      <c r="BN164" s="3096"/>
      <c r="BO164" s="3237"/>
      <c r="BP164" s="3269"/>
      <c r="BQ164" s="2999"/>
      <c r="BR164" s="2999"/>
      <c r="BS164" s="2999"/>
      <c r="BT164" s="3265"/>
      <c r="BU164" s="3265"/>
    </row>
    <row r="165" spans="1:73" ht="43.5" customHeight="1" x14ac:dyDescent="0.25">
      <c r="A165" s="2053"/>
      <c r="B165" s="2921"/>
      <c r="C165" s="2007"/>
      <c r="D165" s="2008"/>
      <c r="E165" s="3227"/>
      <c r="F165" s="3227"/>
      <c r="G165" s="3248"/>
      <c r="H165" s="3250"/>
      <c r="I165" s="3248"/>
      <c r="J165" s="3250"/>
      <c r="K165" s="3253"/>
      <c r="L165" s="3254"/>
      <c r="M165" s="3253"/>
      <c r="N165" s="3254"/>
      <c r="O165" s="3248"/>
      <c r="P165" s="3248"/>
      <c r="Q165" s="3256"/>
      <c r="R165" s="3257"/>
      <c r="S165" s="3258"/>
      <c r="T165" s="3259"/>
      <c r="U165" s="3260"/>
      <c r="V165" s="3153"/>
      <c r="W165" s="2313"/>
      <c r="X165" s="1653">
        <v>5800000</v>
      </c>
      <c r="Y165" s="1653">
        <v>0</v>
      </c>
      <c r="Z165" s="1653">
        <v>0</v>
      </c>
      <c r="AA165" s="1708" t="s">
        <v>3197</v>
      </c>
      <c r="AB165" s="2122">
        <v>20</v>
      </c>
      <c r="AC165" s="1711" t="s">
        <v>734</v>
      </c>
      <c r="AD165" s="3135"/>
      <c r="AE165" s="3053"/>
      <c r="AF165" s="3053"/>
      <c r="AG165" s="3053"/>
      <c r="AH165" s="3053"/>
      <c r="AI165" s="3053"/>
      <c r="AJ165" s="3053"/>
      <c r="AK165" s="3053"/>
      <c r="AL165" s="3053"/>
      <c r="AM165" s="3053"/>
      <c r="AN165" s="3053"/>
      <c r="AO165" s="3053"/>
      <c r="AP165" s="3053"/>
      <c r="AQ165" s="3053"/>
      <c r="AR165" s="3053"/>
      <c r="AS165" s="3053"/>
      <c r="AT165" s="3053"/>
      <c r="AU165" s="3053"/>
      <c r="AV165" s="3053"/>
      <c r="AW165" s="3053"/>
      <c r="AX165" s="3053"/>
      <c r="AY165" s="3053"/>
      <c r="AZ165" s="3053"/>
      <c r="BA165" s="3053"/>
      <c r="BB165" s="3053"/>
      <c r="BC165" s="3053"/>
      <c r="BD165" s="3053"/>
      <c r="BE165" s="3053"/>
      <c r="BF165" s="3053"/>
      <c r="BG165" s="3053"/>
      <c r="BH165" s="3053"/>
      <c r="BI165" s="3053"/>
      <c r="BJ165" s="3265"/>
      <c r="BK165" s="3001"/>
      <c r="BL165" s="3001"/>
      <c r="BM165" s="3004"/>
      <c r="BN165" s="3096"/>
      <c r="BO165" s="3237"/>
      <c r="BP165" s="3269"/>
      <c r="BQ165" s="2999"/>
      <c r="BR165" s="2999"/>
      <c r="BS165" s="2999"/>
      <c r="BT165" s="3265"/>
      <c r="BU165" s="3265"/>
    </row>
    <row r="166" spans="1:73" ht="43.5" customHeight="1" x14ac:dyDescent="0.25">
      <c r="A166" s="2053"/>
      <c r="B166" s="2921"/>
      <c r="C166" s="2007"/>
      <c r="D166" s="2008"/>
      <c r="E166" s="3227"/>
      <c r="F166" s="3227"/>
      <c r="G166" s="3248"/>
      <c r="H166" s="3250"/>
      <c r="I166" s="3248"/>
      <c r="J166" s="3250"/>
      <c r="K166" s="3253"/>
      <c r="L166" s="3254"/>
      <c r="M166" s="3253"/>
      <c r="N166" s="3254"/>
      <c r="O166" s="3248"/>
      <c r="P166" s="3248"/>
      <c r="Q166" s="3256"/>
      <c r="R166" s="3257"/>
      <c r="S166" s="3258"/>
      <c r="T166" s="3259"/>
      <c r="U166" s="3260"/>
      <c r="V166" s="3153"/>
      <c r="W166" s="2313"/>
      <c r="X166" s="1653">
        <v>12500000</v>
      </c>
      <c r="Y166" s="1653">
        <v>0</v>
      </c>
      <c r="Z166" s="1653">
        <v>0</v>
      </c>
      <c r="AA166" s="1708" t="s">
        <v>3181</v>
      </c>
      <c r="AB166" s="2122">
        <v>20</v>
      </c>
      <c r="AC166" s="1711" t="s">
        <v>734</v>
      </c>
      <c r="AD166" s="3135"/>
      <c r="AE166" s="3053"/>
      <c r="AF166" s="3053"/>
      <c r="AG166" s="3053"/>
      <c r="AH166" s="3053"/>
      <c r="AI166" s="3053"/>
      <c r="AJ166" s="3053"/>
      <c r="AK166" s="3053"/>
      <c r="AL166" s="3053"/>
      <c r="AM166" s="3053"/>
      <c r="AN166" s="3053"/>
      <c r="AO166" s="3053"/>
      <c r="AP166" s="3053"/>
      <c r="AQ166" s="3053"/>
      <c r="AR166" s="3053"/>
      <c r="AS166" s="3053"/>
      <c r="AT166" s="3053"/>
      <c r="AU166" s="3053"/>
      <c r="AV166" s="3053"/>
      <c r="AW166" s="3053"/>
      <c r="AX166" s="3053"/>
      <c r="AY166" s="3053"/>
      <c r="AZ166" s="3053"/>
      <c r="BA166" s="3053"/>
      <c r="BB166" s="3053"/>
      <c r="BC166" s="3053"/>
      <c r="BD166" s="3053"/>
      <c r="BE166" s="3053"/>
      <c r="BF166" s="3053"/>
      <c r="BG166" s="3053"/>
      <c r="BH166" s="3053"/>
      <c r="BI166" s="3053"/>
      <c r="BJ166" s="3265"/>
      <c r="BK166" s="3001"/>
      <c r="BL166" s="3001"/>
      <c r="BM166" s="3004"/>
      <c r="BN166" s="3096"/>
      <c r="BO166" s="3237"/>
      <c r="BP166" s="3269"/>
      <c r="BQ166" s="2999"/>
      <c r="BR166" s="2999"/>
      <c r="BS166" s="2999"/>
      <c r="BT166" s="3265"/>
      <c r="BU166" s="3265"/>
    </row>
    <row r="167" spans="1:73" ht="42" customHeight="1" x14ac:dyDescent="0.25">
      <c r="A167" s="2053"/>
      <c r="B167" s="2921"/>
      <c r="C167" s="2007"/>
      <c r="D167" s="2008"/>
      <c r="E167" s="3227"/>
      <c r="F167" s="3227"/>
      <c r="G167" s="3248"/>
      <c r="H167" s="3250"/>
      <c r="I167" s="3248"/>
      <c r="J167" s="3250"/>
      <c r="K167" s="3253"/>
      <c r="L167" s="3254"/>
      <c r="M167" s="3253"/>
      <c r="N167" s="3254"/>
      <c r="O167" s="3248"/>
      <c r="P167" s="3248"/>
      <c r="Q167" s="3256"/>
      <c r="R167" s="3257"/>
      <c r="S167" s="3258"/>
      <c r="T167" s="3259"/>
      <c r="U167" s="3260"/>
      <c r="V167" s="3153"/>
      <c r="W167" s="2314"/>
      <c r="X167" s="2009">
        <v>15000000</v>
      </c>
      <c r="Y167" s="2009">
        <v>0</v>
      </c>
      <c r="Z167" s="2009">
        <v>0</v>
      </c>
      <c r="AA167" s="1708" t="s">
        <v>3198</v>
      </c>
      <c r="AB167" s="2010">
        <v>88</v>
      </c>
      <c r="AC167" s="2019" t="s">
        <v>2980</v>
      </c>
      <c r="AD167" s="3135"/>
      <c r="AE167" s="3053"/>
      <c r="AF167" s="3053"/>
      <c r="AG167" s="3053"/>
      <c r="AH167" s="3053"/>
      <c r="AI167" s="3053"/>
      <c r="AJ167" s="3053"/>
      <c r="AK167" s="3053"/>
      <c r="AL167" s="3053"/>
      <c r="AM167" s="3053"/>
      <c r="AN167" s="3053"/>
      <c r="AO167" s="3053"/>
      <c r="AP167" s="3053"/>
      <c r="AQ167" s="3053"/>
      <c r="AR167" s="3053"/>
      <c r="AS167" s="3053"/>
      <c r="AT167" s="3053"/>
      <c r="AU167" s="3053"/>
      <c r="AV167" s="3053"/>
      <c r="AW167" s="3053"/>
      <c r="AX167" s="3053"/>
      <c r="AY167" s="3053"/>
      <c r="AZ167" s="3053"/>
      <c r="BA167" s="3053"/>
      <c r="BB167" s="3053"/>
      <c r="BC167" s="3053"/>
      <c r="BD167" s="3053"/>
      <c r="BE167" s="3053"/>
      <c r="BF167" s="3053"/>
      <c r="BG167" s="3053"/>
      <c r="BH167" s="3053"/>
      <c r="BI167" s="3053"/>
      <c r="BJ167" s="3265"/>
      <c r="BK167" s="3001"/>
      <c r="BL167" s="3001"/>
      <c r="BM167" s="3004"/>
      <c r="BN167" s="3096"/>
      <c r="BO167" s="3237"/>
      <c r="BP167" s="3269"/>
      <c r="BQ167" s="2999"/>
      <c r="BR167" s="2999"/>
      <c r="BS167" s="2999"/>
      <c r="BT167" s="3265"/>
      <c r="BU167" s="3265"/>
    </row>
    <row r="168" spans="1:73" ht="71.25" customHeight="1" x14ac:dyDescent="0.25">
      <c r="A168" s="2053"/>
      <c r="B168" s="2921"/>
      <c r="C168" s="2007"/>
      <c r="D168" s="2008"/>
      <c r="E168" s="3227"/>
      <c r="F168" s="3227"/>
      <c r="G168" s="3251" t="s">
        <v>74</v>
      </c>
      <c r="H168" s="3249" t="s">
        <v>3199</v>
      </c>
      <c r="I168" s="3251">
        <v>4503016</v>
      </c>
      <c r="J168" s="3249" t="s">
        <v>3200</v>
      </c>
      <c r="K168" s="3272" t="s">
        <v>74</v>
      </c>
      <c r="L168" s="3254" t="s">
        <v>3201</v>
      </c>
      <c r="M168" s="3272">
        <v>450301600</v>
      </c>
      <c r="N168" s="3254" t="s">
        <v>3202</v>
      </c>
      <c r="O168" s="3248">
        <v>1</v>
      </c>
      <c r="P168" s="3248">
        <v>1</v>
      </c>
      <c r="Q168" s="3256"/>
      <c r="R168" s="3257"/>
      <c r="S168" s="3258">
        <f>SUM(X168:X174)/SUM(T136:T174)</f>
        <v>0.16900048374772575</v>
      </c>
      <c r="T168" s="3259"/>
      <c r="U168" s="3260"/>
      <c r="V168" s="3270" t="s">
        <v>3203</v>
      </c>
      <c r="W168" s="2578" t="s">
        <v>3204</v>
      </c>
      <c r="X168" s="2009">
        <v>9600000</v>
      </c>
      <c r="Y168" s="2009">
        <v>8947500</v>
      </c>
      <c r="Z168" s="2009">
        <v>8020000</v>
      </c>
      <c r="AA168" s="1708" t="s">
        <v>3205</v>
      </c>
      <c r="AB168" s="2123">
        <v>20</v>
      </c>
      <c r="AC168" s="721" t="s">
        <v>734</v>
      </c>
      <c r="AD168" s="3135"/>
      <c r="AE168" s="3053"/>
      <c r="AF168" s="3053"/>
      <c r="AG168" s="3053"/>
      <c r="AH168" s="3053"/>
      <c r="AI168" s="3053"/>
      <c r="AJ168" s="3053"/>
      <c r="AK168" s="3053"/>
      <c r="AL168" s="3053"/>
      <c r="AM168" s="3053"/>
      <c r="AN168" s="3053"/>
      <c r="AO168" s="3053"/>
      <c r="AP168" s="3053"/>
      <c r="AQ168" s="3053"/>
      <c r="AR168" s="3053"/>
      <c r="AS168" s="3053"/>
      <c r="AT168" s="3053"/>
      <c r="AU168" s="3053"/>
      <c r="AV168" s="3053"/>
      <c r="AW168" s="3053"/>
      <c r="AX168" s="3053"/>
      <c r="AY168" s="3053"/>
      <c r="AZ168" s="3053"/>
      <c r="BA168" s="3053"/>
      <c r="BB168" s="3053"/>
      <c r="BC168" s="3053"/>
      <c r="BD168" s="3053"/>
      <c r="BE168" s="3053"/>
      <c r="BF168" s="3053"/>
      <c r="BG168" s="3053"/>
      <c r="BH168" s="3053"/>
      <c r="BI168" s="3053"/>
      <c r="BJ168" s="3265"/>
      <c r="BK168" s="3001"/>
      <c r="BL168" s="3001"/>
      <c r="BM168" s="3004"/>
      <c r="BN168" s="3096"/>
      <c r="BO168" s="3237"/>
      <c r="BP168" s="3269"/>
      <c r="BQ168" s="2999"/>
      <c r="BR168" s="2999"/>
      <c r="BS168" s="2999"/>
      <c r="BT168" s="3265"/>
      <c r="BU168" s="3265"/>
    </row>
    <row r="169" spans="1:73" ht="48" customHeight="1" x14ac:dyDescent="0.25">
      <c r="A169" s="2053"/>
      <c r="B169" s="2921"/>
      <c r="C169" s="2007"/>
      <c r="D169" s="2008"/>
      <c r="E169" s="3227"/>
      <c r="F169" s="3227"/>
      <c r="G169" s="3251"/>
      <c r="H169" s="3250"/>
      <c r="I169" s="3251"/>
      <c r="J169" s="3250"/>
      <c r="K169" s="3273"/>
      <c r="L169" s="3254"/>
      <c r="M169" s="3273"/>
      <c r="N169" s="3254"/>
      <c r="O169" s="3248"/>
      <c r="P169" s="3248"/>
      <c r="Q169" s="3256"/>
      <c r="R169" s="3257"/>
      <c r="S169" s="3258"/>
      <c r="T169" s="3259"/>
      <c r="U169" s="3260"/>
      <c r="V169" s="3270"/>
      <c r="W169" s="2313"/>
      <c r="X169" s="2009">
        <f>6600000-6600000</f>
        <v>0</v>
      </c>
      <c r="Y169" s="2009">
        <v>0</v>
      </c>
      <c r="Z169" s="2009">
        <v>0</v>
      </c>
      <c r="AA169" s="1708" t="s">
        <v>3206</v>
      </c>
      <c r="AB169" s="2124">
        <v>20</v>
      </c>
      <c r="AC169" s="752" t="s">
        <v>734</v>
      </c>
      <c r="AD169" s="3135"/>
      <c r="AE169" s="3053"/>
      <c r="AF169" s="3053"/>
      <c r="AG169" s="3053"/>
      <c r="AH169" s="3053"/>
      <c r="AI169" s="3053"/>
      <c r="AJ169" s="3053"/>
      <c r="AK169" s="3053"/>
      <c r="AL169" s="3053"/>
      <c r="AM169" s="3053"/>
      <c r="AN169" s="3053"/>
      <c r="AO169" s="3053"/>
      <c r="AP169" s="3053"/>
      <c r="AQ169" s="3053"/>
      <c r="AR169" s="3053"/>
      <c r="AS169" s="3053"/>
      <c r="AT169" s="3053"/>
      <c r="AU169" s="3053"/>
      <c r="AV169" s="3053"/>
      <c r="AW169" s="3053"/>
      <c r="AX169" s="3053"/>
      <c r="AY169" s="3053"/>
      <c r="AZ169" s="3053"/>
      <c r="BA169" s="3053"/>
      <c r="BB169" s="3053"/>
      <c r="BC169" s="3053"/>
      <c r="BD169" s="3053"/>
      <c r="BE169" s="3053"/>
      <c r="BF169" s="3053"/>
      <c r="BG169" s="3053"/>
      <c r="BH169" s="3053"/>
      <c r="BI169" s="3053"/>
      <c r="BJ169" s="3265"/>
      <c r="BK169" s="3001"/>
      <c r="BL169" s="3001"/>
      <c r="BM169" s="3004"/>
      <c r="BN169" s="3096"/>
      <c r="BO169" s="3237"/>
      <c r="BP169" s="3269"/>
      <c r="BQ169" s="2999"/>
      <c r="BR169" s="2999"/>
      <c r="BS169" s="2999"/>
      <c r="BT169" s="3265"/>
      <c r="BU169" s="3265"/>
    </row>
    <row r="170" spans="1:73" ht="48" customHeight="1" x14ac:dyDescent="0.25">
      <c r="A170" s="2053"/>
      <c r="B170" s="2921"/>
      <c r="C170" s="2007"/>
      <c r="D170" s="2008"/>
      <c r="E170" s="3227"/>
      <c r="F170" s="3227"/>
      <c r="G170" s="3251"/>
      <c r="H170" s="3250"/>
      <c r="I170" s="3251"/>
      <c r="J170" s="3250"/>
      <c r="K170" s="3273"/>
      <c r="L170" s="3254"/>
      <c r="M170" s="3273"/>
      <c r="N170" s="3254"/>
      <c r="O170" s="3248"/>
      <c r="P170" s="3248"/>
      <c r="Q170" s="3256"/>
      <c r="R170" s="3257"/>
      <c r="S170" s="3258"/>
      <c r="T170" s="3259"/>
      <c r="U170" s="3261"/>
      <c r="V170" s="3270"/>
      <c r="W170" s="2313"/>
      <c r="X170" s="2009">
        <v>6600000</v>
      </c>
      <c r="Y170" s="2009">
        <v>0</v>
      </c>
      <c r="Z170" s="2009">
        <v>0</v>
      </c>
      <c r="AA170" s="1708" t="s">
        <v>3207</v>
      </c>
      <c r="AB170" s="2125">
        <v>20</v>
      </c>
      <c r="AC170" s="752" t="s">
        <v>734</v>
      </c>
      <c r="AD170" s="3135"/>
      <c r="AE170" s="3053"/>
      <c r="AF170" s="3053"/>
      <c r="AG170" s="3053"/>
      <c r="AH170" s="3053"/>
      <c r="AI170" s="3053"/>
      <c r="AJ170" s="3053"/>
      <c r="AK170" s="3053"/>
      <c r="AL170" s="3053"/>
      <c r="AM170" s="3053"/>
      <c r="AN170" s="3053"/>
      <c r="AO170" s="3053"/>
      <c r="AP170" s="3053"/>
      <c r="AQ170" s="3053"/>
      <c r="AR170" s="3053"/>
      <c r="AS170" s="3053"/>
      <c r="AT170" s="3053"/>
      <c r="AU170" s="3053"/>
      <c r="AV170" s="3053"/>
      <c r="AW170" s="3053"/>
      <c r="AX170" s="3053"/>
      <c r="AY170" s="3053"/>
      <c r="AZ170" s="3053"/>
      <c r="BA170" s="3053"/>
      <c r="BB170" s="3053"/>
      <c r="BC170" s="3053"/>
      <c r="BD170" s="3053"/>
      <c r="BE170" s="3053"/>
      <c r="BF170" s="3053"/>
      <c r="BG170" s="3053"/>
      <c r="BH170" s="3053"/>
      <c r="BI170" s="3053"/>
      <c r="BJ170" s="3265"/>
      <c r="BK170" s="3001"/>
      <c r="BL170" s="3001"/>
      <c r="BM170" s="3004"/>
      <c r="BN170" s="3096"/>
      <c r="BO170" s="3237"/>
      <c r="BP170" s="3269"/>
      <c r="BQ170" s="2999"/>
      <c r="BR170" s="2999"/>
      <c r="BS170" s="2999"/>
      <c r="BT170" s="3265"/>
      <c r="BU170" s="3265"/>
    </row>
    <row r="171" spans="1:73" ht="48" customHeight="1" x14ac:dyDescent="0.25">
      <c r="A171" s="2053"/>
      <c r="B171" s="2921"/>
      <c r="C171" s="2007"/>
      <c r="D171" s="2008"/>
      <c r="E171" s="3227"/>
      <c r="F171" s="3227"/>
      <c r="G171" s="3251"/>
      <c r="H171" s="3250"/>
      <c r="I171" s="3251"/>
      <c r="J171" s="3250"/>
      <c r="K171" s="3273"/>
      <c r="L171" s="3254"/>
      <c r="M171" s="3273"/>
      <c r="N171" s="3254"/>
      <c r="O171" s="3248"/>
      <c r="P171" s="3248"/>
      <c r="Q171" s="3256"/>
      <c r="R171" s="3257"/>
      <c r="S171" s="3258"/>
      <c r="T171" s="3259"/>
      <c r="U171" s="3261"/>
      <c r="V171" s="3270"/>
      <c r="W171" s="2314"/>
      <c r="X171" s="2009">
        <v>27000000</v>
      </c>
      <c r="Y171" s="2009">
        <v>0</v>
      </c>
      <c r="Z171" s="2009">
        <v>0</v>
      </c>
      <c r="AA171" s="1708" t="s">
        <v>3208</v>
      </c>
      <c r="AB171" s="2010">
        <v>88</v>
      </c>
      <c r="AC171" s="2019" t="s">
        <v>2980</v>
      </c>
      <c r="AD171" s="3135"/>
      <c r="AE171" s="3053"/>
      <c r="AF171" s="3053"/>
      <c r="AG171" s="3053"/>
      <c r="AH171" s="3053"/>
      <c r="AI171" s="3053"/>
      <c r="AJ171" s="3053"/>
      <c r="AK171" s="3053"/>
      <c r="AL171" s="3053"/>
      <c r="AM171" s="3053"/>
      <c r="AN171" s="3053"/>
      <c r="AO171" s="3053"/>
      <c r="AP171" s="3053"/>
      <c r="AQ171" s="3053"/>
      <c r="AR171" s="3053"/>
      <c r="AS171" s="3053"/>
      <c r="AT171" s="3053"/>
      <c r="AU171" s="3053"/>
      <c r="AV171" s="3053"/>
      <c r="AW171" s="3053"/>
      <c r="AX171" s="3053"/>
      <c r="AY171" s="3053"/>
      <c r="AZ171" s="3053"/>
      <c r="BA171" s="3053"/>
      <c r="BB171" s="3053"/>
      <c r="BC171" s="3053"/>
      <c r="BD171" s="3053"/>
      <c r="BE171" s="3053"/>
      <c r="BF171" s="3053"/>
      <c r="BG171" s="3053"/>
      <c r="BH171" s="3053"/>
      <c r="BI171" s="3053"/>
      <c r="BJ171" s="3265"/>
      <c r="BK171" s="3001"/>
      <c r="BL171" s="3001"/>
      <c r="BM171" s="3004"/>
      <c r="BN171" s="3096"/>
      <c r="BO171" s="3237"/>
      <c r="BP171" s="3269"/>
      <c r="BQ171" s="2999"/>
      <c r="BR171" s="2999"/>
      <c r="BS171" s="2999"/>
      <c r="BT171" s="3265"/>
      <c r="BU171" s="3265"/>
    </row>
    <row r="172" spans="1:73" ht="48" customHeight="1" x14ac:dyDescent="0.25">
      <c r="A172" s="2053"/>
      <c r="B172" s="2921"/>
      <c r="C172" s="2007"/>
      <c r="D172" s="2008"/>
      <c r="E172" s="3227"/>
      <c r="F172" s="3227"/>
      <c r="G172" s="3251"/>
      <c r="H172" s="3250"/>
      <c r="I172" s="3251"/>
      <c r="J172" s="3250"/>
      <c r="K172" s="3273"/>
      <c r="L172" s="3254"/>
      <c r="M172" s="3273"/>
      <c r="N172" s="3254"/>
      <c r="O172" s="3248"/>
      <c r="P172" s="3248"/>
      <c r="Q172" s="3256"/>
      <c r="R172" s="3257"/>
      <c r="S172" s="3258"/>
      <c r="T172" s="3259"/>
      <c r="U172" s="3261"/>
      <c r="V172" s="3270"/>
      <c r="W172" s="2578" t="s">
        <v>3209</v>
      </c>
      <c r="X172" s="2009">
        <f>21000000-7200000-13800000</f>
        <v>0</v>
      </c>
      <c r="Y172" s="2009">
        <v>0</v>
      </c>
      <c r="Z172" s="2009">
        <v>0</v>
      </c>
      <c r="AA172" s="1708" t="s">
        <v>3206</v>
      </c>
      <c r="AB172" s="2124">
        <v>20</v>
      </c>
      <c r="AC172" s="752" t="s">
        <v>734</v>
      </c>
      <c r="AD172" s="3135"/>
      <c r="AE172" s="3053"/>
      <c r="AF172" s="3053"/>
      <c r="AG172" s="3053"/>
      <c r="AH172" s="3053"/>
      <c r="AI172" s="3053"/>
      <c r="AJ172" s="3053"/>
      <c r="AK172" s="3053"/>
      <c r="AL172" s="3053"/>
      <c r="AM172" s="3053"/>
      <c r="AN172" s="3053"/>
      <c r="AO172" s="3053"/>
      <c r="AP172" s="3053"/>
      <c r="AQ172" s="3053"/>
      <c r="AR172" s="3053"/>
      <c r="AS172" s="3053"/>
      <c r="AT172" s="3053"/>
      <c r="AU172" s="3053"/>
      <c r="AV172" s="3053"/>
      <c r="AW172" s="3053"/>
      <c r="AX172" s="3053"/>
      <c r="AY172" s="3053"/>
      <c r="AZ172" s="3053"/>
      <c r="BA172" s="3053"/>
      <c r="BB172" s="3053"/>
      <c r="BC172" s="3053"/>
      <c r="BD172" s="3053"/>
      <c r="BE172" s="3053"/>
      <c r="BF172" s="3053"/>
      <c r="BG172" s="3053"/>
      <c r="BH172" s="3053"/>
      <c r="BI172" s="3053"/>
      <c r="BJ172" s="3265"/>
      <c r="BK172" s="3001"/>
      <c r="BL172" s="3001"/>
      <c r="BM172" s="3004"/>
      <c r="BN172" s="3096"/>
      <c r="BO172" s="3237"/>
      <c r="BP172" s="3269"/>
      <c r="BQ172" s="2999"/>
      <c r="BR172" s="2999"/>
      <c r="BS172" s="2999"/>
      <c r="BT172" s="3265"/>
      <c r="BU172" s="3265"/>
    </row>
    <row r="173" spans="1:73" ht="48" customHeight="1" x14ac:dyDescent="0.25">
      <c r="A173" s="2053"/>
      <c r="B173" s="2921"/>
      <c r="C173" s="2007"/>
      <c r="D173" s="2008"/>
      <c r="E173" s="3227"/>
      <c r="F173" s="3227"/>
      <c r="G173" s="3251"/>
      <c r="H173" s="3250"/>
      <c r="I173" s="3251"/>
      <c r="J173" s="3250"/>
      <c r="K173" s="3273"/>
      <c r="L173" s="3254"/>
      <c r="M173" s="3273"/>
      <c r="N173" s="3254"/>
      <c r="O173" s="3248"/>
      <c r="P173" s="3248"/>
      <c r="Q173" s="3256"/>
      <c r="R173" s="3257"/>
      <c r="S173" s="3258"/>
      <c r="T173" s="3259"/>
      <c r="U173" s="3261"/>
      <c r="V173" s="3270"/>
      <c r="W173" s="2313"/>
      <c r="X173" s="2009">
        <v>13800000</v>
      </c>
      <c r="Y173" s="2009">
        <v>0</v>
      </c>
      <c r="Z173" s="2009">
        <v>0</v>
      </c>
      <c r="AA173" s="1708" t="s">
        <v>3207</v>
      </c>
      <c r="AB173" s="2124">
        <v>20</v>
      </c>
      <c r="AC173" s="752" t="s">
        <v>734</v>
      </c>
      <c r="AD173" s="3135"/>
      <c r="AE173" s="3053"/>
      <c r="AF173" s="3053"/>
      <c r="AG173" s="3053"/>
      <c r="AH173" s="3053"/>
      <c r="AI173" s="3053"/>
      <c r="AJ173" s="3053"/>
      <c r="AK173" s="3053"/>
      <c r="AL173" s="3053"/>
      <c r="AM173" s="3053"/>
      <c r="AN173" s="3053"/>
      <c r="AO173" s="3053"/>
      <c r="AP173" s="3053"/>
      <c r="AQ173" s="3053"/>
      <c r="AR173" s="3053"/>
      <c r="AS173" s="3053"/>
      <c r="AT173" s="3053"/>
      <c r="AU173" s="3053"/>
      <c r="AV173" s="3053"/>
      <c r="AW173" s="3053"/>
      <c r="AX173" s="3053"/>
      <c r="AY173" s="3053"/>
      <c r="AZ173" s="3053"/>
      <c r="BA173" s="3053"/>
      <c r="BB173" s="3053"/>
      <c r="BC173" s="3053"/>
      <c r="BD173" s="3053"/>
      <c r="BE173" s="3053"/>
      <c r="BF173" s="3053"/>
      <c r="BG173" s="3053"/>
      <c r="BH173" s="3053"/>
      <c r="BI173" s="3053"/>
      <c r="BJ173" s="3265"/>
      <c r="BK173" s="3001"/>
      <c r="BL173" s="3001"/>
      <c r="BM173" s="3004"/>
      <c r="BN173" s="3096"/>
      <c r="BO173" s="3237"/>
      <c r="BP173" s="3269"/>
      <c r="BQ173" s="2999"/>
      <c r="BR173" s="2999"/>
      <c r="BS173" s="2999"/>
      <c r="BT173" s="3265"/>
      <c r="BU173" s="3265"/>
    </row>
    <row r="174" spans="1:73" ht="50.1" customHeight="1" x14ac:dyDescent="0.25">
      <c r="A174" s="2104"/>
      <c r="B174" s="3243"/>
      <c r="C174" s="2057"/>
      <c r="D174" s="2033"/>
      <c r="E174" s="3228"/>
      <c r="F174" s="3228"/>
      <c r="G174" s="3251"/>
      <c r="H174" s="3271"/>
      <c r="I174" s="3251"/>
      <c r="J174" s="3250"/>
      <c r="K174" s="3273"/>
      <c r="L174" s="3254"/>
      <c r="M174" s="3273"/>
      <c r="N174" s="3254"/>
      <c r="O174" s="3248"/>
      <c r="P174" s="3248"/>
      <c r="Q174" s="3256"/>
      <c r="R174" s="3257"/>
      <c r="S174" s="3258"/>
      <c r="T174" s="3259"/>
      <c r="U174" s="3261"/>
      <c r="V174" s="3270"/>
      <c r="W174" s="2314"/>
      <c r="X174" s="2009">
        <f>20505448+15000000</f>
        <v>35505448</v>
      </c>
      <c r="Y174" s="2009">
        <v>0</v>
      </c>
      <c r="Z174" s="2009">
        <v>0</v>
      </c>
      <c r="AA174" s="1708" t="s">
        <v>3210</v>
      </c>
      <c r="AB174" s="2010">
        <v>88</v>
      </c>
      <c r="AC174" s="2019" t="s">
        <v>2980</v>
      </c>
      <c r="AD174" s="3136"/>
      <c r="AE174" s="3054"/>
      <c r="AF174" s="3054"/>
      <c r="AG174" s="3054"/>
      <c r="AH174" s="3054"/>
      <c r="AI174" s="3054"/>
      <c r="AJ174" s="3054"/>
      <c r="AK174" s="3054"/>
      <c r="AL174" s="3054"/>
      <c r="AM174" s="3054"/>
      <c r="AN174" s="3054"/>
      <c r="AO174" s="3054"/>
      <c r="AP174" s="3054"/>
      <c r="AQ174" s="3054"/>
      <c r="AR174" s="3054"/>
      <c r="AS174" s="3054"/>
      <c r="AT174" s="3054"/>
      <c r="AU174" s="3054"/>
      <c r="AV174" s="3054"/>
      <c r="AW174" s="3054"/>
      <c r="AX174" s="3054"/>
      <c r="AY174" s="3054"/>
      <c r="AZ174" s="3054"/>
      <c r="BA174" s="3054"/>
      <c r="BB174" s="3054"/>
      <c r="BC174" s="3054"/>
      <c r="BD174" s="3054"/>
      <c r="BE174" s="3054"/>
      <c r="BF174" s="3054"/>
      <c r="BG174" s="3054"/>
      <c r="BH174" s="3054"/>
      <c r="BI174" s="3054"/>
      <c r="BJ174" s="3265"/>
      <c r="BK174" s="3002"/>
      <c r="BL174" s="3002"/>
      <c r="BM174" s="3005"/>
      <c r="BN174" s="3097"/>
      <c r="BO174" s="3238"/>
      <c r="BP174" s="3269"/>
      <c r="BQ174" s="2999"/>
      <c r="BR174" s="2999"/>
      <c r="BS174" s="2999"/>
      <c r="BT174" s="3265"/>
      <c r="BU174" s="3265"/>
    </row>
    <row r="175" spans="1:73" s="2052" customFormat="1" ht="27" customHeight="1" x14ac:dyDescent="0.25">
      <c r="A175" s="1356">
        <v>4</v>
      </c>
      <c r="B175" s="3278" t="s">
        <v>1811</v>
      </c>
      <c r="C175" s="3279"/>
      <c r="D175" s="3279"/>
      <c r="E175" s="3279"/>
      <c r="F175" s="3279"/>
      <c r="G175" s="3279"/>
      <c r="H175" s="3279"/>
      <c r="I175" s="2089"/>
      <c r="J175" s="2090"/>
      <c r="K175" s="2091"/>
      <c r="L175" s="2126"/>
      <c r="M175" s="2091"/>
      <c r="N175" s="2126"/>
      <c r="O175" s="2089"/>
      <c r="P175" s="2089"/>
      <c r="Q175" s="2089"/>
      <c r="R175" s="2126"/>
      <c r="S175" s="2089"/>
      <c r="T175" s="2127"/>
      <c r="U175" s="2090"/>
      <c r="V175" s="2090"/>
      <c r="W175" s="2090"/>
      <c r="X175" s="2093"/>
      <c r="Y175" s="2093"/>
      <c r="Z175" s="2093"/>
      <c r="AA175" s="2094"/>
      <c r="AB175" s="2091"/>
      <c r="AC175" s="2090"/>
      <c r="AD175" s="2091"/>
      <c r="AE175" s="2091"/>
      <c r="AF175" s="2091"/>
      <c r="AG175" s="2091"/>
      <c r="AH175" s="2091"/>
      <c r="AI175" s="2091"/>
      <c r="AJ175" s="2091"/>
      <c r="AK175" s="2091"/>
      <c r="AL175" s="2091"/>
      <c r="AM175" s="2091"/>
      <c r="AN175" s="2091"/>
      <c r="AO175" s="2091"/>
      <c r="AP175" s="2091"/>
      <c r="AQ175" s="2091"/>
      <c r="AR175" s="2091"/>
      <c r="AS175" s="2091"/>
      <c r="AT175" s="2091"/>
      <c r="AU175" s="2091"/>
      <c r="AV175" s="2091"/>
      <c r="AW175" s="2091"/>
      <c r="AX175" s="2091"/>
      <c r="AY175" s="2091"/>
      <c r="AZ175" s="2091"/>
      <c r="BA175" s="2091"/>
      <c r="BB175" s="2091"/>
      <c r="BC175" s="2091"/>
      <c r="BD175" s="2091"/>
      <c r="BE175" s="2091"/>
      <c r="BF175" s="2091"/>
      <c r="BG175" s="2091"/>
      <c r="BH175" s="2091"/>
      <c r="BI175" s="2091"/>
      <c r="BJ175" s="3280"/>
      <c r="BK175" s="3280"/>
      <c r="BL175" s="3280"/>
      <c r="BM175" s="3280"/>
      <c r="BN175" s="3280"/>
      <c r="BO175" s="3280"/>
      <c r="BP175" s="3280"/>
      <c r="BQ175" s="3280"/>
      <c r="BR175" s="3280"/>
      <c r="BS175" s="3280"/>
      <c r="BT175" s="3280"/>
      <c r="BU175" s="3280"/>
    </row>
    <row r="176" spans="1:73" s="2052" customFormat="1" ht="27" customHeight="1" x14ac:dyDescent="0.25">
      <c r="A176" s="1359"/>
      <c r="B176" s="384"/>
      <c r="C176" s="31">
        <v>45</v>
      </c>
      <c r="D176" s="3077" t="s">
        <v>72</v>
      </c>
      <c r="E176" s="2324"/>
      <c r="F176" s="3198"/>
      <c r="G176" s="3198"/>
      <c r="H176" s="3198"/>
      <c r="I176" s="1743"/>
      <c r="J176" s="1744"/>
      <c r="K176" s="1743"/>
      <c r="L176" s="1744"/>
      <c r="M176" s="1743"/>
      <c r="N176" s="1744"/>
      <c r="O176" s="1743"/>
      <c r="P176" s="1743"/>
      <c r="Q176" s="1743"/>
      <c r="R176" s="2097"/>
      <c r="S176" s="2095"/>
      <c r="T176" s="2096"/>
      <c r="U176" s="2097"/>
      <c r="V176" s="2097"/>
      <c r="W176" s="2097"/>
      <c r="X176" s="2098"/>
      <c r="Y176" s="2098"/>
      <c r="Z176" s="2098"/>
      <c r="AA176" s="2099"/>
      <c r="AB176" s="2095"/>
      <c r="AC176" s="2097"/>
      <c r="AD176" s="2095"/>
      <c r="AE176" s="2095"/>
      <c r="AF176" s="2095"/>
      <c r="AG176" s="2095"/>
      <c r="AH176" s="2095"/>
      <c r="AI176" s="2095"/>
      <c r="AJ176" s="2095"/>
      <c r="AK176" s="2095"/>
      <c r="AL176" s="2095"/>
      <c r="AM176" s="2095"/>
      <c r="AN176" s="2095"/>
      <c r="AO176" s="2095"/>
      <c r="AP176" s="2095"/>
      <c r="AQ176" s="2095"/>
      <c r="AR176" s="2095"/>
      <c r="AS176" s="2095"/>
      <c r="AT176" s="2095"/>
      <c r="AU176" s="2095"/>
      <c r="AV176" s="2095"/>
      <c r="AW176" s="2095"/>
      <c r="AX176" s="2095"/>
      <c r="AY176" s="2095"/>
      <c r="AZ176" s="2095"/>
      <c r="BA176" s="2095"/>
      <c r="BB176" s="2095"/>
      <c r="BC176" s="2095"/>
      <c r="BD176" s="2095"/>
      <c r="BE176" s="2095"/>
      <c r="BF176" s="2095"/>
      <c r="BG176" s="2095"/>
      <c r="BH176" s="2095"/>
      <c r="BI176" s="2095"/>
      <c r="BJ176" s="3281"/>
      <c r="BK176" s="3281"/>
      <c r="BL176" s="3281"/>
      <c r="BM176" s="3281"/>
      <c r="BN176" s="3281"/>
      <c r="BO176" s="3281"/>
      <c r="BP176" s="3281"/>
      <c r="BQ176" s="3281"/>
      <c r="BR176" s="3281"/>
      <c r="BS176" s="3281"/>
      <c r="BT176" s="3281"/>
      <c r="BU176" s="3281"/>
    </row>
    <row r="177" spans="1:73" ht="27" customHeight="1" x14ac:dyDescent="0.25">
      <c r="A177" s="2053"/>
      <c r="B177" s="2921"/>
      <c r="C177" s="1995"/>
      <c r="D177" s="2008"/>
      <c r="E177" s="1408">
        <v>4502</v>
      </c>
      <c r="F177" s="3161" t="s">
        <v>395</v>
      </c>
      <c r="G177" s="3065"/>
      <c r="H177" s="3065"/>
      <c r="I177" s="3065"/>
      <c r="J177" s="3065"/>
      <c r="K177" s="3065"/>
      <c r="L177" s="3065"/>
      <c r="M177" s="3065"/>
      <c r="N177" s="3065"/>
      <c r="O177" s="3065"/>
      <c r="P177" s="3065"/>
      <c r="Q177" s="3065"/>
      <c r="R177" s="2028"/>
      <c r="S177" s="2022"/>
      <c r="T177" s="2068"/>
      <c r="U177" s="2028"/>
      <c r="V177" s="2028"/>
      <c r="W177" s="2028"/>
      <c r="X177" s="2023"/>
      <c r="Y177" s="2023"/>
      <c r="Z177" s="2023"/>
      <c r="AA177" s="2024"/>
      <c r="AB177" s="2022"/>
      <c r="AC177" s="2025"/>
      <c r="AD177" s="2022"/>
      <c r="AE177" s="2022"/>
      <c r="AF177" s="2022"/>
      <c r="AG177" s="2022"/>
      <c r="AH177" s="2022"/>
      <c r="AI177" s="2022"/>
      <c r="AJ177" s="2022"/>
      <c r="AK177" s="2022"/>
      <c r="AL177" s="2022"/>
      <c r="AM177" s="2022"/>
      <c r="AN177" s="2022"/>
      <c r="AO177" s="2022"/>
      <c r="AP177" s="2022"/>
      <c r="AQ177" s="2022"/>
      <c r="AR177" s="2022"/>
      <c r="AS177" s="2022"/>
      <c r="AT177" s="2022"/>
      <c r="AU177" s="2022"/>
      <c r="AV177" s="2022"/>
      <c r="AW177" s="2022"/>
      <c r="AX177" s="2022"/>
      <c r="AY177" s="2022"/>
      <c r="AZ177" s="2022"/>
      <c r="BA177" s="2022"/>
      <c r="BB177" s="2022"/>
      <c r="BC177" s="2022"/>
      <c r="BD177" s="2022"/>
      <c r="BE177" s="2022"/>
      <c r="BF177" s="2022"/>
      <c r="BG177" s="2022"/>
      <c r="BH177" s="2022"/>
      <c r="BI177" s="2022"/>
      <c r="BJ177" s="3282"/>
      <c r="BK177" s="3282"/>
      <c r="BL177" s="3282"/>
      <c r="BM177" s="3282"/>
      <c r="BN177" s="3282"/>
      <c r="BO177" s="3282"/>
      <c r="BP177" s="3282"/>
      <c r="BQ177" s="3282"/>
      <c r="BR177" s="3282"/>
      <c r="BS177" s="3282"/>
      <c r="BT177" s="3282"/>
      <c r="BU177" s="3282"/>
    </row>
    <row r="178" spans="1:73" s="2052" customFormat="1" ht="32.1" customHeight="1" x14ac:dyDescent="0.25">
      <c r="A178" s="325"/>
      <c r="B178" s="2921"/>
      <c r="C178" s="2007"/>
      <c r="D178" s="2008"/>
      <c r="E178" s="3030"/>
      <c r="F178" s="3030"/>
      <c r="G178" s="3032">
        <v>4502024</v>
      </c>
      <c r="H178" s="3034" t="s">
        <v>1453</v>
      </c>
      <c r="I178" s="3032">
        <v>4502024</v>
      </c>
      <c r="J178" s="3034" t="s">
        <v>1453</v>
      </c>
      <c r="K178" s="3007">
        <v>450202400</v>
      </c>
      <c r="L178" s="3036" t="s">
        <v>3211</v>
      </c>
      <c r="M178" s="3007">
        <v>450202400</v>
      </c>
      <c r="N178" s="3036" t="s">
        <v>3211</v>
      </c>
      <c r="O178" s="3007">
        <v>10</v>
      </c>
      <c r="P178" s="3007">
        <v>6</v>
      </c>
      <c r="Q178" s="3007" t="s">
        <v>3212</v>
      </c>
      <c r="R178" s="2478" t="s">
        <v>1453</v>
      </c>
      <c r="S178" s="3276">
        <f>SUM(X178:X192)/T178</f>
        <v>1</v>
      </c>
      <c r="T178" s="3081">
        <f>SUM(X178:X192)</f>
        <v>89000000</v>
      </c>
      <c r="U178" s="3086" t="s">
        <v>3213</v>
      </c>
      <c r="V178" s="2478" t="s">
        <v>3214</v>
      </c>
      <c r="W178" s="2128" t="s">
        <v>3215</v>
      </c>
      <c r="X178" s="1653">
        <v>2000000</v>
      </c>
      <c r="Y178" s="1653">
        <v>0</v>
      </c>
      <c r="Z178" s="1653">
        <v>0</v>
      </c>
      <c r="AA178" s="1708" t="s">
        <v>3216</v>
      </c>
      <c r="AB178" s="2085">
        <v>20</v>
      </c>
      <c r="AC178" s="1705" t="s">
        <v>734</v>
      </c>
      <c r="AD178" s="3283">
        <v>245646</v>
      </c>
      <c r="AE178" s="3283">
        <v>211</v>
      </c>
      <c r="AF178" s="3283">
        <v>263994</v>
      </c>
      <c r="AG178" s="3283">
        <v>145</v>
      </c>
      <c r="AH178" s="3283">
        <v>135592</v>
      </c>
      <c r="AI178" s="3283"/>
      <c r="AJ178" s="3283">
        <v>44252</v>
      </c>
      <c r="AK178" s="3283"/>
      <c r="AL178" s="3283">
        <v>237257</v>
      </c>
      <c r="AM178" s="3283"/>
      <c r="AN178" s="3283">
        <v>95539</v>
      </c>
      <c r="AO178" s="3283"/>
      <c r="AP178" s="3283">
        <v>2883</v>
      </c>
      <c r="AQ178" s="3283"/>
      <c r="AR178" s="3283">
        <v>6058</v>
      </c>
      <c r="AS178" s="3283"/>
      <c r="AT178" s="3283">
        <v>0</v>
      </c>
      <c r="AU178" s="3283"/>
      <c r="AV178" s="3283">
        <v>0</v>
      </c>
      <c r="AW178" s="3283"/>
      <c r="AX178" s="3283">
        <v>0</v>
      </c>
      <c r="AY178" s="3283"/>
      <c r="AZ178" s="3283">
        <v>6058</v>
      </c>
      <c r="BA178" s="3283"/>
      <c r="BB178" s="3283"/>
      <c r="BC178" s="3283"/>
      <c r="BD178" s="3283">
        <v>42555</v>
      </c>
      <c r="BE178" s="3283"/>
      <c r="BF178" s="3283">
        <v>43342</v>
      </c>
      <c r="BG178" s="3283"/>
      <c r="BH178" s="3283">
        <f>AD178+AF178</f>
        <v>509640</v>
      </c>
      <c r="BI178" s="3283">
        <f>+AE178+AG178</f>
        <v>356</v>
      </c>
      <c r="BJ178" s="3289">
        <v>2</v>
      </c>
      <c r="BK178" s="3143">
        <f>SUM(Y178:Y192)</f>
        <v>33070761</v>
      </c>
      <c r="BL178" s="3143">
        <f>SUM(Z178:Z192)</f>
        <v>19920761</v>
      </c>
      <c r="BM178" s="3144">
        <f>+BL178/BK178</f>
        <v>0.60236778343262198</v>
      </c>
      <c r="BN178" s="3289">
        <v>20</v>
      </c>
      <c r="BO178" s="2946" t="s">
        <v>86</v>
      </c>
      <c r="BP178" s="2946" t="s">
        <v>3032</v>
      </c>
      <c r="BQ178" s="3288">
        <v>44198</v>
      </c>
      <c r="BR178" s="3288">
        <v>44228</v>
      </c>
      <c r="BS178" s="3288">
        <v>44560</v>
      </c>
      <c r="BT178" s="3288">
        <v>44484</v>
      </c>
      <c r="BU178" s="3289" t="s">
        <v>2978</v>
      </c>
    </row>
    <row r="179" spans="1:73" s="2052" customFormat="1" ht="30" customHeight="1" x14ac:dyDescent="0.25">
      <c r="A179" s="325"/>
      <c r="B179" s="2921"/>
      <c r="C179" s="2007"/>
      <c r="D179" s="2008"/>
      <c r="E179" s="3030"/>
      <c r="F179" s="3030"/>
      <c r="G179" s="3033"/>
      <c r="H179" s="3034"/>
      <c r="I179" s="3033"/>
      <c r="J179" s="3034"/>
      <c r="K179" s="3007"/>
      <c r="L179" s="3036"/>
      <c r="M179" s="3007"/>
      <c r="N179" s="3036"/>
      <c r="O179" s="3007"/>
      <c r="P179" s="3007"/>
      <c r="Q179" s="3007"/>
      <c r="R179" s="3036"/>
      <c r="S179" s="3277"/>
      <c r="T179" s="3081"/>
      <c r="U179" s="3034"/>
      <c r="V179" s="3036"/>
      <c r="W179" s="2128" t="s">
        <v>3217</v>
      </c>
      <c r="X179" s="1653">
        <v>1000000</v>
      </c>
      <c r="Y179" s="1653">
        <v>0</v>
      </c>
      <c r="Z179" s="1653">
        <v>0</v>
      </c>
      <c r="AA179" s="1708" t="s">
        <v>3218</v>
      </c>
      <c r="AB179" s="2085">
        <v>20</v>
      </c>
      <c r="AC179" s="1705" t="s">
        <v>734</v>
      </c>
      <c r="AD179" s="3284"/>
      <c r="AE179" s="3284"/>
      <c r="AF179" s="3284"/>
      <c r="AG179" s="3284"/>
      <c r="AH179" s="3284"/>
      <c r="AI179" s="3284"/>
      <c r="AJ179" s="3284"/>
      <c r="AK179" s="3284"/>
      <c r="AL179" s="3284"/>
      <c r="AM179" s="3284"/>
      <c r="AN179" s="3284"/>
      <c r="AO179" s="3284"/>
      <c r="AP179" s="3284"/>
      <c r="AQ179" s="3284"/>
      <c r="AR179" s="3284"/>
      <c r="AS179" s="3284"/>
      <c r="AT179" s="3284"/>
      <c r="AU179" s="3284"/>
      <c r="AV179" s="3284"/>
      <c r="AW179" s="3284"/>
      <c r="AX179" s="3284"/>
      <c r="AY179" s="3284"/>
      <c r="AZ179" s="3284"/>
      <c r="BA179" s="3284"/>
      <c r="BB179" s="3284"/>
      <c r="BC179" s="3284"/>
      <c r="BD179" s="3284"/>
      <c r="BE179" s="3284"/>
      <c r="BF179" s="3284"/>
      <c r="BG179" s="3284"/>
      <c r="BH179" s="3284"/>
      <c r="BI179" s="3284"/>
      <c r="BJ179" s="3289"/>
      <c r="BK179" s="3143"/>
      <c r="BL179" s="3143"/>
      <c r="BM179" s="3144"/>
      <c r="BN179" s="3289"/>
      <c r="BO179" s="2946"/>
      <c r="BP179" s="2946"/>
      <c r="BQ179" s="3289"/>
      <c r="BR179" s="3289"/>
      <c r="BS179" s="3289"/>
      <c r="BT179" s="3289"/>
      <c r="BU179" s="3289"/>
    </row>
    <row r="180" spans="1:73" s="2052" customFormat="1" ht="53.1" customHeight="1" x14ac:dyDescent="0.25">
      <c r="A180" s="325"/>
      <c r="B180" s="2921"/>
      <c r="C180" s="2007"/>
      <c r="D180" s="2008"/>
      <c r="E180" s="3030"/>
      <c r="F180" s="3030"/>
      <c r="G180" s="3033"/>
      <c r="H180" s="3034"/>
      <c r="I180" s="3033"/>
      <c r="J180" s="3034"/>
      <c r="K180" s="3007"/>
      <c r="L180" s="3036"/>
      <c r="M180" s="3007"/>
      <c r="N180" s="3036"/>
      <c r="O180" s="3007"/>
      <c r="P180" s="3007"/>
      <c r="Q180" s="3007"/>
      <c r="R180" s="3036"/>
      <c r="S180" s="3277"/>
      <c r="T180" s="3081"/>
      <c r="U180" s="3034"/>
      <c r="V180" s="3036"/>
      <c r="W180" s="3071" t="s">
        <v>3219</v>
      </c>
      <c r="X180" s="1653">
        <v>13000000</v>
      </c>
      <c r="Y180" s="1653">
        <v>10780761</v>
      </c>
      <c r="Z180" s="1653">
        <v>7870000</v>
      </c>
      <c r="AA180" s="1708" t="s">
        <v>3220</v>
      </c>
      <c r="AB180" s="2085">
        <v>20</v>
      </c>
      <c r="AC180" s="1705" t="s">
        <v>734</v>
      </c>
      <c r="AD180" s="3284"/>
      <c r="AE180" s="3284"/>
      <c r="AF180" s="3284"/>
      <c r="AG180" s="3284"/>
      <c r="AH180" s="3284"/>
      <c r="AI180" s="3284"/>
      <c r="AJ180" s="3284"/>
      <c r="AK180" s="3284"/>
      <c r="AL180" s="3284"/>
      <c r="AM180" s="3284"/>
      <c r="AN180" s="3284"/>
      <c r="AO180" s="3284"/>
      <c r="AP180" s="3284"/>
      <c r="AQ180" s="3284"/>
      <c r="AR180" s="3284"/>
      <c r="AS180" s="3284"/>
      <c r="AT180" s="3284"/>
      <c r="AU180" s="3284"/>
      <c r="AV180" s="3284"/>
      <c r="AW180" s="3284"/>
      <c r="AX180" s="3284"/>
      <c r="AY180" s="3284"/>
      <c r="AZ180" s="3284"/>
      <c r="BA180" s="3284"/>
      <c r="BB180" s="3284"/>
      <c r="BC180" s="3284"/>
      <c r="BD180" s="3284"/>
      <c r="BE180" s="3284"/>
      <c r="BF180" s="3284"/>
      <c r="BG180" s="3284"/>
      <c r="BH180" s="3284"/>
      <c r="BI180" s="3284"/>
      <c r="BJ180" s="3289"/>
      <c r="BK180" s="3143"/>
      <c r="BL180" s="3143"/>
      <c r="BM180" s="3144"/>
      <c r="BN180" s="3289"/>
      <c r="BO180" s="2946"/>
      <c r="BP180" s="2946"/>
      <c r="BQ180" s="3289"/>
      <c r="BR180" s="3289"/>
      <c r="BS180" s="3289"/>
      <c r="BT180" s="3289"/>
      <c r="BU180" s="3289"/>
    </row>
    <row r="181" spans="1:73" s="2052" customFormat="1" ht="53.1" customHeight="1" x14ac:dyDescent="0.25">
      <c r="A181" s="325"/>
      <c r="B181" s="2921"/>
      <c r="C181" s="2007"/>
      <c r="D181" s="2008"/>
      <c r="E181" s="3030"/>
      <c r="F181" s="3030"/>
      <c r="G181" s="3033"/>
      <c r="H181" s="3034"/>
      <c r="I181" s="3033"/>
      <c r="J181" s="3034"/>
      <c r="K181" s="3007"/>
      <c r="L181" s="3036"/>
      <c r="M181" s="3007"/>
      <c r="N181" s="3036"/>
      <c r="O181" s="3007"/>
      <c r="P181" s="3007"/>
      <c r="Q181" s="3007"/>
      <c r="R181" s="3036"/>
      <c r="S181" s="3277"/>
      <c r="T181" s="3081"/>
      <c r="U181" s="3034"/>
      <c r="V181" s="3036"/>
      <c r="W181" s="3179"/>
      <c r="X181" s="1653">
        <v>14000000</v>
      </c>
      <c r="Y181" s="1653">
        <v>0</v>
      </c>
      <c r="Z181" s="1653">
        <v>0</v>
      </c>
      <c r="AA181" s="1708" t="s">
        <v>3221</v>
      </c>
      <c r="AB181" s="2129">
        <v>88</v>
      </c>
      <c r="AC181" s="1705" t="s">
        <v>2980</v>
      </c>
      <c r="AD181" s="3284"/>
      <c r="AE181" s="3284"/>
      <c r="AF181" s="3284"/>
      <c r="AG181" s="3284"/>
      <c r="AH181" s="3284"/>
      <c r="AI181" s="3284"/>
      <c r="AJ181" s="3284"/>
      <c r="AK181" s="3284"/>
      <c r="AL181" s="3284"/>
      <c r="AM181" s="3284"/>
      <c r="AN181" s="3284"/>
      <c r="AO181" s="3284"/>
      <c r="AP181" s="3284"/>
      <c r="AQ181" s="3284"/>
      <c r="AR181" s="3284"/>
      <c r="AS181" s="3284"/>
      <c r="AT181" s="3284"/>
      <c r="AU181" s="3284"/>
      <c r="AV181" s="3284"/>
      <c r="AW181" s="3284"/>
      <c r="AX181" s="3284"/>
      <c r="AY181" s="3284"/>
      <c r="AZ181" s="3284"/>
      <c r="BA181" s="3284"/>
      <c r="BB181" s="3284"/>
      <c r="BC181" s="3284"/>
      <c r="BD181" s="3284"/>
      <c r="BE181" s="3284"/>
      <c r="BF181" s="3284"/>
      <c r="BG181" s="3284"/>
      <c r="BH181" s="3284"/>
      <c r="BI181" s="3284"/>
      <c r="BJ181" s="3289"/>
      <c r="BK181" s="3143"/>
      <c r="BL181" s="3143"/>
      <c r="BM181" s="3144"/>
      <c r="BN181" s="3289"/>
      <c r="BO181" s="2946"/>
      <c r="BP181" s="2946"/>
      <c r="BQ181" s="3289"/>
      <c r="BR181" s="3289"/>
      <c r="BS181" s="3289"/>
      <c r="BT181" s="3289"/>
      <c r="BU181" s="3289"/>
    </row>
    <row r="182" spans="1:73" s="2052" customFormat="1" ht="45" customHeight="1" x14ac:dyDescent="0.25">
      <c r="A182" s="325"/>
      <c r="B182" s="2921"/>
      <c r="C182" s="2007"/>
      <c r="D182" s="2008"/>
      <c r="E182" s="3030"/>
      <c r="F182" s="3030"/>
      <c r="G182" s="3033"/>
      <c r="H182" s="3034"/>
      <c r="I182" s="3033"/>
      <c r="J182" s="3034"/>
      <c r="K182" s="3007"/>
      <c r="L182" s="3036"/>
      <c r="M182" s="3007"/>
      <c r="N182" s="3036"/>
      <c r="O182" s="3007"/>
      <c r="P182" s="3007"/>
      <c r="Q182" s="3007"/>
      <c r="R182" s="3036"/>
      <c r="S182" s="3277"/>
      <c r="T182" s="3081"/>
      <c r="U182" s="3034"/>
      <c r="V182" s="3036"/>
      <c r="W182" s="3071" t="s">
        <v>3222</v>
      </c>
      <c r="X182" s="1653">
        <v>5000000</v>
      </c>
      <c r="Y182" s="1653">
        <v>4500000</v>
      </c>
      <c r="Z182" s="1653">
        <v>3000000</v>
      </c>
      <c r="AA182" s="1708" t="s">
        <v>3220</v>
      </c>
      <c r="AB182" s="2085">
        <v>20</v>
      </c>
      <c r="AC182" s="1705" t="s">
        <v>734</v>
      </c>
      <c r="AD182" s="3284"/>
      <c r="AE182" s="3284"/>
      <c r="AF182" s="3284"/>
      <c r="AG182" s="3284"/>
      <c r="AH182" s="3284"/>
      <c r="AI182" s="3284"/>
      <c r="AJ182" s="3284"/>
      <c r="AK182" s="3284"/>
      <c r="AL182" s="3284"/>
      <c r="AM182" s="3284"/>
      <c r="AN182" s="3284"/>
      <c r="AO182" s="3284"/>
      <c r="AP182" s="3284"/>
      <c r="AQ182" s="3284"/>
      <c r="AR182" s="3284"/>
      <c r="AS182" s="3284"/>
      <c r="AT182" s="3284"/>
      <c r="AU182" s="3284"/>
      <c r="AV182" s="3284"/>
      <c r="AW182" s="3284"/>
      <c r="AX182" s="3284"/>
      <c r="AY182" s="3284"/>
      <c r="AZ182" s="3284"/>
      <c r="BA182" s="3284"/>
      <c r="BB182" s="3284"/>
      <c r="BC182" s="3284"/>
      <c r="BD182" s="3284"/>
      <c r="BE182" s="3284"/>
      <c r="BF182" s="3284"/>
      <c r="BG182" s="3284"/>
      <c r="BH182" s="3284"/>
      <c r="BI182" s="3284"/>
      <c r="BJ182" s="3289"/>
      <c r="BK182" s="3143"/>
      <c r="BL182" s="3143"/>
      <c r="BM182" s="3144"/>
      <c r="BN182" s="3289"/>
      <c r="BO182" s="2946"/>
      <c r="BP182" s="2946"/>
      <c r="BQ182" s="3289"/>
      <c r="BR182" s="3289"/>
      <c r="BS182" s="3289"/>
      <c r="BT182" s="3289"/>
      <c r="BU182" s="3289"/>
    </row>
    <row r="183" spans="1:73" s="2052" customFormat="1" ht="45" customHeight="1" x14ac:dyDescent="0.25">
      <c r="A183" s="325"/>
      <c r="B183" s="2921"/>
      <c r="C183" s="2007"/>
      <c r="D183" s="2008"/>
      <c r="E183" s="3030"/>
      <c r="F183" s="3030"/>
      <c r="G183" s="3033"/>
      <c r="H183" s="3034"/>
      <c r="I183" s="3033"/>
      <c r="J183" s="3034"/>
      <c r="K183" s="3007"/>
      <c r="L183" s="3036"/>
      <c r="M183" s="3007"/>
      <c r="N183" s="3036"/>
      <c r="O183" s="3007"/>
      <c r="P183" s="3007"/>
      <c r="Q183" s="3007"/>
      <c r="R183" s="3036"/>
      <c r="S183" s="3277"/>
      <c r="T183" s="3081"/>
      <c r="U183" s="3034"/>
      <c r="V183" s="3036"/>
      <c r="W183" s="3179"/>
      <c r="X183" s="1653">
        <v>5000000</v>
      </c>
      <c r="Y183" s="1653">
        <v>0</v>
      </c>
      <c r="Z183" s="1653">
        <v>0</v>
      </c>
      <c r="AA183" s="1708" t="s">
        <v>3221</v>
      </c>
      <c r="AB183" s="2129">
        <v>88</v>
      </c>
      <c r="AC183" s="1705" t="s">
        <v>2980</v>
      </c>
      <c r="AD183" s="3284"/>
      <c r="AE183" s="3284"/>
      <c r="AF183" s="3284"/>
      <c r="AG183" s="3284"/>
      <c r="AH183" s="3284"/>
      <c r="AI183" s="3284"/>
      <c r="AJ183" s="3284"/>
      <c r="AK183" s="3284"/>
      <c r="AL183" s="3284"/>
      <c r="AM183" s="3284"/>
      <c r="AN183" s="3284"/>
      <c r="AO183" s="3284"/>
      <c r="AP183" s="3284"/>
      <c r="AQ183" s="3284"/>
      <c r="AR183" s="3284"/>
      <c r="AS183" s="3284"/>
      <c r="AT183" s="3284"/>
      <c r="AU183" s="3284"/>
      <c r="AV183" s="3284"/>
      <c r="AW183" s="3284"/>
      <c r="AX183" s="3284"/>
      <c r="AY183" s="3284"/>
      <c r="AZ183" s="3284"/>
      <c r="BA183" s="3284"/>
      <c r="BB183" s="3284"/>
      <c r="BC183" s="3284"/>
      <c r="BD183" s="3284"/>
      <c r="BE183" s="3284"/>
      <c r="BF183" s="3284"/>
      <c r="BG183" s="3284"/>
      <c r="BH183" s="3284"/>
      <c r="BI183" s="3284"/>
      <c r="BJ183" s="3289"/>
      <c r="BK183" s="3143"/>
      <c r="BL183" s="3143"/>
      <c r="BM183" s="3144"/>
      <c r="BN183" s="3289"/>
      <c r="BO183" s="2946"/>
      <c r="BP183" s="2946"/>
      <c r="BQ183" s="3289"/>
      <c r="BR183" s="3289"/>
      <c r="BS183" s="3289"/>
      <c r="BT183" s="3289"/>
      <c r="BU183" s="3289"/>
    </row>
    <row r="184" spans="1:73" s="2052" customFormat="1" ht="53.1" customHeight="1" x14ac:dyDescent="0.25">
      <c r="A184" s="325"/>
      <c r="B184" s="2921"/>
      <c r="C184" s="2007"/>
      <c r="D184" s="2008"/>
      <c r="E184" s="3030"/>
      <c r="F184" s="3030"/>
      <c r="G184" s="3033"/>
      <c r="H184" s="3034"/>
      <c r="I184" s="3033"/>
      <c r="J184" s="3034"/>
      <c r="K184" s="3007"/>
      <c r="L184" s="3036"/>
      <c r="M184" s="3007"/>
      <c r="N184" s="3036"/>
      <c r="O184" s="3007"/>
      <c r="P184" s="3007"/>
      <c r="Q184" s="3007"/>
      <c r="R184" s="3036"/>
      <c r="S184" s="3277"/>
      <c r="T184" s="3081"/>
      <c r="U184" s="3034"/>
      <c r="V184" s="3036"/>
      <c r="W184" s="3071" t="s">
        <v>3223</v>
      </c>
      <c r="X184" s="1653">
        <v>9000000</v>
      </c>
      <c r="Y184" s="1653">
        <v>5000000</v>
      </c>
      <c r="Z184" s="1653">
        <v>3185000</v>
      </c>
      <c r="AA184" s="1708" t="s">
        <v>3220</v>
      </c>
      <c r="AB184" s="2085">
        <v>20</v>
      </c>
      <c r="AC184" s="1705" t="s">
        <v>734</v>
      </c>
      <c r="AD184" s="3284"/>
      <c r="AE184" s="3284"/>
      <c r="AF184" s="3284"/>
      <c r="AG184" s="3284"/>
      <c r="AH184" s="3284"/>
      <c r="AI184" s="3284"/>
      <c r="AJ184" s="3284"/>
      <c r="AK184" s="3284"/>
      <c r="AL184" s="3284"/>
      <c r="AM184" s="3284"/>
      <c r="AN184" s="3284"/>
      <c r="AO184" s="3284"/>
      <c r="AP184" s="3284"/>
      <c r="AQ184" s="3284"/>
      <c r="AR184" s="3284"/>
      <c r="AS184" s="3284"/>
      <c r="AT184" s="3284"/>
      <c r="AU184" s="3284"/>
      <c r="AV184" s="3284"/>
      <c r="AW184" s="3284"/>
      <c r="AX184" s="3284"/>
      <c r="AY184" s="3284"/>
      <c r="AZ184" s="3284"/>
      <c r="BA184" s="3284"/>
      <c r="BB184" s="3284"/>
      <c r="BC184" s="3284"/>
      <c r="BD184" s="3284"/>
      <c r="BE184" s="3284"/>
      <c r="BF184" s="3284"/>
      <c r="BG184" s="3284"/>
      <c r="BH184" s="3284"/>
      <c r="BI184" s="3284"/>
      <c r="BJ184" s="3289"/>
      <c r="BK184" s="3143"/>
      <c r="BL184" s="3143"/>
      <c r="BM184" s="3144"/>
      <c r="BN184" s="3289"/>
      <c r="BO184" s="2946"/>
      <c r="BP184" s="2946"/>
      <c r="BQ184" s="3289"/>
      <c r="BR184" s="3289"/>
      <c r="BS184" s="3289"/>
      <c r="BT184" s="3289"/>
      <c r="BU184" s="3289"/>
    </row>
    <row r="185" spans="1:73" s="2052" customFormat="1" ht="53.1" customHeight="1" x14ac:dyDescent="0.25">
      <c r="A185" s="325"/>
      <c r="B185" s="2921"/>
      <c r="C185" s="2007"/>
      <c r="D185" s="2008"/>
      <c r="E185" s="3030"/>
      <c r="F185" s="3030"/>
      <c r="G185" s="3033"/>
      <c r="H185" s="3034"/>
      <c r="I185" s="3033"/>
      <c r="J185" s="3034"/>
      <c r="K185" s="3007"/>
      <c r="L185" s="3036"/>
      <c r="M185" s="3007"/>
      <c r="N185" s="3036"/>
      <c r="O185" s="3007"/>
      <c r="P185" s="3007"/>
      <c r="Q185" s="3007"/>
      <c r="R185" s="3036"/>
      <c r="S185" s="3277"/>
      <c r="T185" s="3081"/>
      <c r="U185" s="3034"/>
      <c r="V185" s="3036"/>
      <c r="W185" s="3179"/>
      <c r="X185" s="1653">
        <v>5000000</v>
      </c>
      <c r="Y185" s="1653">
        <v>0</v>
      </c>
      <c r="Z185" s="1653">
        <v>0</v>
      </c>
      <c r="AA185" s="1708" t="s">
        <v>3221</v>
      </c>
      <c r="AB185" s="2129">
        <v>88</v>
      </c>
      <c r="AC185" s="1705" t="s">
        <v>2980</v>
      </c>
      <c r="AD185" s="3284"/>
      <c r="AE185" s="3284"/>
      <c r="AF185" s="3284"/>
      <c r="AG185" s="3284"/>
      <c r="AH185" s="3284"/>
      <c r="AI185" s="3284"/>
      <c r="AJ185" s="3284"/>
      <c r="AK185" s="3284"/>
      <c r="AL185" s="3284"/>
      <c r="AM185" s="3284"/>
      <c r="AN185" s="3284"/>
      <c r="AO185" s="3284"/>
      <c r="AP185" s="3284"/>
      <c r="AQ185" s="3284"/>
      <c r="AR185" s="3284"/>
      <c r="AS185" s="3284"/>
      <c r="AT185" s="3284"/>
      <c r="AU185" s="3284"/>
      <c r="AV185" s="3284"/>
      <c r="AW185" s="3284"/>
      <c r="AX185" s="3284"/>
      <c r="AY185" s="3284"/>
      <c r="AZ185" s="3284"/>
      <c r="BA185" s="3284"/>
      <c r="BB185" s="3284"/>
      <c r="BC185" s="3284"/>
      <c r="BD185" s="3284"/>
      <c r="BE185" s="3284"/>
      <c r="BF185" s="3284"/>
      <c r="BG185" s="3284"/>
      <c r="BH185" s="3284"/>
      <c r="BI185" s="3284"/>
      <c r="BJ185" s="3289"/>
      <c r="BK185" s="3143"/>
      <c r="BL185" s="3143"/>
      <c r="BM185" s="3144"/>
      <c r="BN185" s="3289"/>
      <c r="BO185" s="2946"/>
      <c r="BP185" s="2946"/>
      <c r="BQ185" s="3289"/>
      <c r="BR185" s="3289"/>
      <c r="BS185" s="3289"/>
      <c r="BT185" s="3289"/>
      <c r="BU185" s="3289"/>
    </row>
    <row r="186" spans="1:73" s="2052" customFormat="1" ht="58.5" customHeight="1" x14ac:dyDescent="0.25">
      <c r="A186" s="325"/>
      <c r="B186" s="2921"/>
      <c r="C186" s="2007"/>
      <c r="D186" s="2008"/>
      <c r="E186" s="3030"/>
      <c r="F186" s="3030"/>
      <c r="G186" s="3033"/>
      <c r="H186" s="3034"/>
      <c r="I186" s="3033"/>
      <c r="J186" s="3034"/>
      <c r="K186" s="3007"/>
      <c r="L186" s="3036"/>
      <c r="M186" s="3007"/>
      <c r="N186" s="3036"/>
      <c r="O186" s="3007"/>
      <c r="P186" s="3007"/>
      <c r="Q186" s="3007"/>
      <c r="R186" s="3036"/>
      <c r="S186" s="3277"/>
      <c r="T186" s="3081"/>
      <c r="U186" s="3034"/>
      <c r="V186" s="3036"/>
      <c r="W186" s="3071" t="s">
        <v>3224</v>
      </c>
      <c r="X186" s="1653">
        <v>8000000</v>
      </c>
      <c r="Y186" s="1653">
        <v>7000000</v>
      </c>
      <c r="Z186" s="1653">
        <v>1650000</v>
      </c>
      <c r="AA186" s="1708" t="s">
        <v>3220</v>
      </c>
      <c r="AB186" s="2130">
        <v>20</v>
      </c>
      <c r="AC186" s="1705" t="s">
        <v>734</v>
      </c>
      <c r="AD186" s="3284"/>
      <c r="AE186" s="3284"/>
      <c r="AF186" s="3284"/>
      <c r="AG186" s="3284"/>
      <c r="AH186" s="3284"/>
      <c r="AI186" s="3284"/>
      <c r="AJ186" s="3284"/>
      <c r="AK186" s="3284"/>
      <c r="AL186" s="3284"/>
      <c r="AM186" s="3284"/>
      <c r="AN186" s="3284"/>
      <c r="AO186" s="3284"/>
      <c r="AP186" s="3284"/>
      <c r="AQ186" s="3284"/>
      <c r="AR186" s="3284"/>
      <c r="AS186" s="3284"/>
      <c r="AT186" s="3284"/>
      <c r="AU186" s="3284"/>
      <c r="AV186" s="3284"/>
      <c r="AW186" s="3284"/>
      <c r="AX186" s="3284"/>
      <c r="AY186" s="3284"/>
      <c r="AZ186" s="3284"/>
      <c r="BA186" s="3284"/>
      <c r="BB186" s="3284"/>
      <c r="BC186" s="3284"/>
      <c r="BD186" s="3284"/>
      <c r="BE186" s="3284"/>
      <c r="BF186" s="3284"/>
      <c r="BG186" s="3284"/>
      <c r="BH186" s="3284"/>
      <c r="BI186" s="3284"/>
      <c r="BJ186" s="3289"/>
      <c r="BK186" s="3143"/>
      <c r="BL186" s="3143"/>
      <c r="BM186" s="3144"/>
      <c r="BN186" s="3289"/>
      <c r="BO186" s="2946"/>
      <c r="BP186" s="2946"/>
      <c r="BQ186" s="3289"/>
      <c r="BR186" s="3289"/>
      <c r="BS186" s="3289"/>
      <c r="BT186" s="3289"/>
      <c r="BU186" s="3289"/>
    </row>
    <row r="187" spans="1:73" s="2052" customFormat="1" ht="58.5" customHeight="1" x14ac:dyDescent="0.25">
      <c r="A187" s="325"/>
      <c r="B187" s="2921"/>
      <c r="C187" s="2007"/>
      <c r="D187" s="2008"/>
      <c r="E187" s="3030"/>
      <c r="F187" s="3030"/>
      <c r="G187" s="3033"/>
      <c r="H187" s="3034"/>
      <c r="I187" s="3033"/>
      <c r="J187" s="3034"/>
      <c r="K187" s="3007"/>
      <c r="L187" s="3036"/>
      <c r="M187" s="3007"/>
      <c r="N187" s="3036"/>
      <c r="O187" s="3007"/>
      <c r="P187" s="3007"/>
      <c r="Q187" s="3007"/>
      <c r="R187" s="3036"/>
      <c r="S187" s="3277"/>
      <c r="T187" s="3081"/>
      <c r="U187" s="3034"/>
      <c r="V187" s="3036"/>
      <c r="W187" s="3179"/>
      <c r="X187" s="1653">
        <v>5000000</v>
      </c>
      <c r="Y187" s="1653">
        <v>0</v>
      </c>
      <c r="Z187" s="1653">
        <v>0</v>
      </c>
      <c r="AA187" s="1708" t="s">
        <v>3221</v>
      </c>
      <c r="AB187" s="2129">
        <v>88</v>
      </c>
      <c r="AC187" s="1705" t="s">
        <v>2980</v>
      </c>
      <c r="AD187" s="3284"/>
      <c r="AE187" s="3284"/>
      <c r="AF187" s="3284"/>
      <c r="AG187" s="3284"/>
      <c r="AH187" s="3284"/>
      <c r="AI187" s="3284"/>
      <c r="AJ187" s="3284"/>
      <c r="AK187" s="3284"/>
      <c r="AL187" s="3284"/>
      <c r="AM187" s="3284"/>
      <c r="AN187" s="3284"/>
      <c r="AO187" s="3284"/>
      <c r="AP187" s="3284"/>
      <c r="AQ187" s="3284"/>
      <c r="AR187" s="3284"/>
      <c r="AS187" s="3284"/>
      <c r="AT187" s="3284"/>
      <c r="AU187" s="3284"/>
      <c r="AV187" s="3284"/>
      <c r="AW187" s="3284"/>
      <c r="AX187" s="3284"/>
      <c r="AY187" s="3284"/>
      <c r="AZ187" s="3284"/>
      <c r="BA187" s="3284"/>
      <c r="BB187" s="3284"/>
      <c r="BC187" s="3284"/>
      <c r="BD187" s="3284"/>
      <c r="BE187" s="3284"/>
      <c r="BF187" s="3284"/>
      <c r="BG187" s="3284"/>
      <c r="BH187" s="3284"/>
      <c r="BI187" s="3284"/>
      <c r="BJ187" s="3289"/>
      <c r="BK187" s="3143"/>
      <c r="BL187" s="3143"/>
      <c r="BM187" s="3144"/>
      <c r="BN187" s="3289"/>
      <c r="BO187" s="2946"/>
      <c r="BP187" s="2946"/>
      <c r="BQ187" s="3289"/>
      <c r="BR187" s="3289"/>
      <c r="BS187" s="3289"/>
      <c r="BT187" s="3289"/>
      <c r="BU187" s="3289"/>
    </row>
    <row r="188" spans="1:73" s="2052" customFormat="1" ht="61.5" customHeight="1" x14ac:dyDescent="0.25">
      <c r="A188" s="325"/>
      <c r="B188" s="2921"/>
      <c r="C188" s="2007"/>
      <c r="D188" s="2008"/>
      <c r="E188" s="3030"/>
      <c r="F188" s="3030"/>
      <c r="G188" s="3033"/>
      <c r="H188" s="3034"/>
      <c r="I188" s="3033"/>
      <c r="J188" s="3034"/>
      <c r="K188" s="3007"/>
      <c r="L188" s="3036"/>
      <c r="M188" s="3007"/>
      <c r="N188" s="3036"/>
      <c r="O188" s="3007"/>
      <c r="P188" s="3007"/>
      <c r="Q188" s="3007"/>
      <c r="R188" s="3036"/>
      <c r="S188" s="3277"/>
      <c r="T188" s="3081"/>
      <c r="U188" s="3034"/>
      <c r="V188" s="3036"/>
      <c r="W188" s="3071" t="s">
        <v>3225</v>
      </c>
      <c r="X188" s="1653">
        <v>9000000</v>
      </c>
      <c r="Y188" s="1653">
        <v>5790000</v>
      </c>
      <c r="Z188" s="1653">
        <v>4215761</v>
      </c>
      <c r="AA188" s="1708" t="s">
        <v>3220</v>
      </c>
      <c r="AB188" s="2073">
        <v>20</v>
      </c>
      <c r="AC188" s="1705" t="s">
        <v>734</v>
      </c>
      <c r="AD188" s="3284"/>
      <c r="AE188" s="3284"/>
      <c r="AF188" s="3284"/>
      <c r="AG188" s="3284"/>
      <c r="AH188" s="3284"/>
      <c r="AI188" s="3284"/>
      <c r="AJ188" s="3284"/>
      <c r="AK188" s="3284"/>
      <c r="AL188" s="3284"/>
      <c r="AM188" s="3284"/>
      <c r="AN188" s="3284"/>
      <c r="AO188" s="3284"/>
      <c r="AP188" s="3284"/>
      <c r="AQ188" s="3284"/>
      <c r="AR188" s="3284"/>
      <c r="AS188" s="3284"/>
      <c r="AT188" s="3284"/>
      <c r="AU188" s="3284"/>
      <c r="AV188" s="3284"/>
      <c r="AW188" s="3284"/>
      <c r="AX188" s="3284"/>
      <c r="AY188" s="3284"/>
      <c r="AZ188" s="3284"/>
      <c r="BA188" s="3284"/>
      <c r="BB188" s="3284"/>
      <c r="BC188" s="3284"/>
      <c r="BD188" s="3284"/>
      <c r="BE188" s="3284"/>
      <c r="BF188" s="3284"/>
      <c r="BG188" s="3284"/>
      <c r="BH188" s="3284"/>
      <c r="BI188" s="3284"/>
      <c r="BJ188" s="3289"/>
      <c r="BK188" s="3143"/>
      <c r="BL188" s="3143"/>
      <c r="BM188" s="3144"/>
      <c r="BN188" s="3289"/>
      <c r="BO188" s="2946"/>
      <c r="BP188" s="2946"/>
      <c r="BQ188" s="3289"/>
      <c r="BR188" s="3289"/>
      <c r="BS188" s="3289"/>
      <c r="BT188" s="3289"/>
      <c r="BU188" s="3289"/>
    </row>
    <row r="189" spans="1:73" s="2052" customFormat="1" ht="61.5" customHeight="1" x14ac:dyDescent="0.25">
      <c r="A189" s="325"/>
      <c r="B189" s="2921"/>
      <c r="C189" s="2007"/>
      <c r="D189" s="2008"/>
      <c r="E189" s="3030"/>
      <c r="F189" s="3030"/>
      <c r="G189" s="3033"/>
      <c r="H189" s="3034"/>
      <c r="I189" s="3033"/>
      <c r="J189" s="3034"/>
      <c r="K189" s="3007"/>
      <c r="L189" s="3036"/>
      <c r="M189" s="3007"/>
      <c r="N189" s="3036"/>
      <c r="O189" s="3007"/>
      <c r="P189" s="3007"/>
      <c r="Q189" s="3007"/>
      <c r="R189" s="3036"/>
      <c r="S189" s="3277"/>
      <c r="T189" s="3081"/>
      <c r="U189" s="3034"/>
      <c r="V189" s="3036"/>
      <c r="W189" s="3179"/>
      <c r="X189" s="1653">
        <v>10000000</v>
      </c>
      <c r="Y189" s="1653">
        <v>0</v>
      </c>
      <c r="Z189" s="1653">
        <v>0</v>
      </c>
      <c r="AA189" s="1708" t="s">
        <v>3221</v>
      </c>
      <c r="AB189" s="2129">
        <v>88</v>
      </c>
      <c r="AC189" s="1705" t="s">
        <v>2980</v>
      </c>
      <c r="AD189" s="3284"/>
      <c r="AE189" s="3284"/>
      <c r="AF189" s="3284"/>
      <c r="AG189" s="3284"/>
      <c r="AH189" s="3284"/>
      <c r="AI189" s="3284"/>
      <c r="AJ189" s="3284"/>
      <c r="AK189" s="3284"/>
      <c r="AL189" s="3284"/>
      <c r="AM189" s="3284"/>
      <c r="AN189" s="3284"/>
      <c r="AO189" s="3284"/>
      <c r="AP189" s="3284"/>
      <c r="AQ189" s="3284"/>
      <c r="AR189" s="3284"/>
      <c r="AS189" s="3284"/>
      <c r="AT189" s="3284"/>
      <c r="AU189" s="3284"/>
      <c r="AV189" s="3284"/>
      <c r="AW189" s="3284"/>
      <c r="AX189" s="3284"/>
      <c r="AY189" s="3284"/>
      <c r="AZ189" s="3284"/>
      <c r="BA189" s="3284"/>
      <c r="BB189" s="3284"/>
      <c r="BC189" s="3284"/>
      <c r="BD189" s="3284"/>
      <c r="BE189" s="3284"/>
      <c r="BF189" s="3284"/>
      <c r="BG189" s="3284"/>
      <c r="BH189" s="3284"/>
      <c r="BI189" s="3284"/>
      <c r="BJ189" s="3289"/>
      <c r="BK189" s="3143"/>
      <c r="BL189" s="3143"/>
      <c r="BM189" s="3144"/>
      <c r="BN189" s="3289"/>
      <c r="BO189" s="2946"/>
      <c r="BP189" s="2946"/>
      <c r="BQ189" s="3289"/>
      <c r="BR189" s="3289"/>
      <c r="BS189" s="3289"/>
      <c r="BT189" s="3289"/>
      <c r="BU189" s="3289"/>
    </row>
    <row r="190" spans="1:73" s="2052" customFormat="1" ht="35.25" customHeight="1" x14ac:dyDescent="0.25">
      <c r="A190" s="325"/>
      <c r="B190" s="2921"/>
      <c r="C190" s="2007"/>
      <c r="D190" s="2008"/>
      <c r="E190" s="3030"/>
      <c r="F190" s="3030"/>
      <c r="G190" s="3033"/>
      <c r="H190" s="3034"/>
      <c r="I190" s="3033"/>
      <c r="J190" s="3034"/>
      <c r="K190" s="3007"/>
      <c r="L190" s="3036"/>
      <c r="M190" s="3007"/>
      <c r="N190" s="3036"/>
      <c r="O190" s="3007"/>
      <c r="P190" s="3007"/>
      <c r="Q190" s="3007"/>
      <c r="R190" s="3036"/>
      <c r="S190" s="3277"/>
      <c r="T190" s="3081"/>
      <c r="U190" s="3034"/>
      <c r="V190" s="3036"/>
      <c r="W190" s="3071" t="s">
        <v>3226</v>
      </c>
      <c r="X190" s="1653">
        <v>1000000</v>
      </c>
      <c r="Y190" s="1653">
        <v>0</v>
      </c>
      <c r="Z190" s="1653">
        <v>0</v>
      </c>
      <c r="AA190" s="1708" t="s">
        <v>3218</v>
      </c>
      <c r="AB190" s="3287">
        <v>20</v>
      </c>
      <c r="AC190" s="2475" t="s">
        <v>734</v>
      </c>
      <c r="AD190" s="3284"/>
      <c r="AE190" s="3284"/>
      <c r="AF190" s="3284"/>
      <c r="AG190" s="3284"/>
      <c r="AH190" s="3284"/>
      <c r="AI190" s="3284"/>
      <c r="AJ190" s="3284"/>
      <c r="AK190" s="3284"/>
      <c r="AL190" s="3284"/>
      <c r="AM190" s="3284"/>
      <c r="AN190" s="3284"/>
      <c r="AO190" s="3284"/>
      <c r="AP190" s="3284"/>
      <c r="AQ190" s="3284"/>
      <c r="AR190" s="3284"/>
      <c r="AS190" s="3284"/>
      <c r="AT190" s="3284"/>
      <c r="AU190" s="3284"/>
      <c r="AV190" s="3284"/>
      <c r="AW190" s="3284"/>
      <c r="AX190" s="3284"/>
      <c r="AY190" s="3284"/>
      <c r="AZ190" s="3284"/>
      <c r="BA190" s="3284"/>
      <c r="BB190" s="3284"/>
      <c r="BC190" s="3284"/>
      <c r="BD190" s="3284"/>
      <c r="BE190" s="3284"/>
      <c r="BF190" s="3284"/>
      <c r="BG190" s="3284"/>
      <c r="BH190" s="3284"/>
      <c r="BI190" s="3284"/>
      <c r="BJ190" s="3289"/>
      <c r="BK190" s="3143"/>
      <c r="BL190" s="3143"/>
      <c r="BM190" s="3144"/>
      <c r="BN190" s="3289"/>
      <c r="BO190" s="2946"/>
      <c r="BP190" s="2946"/>
      <c r="BQ190" s="3289"/>
      <c r="BR190" s="3289"/>
      <c r="BS190" s="3289"/>
      <c r="BT190" s="3289"/>
      <c r="BU190" s="3289"/>
    </row>
    <row r="191" spans="1:73" s="2052" customFormat="1" ht="35.25" customHeight="1" x14ac:dyDescent="0.25">
      <c r="A191" s="325"/>
      <c r="B191" s="2921"/>
      <c r="C191" s="2007"/>
      <c r="D191" s="2008"/>
      <c r="E191" s="3030"/>
      <c r="F191" s="3030"/>
      <c r="G191" s="3033"/>
      <c r="H191" s="3034"/>
      <c r="I191" s="3033"/>
      <c r="J191" s="3034"/>
      <c r="K191" s="3007"/>
      <c r="L191" s="3036"/>
      <c r="M191" s="3007"/>
      <c r="N191" s="3036"/>
      <c r="O191" s="3007"/>
      <c r="P191" s="3007"/>
      <c r="Q191" s="3007"/>
      <c r="R191" s="3036"/>
      <c r="S191" s="3277"/>
      <c r="T191" s="3286"/>
      <c r="U191" s="3034"/>
      <c r="V191" s="3036"/>
      <c r="W191" s="2580"/>
      <c r="X191" s="1653">
        <v>1000000</v>
      </c>
      <c r="Y191" s="1653">
        <v>0</v>
      </c>
      <c r="Z191" s="1653">
        <v>0</v>
      </c>
      <c r="AA191" s="1708" t="s">
        <v>3216</v>
      </c>
      <c r="AB191" s="3287"/>
      <c r="AC191" s="2475"/>
      <c r="AD191" s="3284"/>
      <c r="AE191" s="3284"/>
      <c r="AF191" s="3284"/>
      <c r="AG191" s="3284"/>
      <c r="AH191" s="3284"/>
      <c r="AI191" s="3284"/>
      <c r="AJ191" s="3284"/>
      <c r="AK191" s="3284"/>
      <c r="AL191" s="3284"/>
      <c r="AM191" s="3284"/>
      <c r="AN191" s="3284"/>
      <c r="AO191" s="3284"/>
      <c r="AP191" s="3284"/>
      <c r="AQ191" s="3284"/>
      <c r="AR191" s="3284"/>
      <c r="AS191" s="3284"/>
      <c r="AT191" s="3284"/>
      <c r="AU191" s="3284"/>
      <c r="AV191" s="3284"/>
      <c r="AW191" s="3284"/>
      <c r="AX191" s="3284"/>
      <c r="AY191" s="3284"/>
      <c r="AZ191" s="3284"/>
      <c r="BA191" s="3284"/>
      <c r="BB191" s="3284"/>
      <c r="BC191" s="3284"/>
      <c r="BD191" s="3284"/>
      <c r="BE191" s="3284"/>
      <c r="BF191" s="3284"/>
      <c r="BG191" s="3284"/>
      <c r="BH191" s="3284"/>
      <c r="BI191" s="3284"/>
      <c r="BJ191" s="3289"/>
      <c r="BK191" s="3143"/>
      <c r="BL191" s="3143"/>
      <c r="BM191" s="3144"/>
      <c r="BN191" s="3289"/>
      <c r="BO191" s="2946"/>
      <c r="BP191" s="2946"/>
      <c r="BQ191" s="3289"/>
      <c r="BR191" s="3289"/>
      <c r="BS191" s="3289"/>
      <c r="BT191" s="3289"/>
      <c r="BU191" s="3289"/>
    </row>
    <row r="192" spans="1:73" s="2052" customFormat="1" ht="48.95" customHeight="1" x14ac:dyDescent="0.25">
      <c r="A192" s="325"/>
      <c r="B192" s="2921"/>
      <c r="C192" s="2007"/>
      <c r="D192" s="2008"/>
      <c r="E192" s="3030"/>
      <c r="F192" s="3030"/>
      <c r="G192" s="3033"/>
      <c r="H192" s="3073"/>
      <c r="I192" s="3033"/>
      <c r="J192" s="3073"/>
      <c r="K192" s="3008"/>
      <c r="L192" s="2479"/>
      <c r="M192" s="3008"/>
      <c r="N192" s="2479"/>
      <c r="O192" s="3008"/>
      <c r="P192" s="3008"/>
      <c r="Q192" s="3008"/>
      <c r="R192" s="2479"/>
      <c r="S192" s="3277"/>
      <c r="T192" s="3286"/>
      <c r="U192" s="3034"/>
      <c r="V192" s="3036"/>
      <c r="W192" s="3179"/>
      <c r="X192" s="1653">
        <v>1000000</v>
      </c>
      <c r="Y192" s="1653">
        <v>0</v>
      </c>
      <c r="Z192" s="1653">
        <v>0</v>
      </c>
      <c r="AA192" s="1708" t="s">
        <v>3220</v>
      </c>
      <c r="AB192" s="3287"/>
      <c r="AC192" s="2475"/>
      <c r="AD192" s="3285"/>
      <c r="AE192" s="3285"/>
      <c r="AF192" s="3285"/>
      <c r="AG192" s="3285"/>
      <c r="AH192" s="3285"/>
      <c r="AI192" s="3285"/>
      <c r="AJ192" s="3285"/>
      <c r="AK192" s="3285"/>
      <c r="AL192" s="3285"/>
      <c r="AM192" s="3285"/>
      <c r="AN192" s="3285"/>
      <c r="AO192" s="3285"/>
      <c r="AP192" s="3285"/>
      <c r="AQ192" s="3285"/>
      <c r="AR192" s="3285"/>
      <c r="AS192" s="3285"/>
      <c r="AT192" s="3285"/>
      <c r="AU192" s="3285"/>
      <c r="AV192" s="3285"/>
      <c r="AW192" s="3285"/>
      <c r="AX192" s="3285"/>
      <c r="AY192" s="3285"/>
      <c r="AZ192" s="3285"/>
      <c r="BA192" s="3285"/>
      <c r="BB192" s="3285"/>
      <c r="BC192" s="3285"/>
      <c r="BD192" s="3285"/>
      <c r="BE192" s="3285"/>
      <c r="BF192" s="3285"/>
      <c r="BG192" s="3285"/>
      <c r="BH192" s="3285"/>
      <c r="BI192" s="3285"/>
      <c r="BJ192" s="3289"/>
      <c r="BK192" s="3143"/>
      <c r="BL192" s="3143"/>
      <c r="BM192" s="3144"/>
      <c r="BN192" s="3289"/>
      <c r="BO192" s="2946"/>
      <c r="BP192" s="2946"/>
      <c r="BQ192" s="3289"/>
      <c r="BR192" s="3289"/>
      <c r="BS192" s="3289"/>
      <c r="BT192" s="3289"/>
      <c r="BU192" s="3289"/>
    </row>
    <row r="193" spans="1:73" ht="75" customHeight="1" x14ac:dyDescent="0.25">
      <c r="A193" s="2053"/>
      <c r="B193" s="2921"/>
      <c r="C193" s="2007"/>
      <c r="D193" s="2008"/>
      <c r="E193" s="3030"/>
      <c r="F193" s="3030"/>
      <c r="G193" s="3248">
        <v>4502001</v>
      </c>
      <c r="H193" s="3249" t="s">
        <v>145</v>
      </c>
      <c r="I193" s="3248">
        <v>4502001</v>
      </c>
      <c r="J193" s="3249" t="s">
        <v>145</v>
      </c>
      <c r="K193" s="2955">
        <v>450200100</v>
      </c>
      <c r="L193" s="3223" t="s">
        <v>3227</v>
      </c>
      <c r="M193" s="2955">
        <v>450200100</v>
      </c>
      <c r="N193" s="3223" t="s">
        <v>147</v>
      </c>
      <c r="O193" s="3025">
        <v>3</v>
      </c>
      <c r="P193" s="3025">
        <v>3</v>
      </c>
      <c r="Q193" s="3025" t="s">
        <v>3228</v>
      </c>
      <c r="R193" s="3291" t="s">
        <v>3229</v>
      </c>
      <c r="S193" s="3305">
        <f>SUM(X193:X208)/T193</f>
        <v>0.45124593237818855</v>
      </c>
      <c r="T193" s="3306">
        <f>SUM(X193:X226)</f>
        <v>343493401</v>
      </c>
      <c r="U193" s="3275" t="s">
        <v>3230</v>
      </c>
      <c r="V193" s="3301" t="s">
        <v>3231</v>
      </c>
      <c r="W193" s="3296" t="s">
        <v>3232</v>
      </c>
      <c r="X193" s="2009">
        <v>38000000</v>
      </c>
      <c r="Y193" s="2009">
        <v>38000000</v>
      </c>
      <c r="Z193" s="2009">
        <v>38000000</v>
      </c>
      <c r="AA193" s="1708" t="s">
        <v>3233</v>
      </c>
      <c r="AB193" s="2131">
        <v>20</v>
      </c>
      <c r="AC193" s="1710" t="s">
        <v>734</v>
      </c>
      <c r="AD193" s="3095">
        <v>291786</v>
      </c>
      <c r="AE193" s="3095">
        <v>456</v>
      </c>
      <c r="AF193" s="3095">
        <v>270331</v>
      </c>
      <c r="AG193" s="3095">
        <v>492</v>
      </c>
      <c r="AH193" s="3095">
        <v>102045</v>
      </c>
      <c r="AI193" s="3095">
        <v>4</v>
      </c>
      <c r="AJ193" s="3095">
        <v>39183</v>
      </c>
      <c r="AK193" s="3095">
        <v>8</v>
      </c>
      <c r="AL193" s="3095">
        <v>310195</v>
      </c>
      <c r="AM193" s="3095">
        <v>560</v>
      </c>
      <c r="AN193" s="3095">
        <v>110694</v>
      </c>
      <c r="AO193" s="3095">
        <v>376</v>
      </c>
      <c r="AP193" s="3095">
        <v>2145</v>
      </c>
      <c r="AQ193" s="3095">
        <v>0</v>
      </c>
      <c r="AR193" s="3095">
        <v>12718</v>
      </c>
      <c r="AS193" s="3095">
        <v>0</v>
      </c>
      <c r="AT193" s="3095">
        <v>26</v>
      </c>
      <c r="AU193" s="3095">
        <v>0</v>
      </c>
      <c r="AV193" s="3095">
        <v>37</v>
      </c>
      <c r="AW193" s="3095">
        <v>0</v>
      </c>
      <c r="AX193" s="3095">
        <v>0</v>
      </c>
      <c r="AY193" s="3095">
        <v>0</v>
      </c>
      <c r="AZ193" s="3095">
        <v>0</v>
      </c>
      <c r="BA193" s="3095">
        <v>0</v>
      </c>
      <c r="BB193" s="3095">
        <v>44350</v>
      </c>
      <c r="BC193" s="3095">
        <v>2</v>
      </c>
      <c r="BD193" s="3095">
        <v>21944</v>
      </c>
      <c r="BE193" s="3095">
        <v>1</v>
      </c>
      <c r="BF193" s="3095">
        <v>75687</v>
      </c>
      <c r="BG193" s="3095">
        <v>1</v>
      </c>
      <c r="BH193" s="3313">
        <f>+AD193+AF193</f>
        <v>562117</v>
      </c>
      <c r="BI193" s="3313">
        <f>+AE193+AG193</f>
        <v>948</v>
      </c>
      <c r="BJ193" s="3316">
        <v>12</v>
      </c>
      <c r="BK193" s="3326">
        <f>SUM(Y193:Y226)</f>
        <v>137400000</v>
      </c>
      <c r="BL193" s="3326">
        <f>SUM(Z193:Z226)</f>
        <v>92360000</v>
      </c>
      <c r="BM193" s="3329">
        <f>+BL193/BK193</f>
        <v>0.67219796215429406</v>
      </c>
      <c r="BN193" s="3332">
        <v>20</v>
      </c>
      <c r="BO193" s="3320" t="s">
        <v>86</v>
      </c>
      <c r="BP193" s="2723" t="s">
        <v>2977</v>
      </c>
      <c r="BQ193" s="3323">
        <v>44198</v>
      </c>
      <c r="BR193" s="3323">
        <v>44228</v>
      </c>
      <c r="BS193" s="3323">
        <v>44560</v>
      </c>
      <c r="BT193" s="3323">
        <v>44487</v>
      </c>
      <c r="BU193" s="3316" t="s">
        <v>2978</v>
      </c>
    </row>
    <row r="194" spans="1:73" ht="75" customHeight="1" x14ac:dyDescent="0.25">
      <c r="A194" s="2053"/>
      <c r="B194" s="2921"/>
      <c r="C194" s="2007"/>
      <c r="D194" s="2008"/>
      <c r="E194" s="3030"/>
      <c r="F194" s="3030"/>
      <c r="G194" s="3248"/>
      <c r="H194" s="3250"/>
      <c r="I194" s="3248"/>
      <c r="J194" s="3250"/>
      <c r="K194" s="2956"/>
      <c r="L194" s="2912"/>
      <c r="M194" s="2956"/>
      <c r="N194" s="2912"/>
      <c r="O194" s="2943"/>
      <c r="P194" s="2943"/>
      <c r="Q194" s="2943"/>
      <c r="R194" s="3292"/>
      <c r="S194" s="3305"/>
      <c r="T194" s="3306"/>
      <c r="U194" s="3308"/>
      <c r="V194" s="3302"/>
      <c r="W194" s="3298"/>
      <c r="X194" s="2009">
        <v>15000000</v>
      </c>
      <c r="Y194" s="2009">
        <v>5790000</v>
      </c>
      <c r="Z194" s="2009">
        <v>0</v>
      </c>
      <c r="AA194" s="1708" t="s">
        <v>3234</v>
      </c>
      <c r="AB194" s="2131">
        <v>88</v>
      </c>
      <c r="AC194" s="1705" t="s">
        <v>2980</v>
      </c>
      <c r="AD194" s="3096"/>
      <c r="AE194" s="3096"/>
      <c r="AF194" s="3096"/>
      <c r="AG194" s="3096"/>
      <c r="AH194" s="3096"/>
      <c r="AI194" s="3096"/>
      <c r="AJ194" s="3096"/>
      <c r="AK194" s="3096"/>
      <c r="AL194" s="3096"/>
      <c r="AM194" s="3096"/>
      <c r="AN194" s="3096"/>
      <c r="AO194" s="3096"/>
      <c r="AP194" s="3096"/>
      <c r="AQ194" s="3096"/>
      <c r="AR194" s="3096"/>
      <c r="AS194" s="3096"/>
      <c r="AT194" s="3096"/>
      <c r="AU194" s="3096"/>
      <c r="AV194" s="3096"/>
      <c r="AW194" s="3096"/>
      <c r="AX194" s="3096"/>
      <c r="AY194" s="3096"/>
      <c r="AZ194" s="3096"/>
      <c r="BA194" s="3096"/>
      <c r="BB194" s="3096"/>
      <c r="BC194" s="3096"/>
      <c r="BD194" s="3096"/>
      <c r="BE194" s="3096"/>
      <c r="BF194" s="3096"/>
      <c r="BG194" s="3096"/>
      <c r="BH194" s="3314"/>
      <c r="BI194" s="3314"/>
      <c r="BJ194" s="3316"/>
      <c r="BK194" s="3327"/>
      <c r="BL194" s="3327"/>
      <c r="BM194" s="3330"/>
      <c r="BN194" s="3333"/>
      <c r="BO194" s="3321"/>
      <c r="BP194" s="2723"/>
      <c r="BQ194" s="3316"/>
      <c r="BR194" s="3316"/>
      <c r="BS194" s="3316"/>
      <c r="BT194" s="3316"/>
      <c r="BU194" s="3316"/>
    </row>
    <row r="195" spans="1:73" ht="62.25" customHeight="1" x14ac:dyDescent="0.25">
      <c r="A195" s="2053"/>
      <c r="B195" s="2921"/>
      <c r="C195" s="2007"/>
      <c r="D195" s="2008"/>
      <c r="E195" s="3030"/>
      <c r="F195" s="3030"/>
      <c r="G195" s="3248"/>
      <c r="H195" s="3250"/>
      <c r="I195" s="3248"/>
      <c r="J195" s="3250"/>
      <c r="K195" s="2956"/>
      <c r="L195" s="2912"/>
      <c r="M195" s="2956"/>
      <c r="N195" s="2912"/>
      <c r="O195" s="2943"/>
      <c r="P195" s="2943"/>
      <c r="Q195" s="2943"/>
      <c r="R195" s="3292"/>
      <c r="S195" s="3305"/>
      <c r="T195" s="3306"/>
      <c r="U195" s="3308"/>
      <c r="V195" s="3302"/>
      <c r="W195" s="3317" t="s">
        <v>3235</v>
      </c>
      <c r="X195" s="2009">
        <v>2000000</v>
      </c>
      <c r="Y195" s="2009">
        <v>0</v>
      </c>
      <c r="Z195" s="2009">
        <v>0</v>
      </c>
      <c r="AA195" s="1708" t="s">
        <v>3236</v>
      </c>
      <c r="AB195" s="3311">
        <v>20</v>
      </c>
      <c r="AC195" s="3312" t="s">
        <v>734</v>
      </c>
      <c r="AD195" s="3096"/>
      <c r="AE195" s="3096"/>
      <c r="AF195" s="3096"/>
      <c r="AG195" s="3096"/>
      <c r="AH195" s="3096"/>
      <c r="AI195" s="3096"/>
      <c r="AJ195" s="3096"/>
      <c r="AK195" s="3096"/>
      <c r="AL195" s="3096"/>
      <c r="AM195" s="3096"/>
      <c r="AN195" s="3096"/>
      <c r="AO195" s="3096"/>
      <c r="AP195" s="3096"/>
      <c r="AQ195" s="3096"/>
      <c r="AR195" s="3096"/>
      <c r="AS195" s="3096"/>
      <c r="AT195" s="3096"/>
      <c r="AU195" s="3096"/>
      <c r="AV195" s="3096"/>
      <c r="AW195" s="3096"/>
      <c r="AX195" s="3096"/>
      <c r="AY195" s="3096"/>
      <c r="AZ195" s="3096"/>
      <c r="BA195" s="3096"/>
      <c r="BB195" s="3096"/>
      <c r="BC195" s="3096"/>
      <c r="BD195" s="3096"/>
      <c r="BE195" s="3096"/>
      <c r="BF195" s="3096"/>
      <c r="BG195" s="3096"/>
      <c r="BH195" s="3314"/>
      <c r="BI195" s="3314"/>
      <c r="BJ195" s="3316"/>
      <c r="BK195" s="3327"/>
      <c r="BL195" s="3327"/>
      <c r="BM195" s="3330"/>
      <c r="BN195" s="3333"/>
      <c r="BO195" s="3321"/>
      <c r="BP195" s="2723"/>
      <c r="BQ195" s="3316"/>
      <c r="BR195" s="3316"/>
      <c r="BS195" s="3316"/>
      <c r="BT195" s="3316"/>
      <c r="BU195" s="3316"/>
    </row>
    <row r="196" spans="1:73" ht="62.25" customHeight="1" x14ac:dyDescent="0.25">
      <c r="A196" s="2053"/>
      <c r="B196" s="2921"/>
      <c r="C196" s="2007"/>
      <c r="D196" s="2008"/>
      <c r="E196" s="3030"/>
      <c r="F196" s="3030"/>
      <c r="G196" s="3248"/>
      <c r="H196" s="3250"/>
      <c r="I196" s="3248"/>
      <c r="J196" s="3250"/>
      <c r="K196" s="2956"/>
      <c r="L196" s="2912"/>
      <c r="M196" s="2956"/>
      <c r="N196" s="2912"/>
      <c r="O196" s="2943"/>
      <c r="P196" s="2943"/>
      <c r="Q196" s="2943"/>
      <c r="R196" s="3292"/>
      <c r="S196" s="3305"/>
      <c r="T196" s="3306"/>
      <c r="U196" s="3308"/>
      <c r="V196" s="3302"/>
      <c r="W196" s="3318"/>
      <c r="X196" s="2009">
        <v>18000000</v>
      </c>
      <c r="Y196" s="2009">
        <v>6500000</v>
      </c>
      <c r="Z196" s="2009">
        <v>0</v>
      </c>
      <c r="AA196" s="1708" t="s">
        <v>3233</v>
      </c>
      <c r="AB196" s="3311"/>
      <c r="AC196" s="3312"/>
      <c r="AD196" s="3096"/>
      <c r="AE196" s="3096"/>
      <c r="AF196" s="3096"/>
      <c r="AG196" s="3096"/>
      <c r="AH196" s="3096"/>
      <c r="AI196" s="3096"/>
      <c r="AJ196" s="3096"/>
      <c r="AK196" s="3096"/>
      <c r="AL196" s="3096"/>
      <c r="AM196" s="3096"/>
      <c r="AN196" s="3096"/>
      <c r="AO196" s="3096"/>
      <c r="AP196" s="3096"/>
      <c r="AQ196" s="3096"/>
      <c r="AR196" s="3096"/>
      <c r="AS196" s="3096"/>
      <c r="AT196" s="3096"/>
      <c r="AU196" s="3096"/>
      <c r="AV196" s="3096"/>
      <c r="AW196" s="3096"/>
      <c r="AX196" s="3096"/>
      <c r="AY196" s="3096"/>
      <c r="AZ196" s="3096"/>
      <c r="BA196" s="3096"/>
      <c r="BB196" s="3096"/>
      <c r="BC196" s="3096"/>
      <c r="BD196" s="3096"/>
      <c r="BE196" s="3096"/>
      <c r="BF196" s="3096"/>
      <c r="BG196" s="3096"/>
      <c r="BH196" s="3314"/>
      <c r="BI196" s="3314"/>
      <c r="BJ196" s="3316"/>
      <c r="BK196" s="3327"/>
      <c r="BL196" s="3327"/>
      <c r="BM196" s="3330"/>
      <c r="BN196" s="3333"/>
      <c r="BO196" s="3321"/>
      <c r="BP196" s="2723"/>
      <c r="BQ196" s="3316"/>
      <c r="BR196" s="3316"/>
      <c r="BS196" s="3316"/>
      <c r="BT196" s="3316"/>
      <c r="BU196" s="3316"/>
    </row>
    <row r="197" spans="1:73" ht="51" customHeight="1" x14ac:dyDescent="0.25">
      <c r="A197" s="2053"/>
      <c r="B197" s="2921"/>
      <c r="C197" s="2007"/>
      <c r="D197" s="2008"/>
      <c r="E197" s="3030"/>
      <c r="F197" s="3030"/>
      <c r="G197" s="3248"/>
      <c r="H197" s="3250"/>
      <c r="I197" s="3248"/>
      <c r="J197" s="3250"/>
      <c r="K197" s="2956"/>
      <c r="L197" s="2912"/>
      <c r="M197" s="2956"/>
      <c r="N197" s="2912"/>
      <c r="O197" s="2943"/>
      <c r="P197" s="2943"/>
      <c r="Q197" s="2943"/>
      <c r="R197" s="3292"/>
      <c r="S197" s="3305"/>
      <c r="T197" s="3306"/>
      <c r="U197" s="3308"/>
      <c r="V197" s="3302"/>
      <c r="W197" s="2014" t="s">
        <v>3237</v>
      </c>
      <c r="X197" s="2009">
        <v>8000000</v>
      </c>
      <c r="Y197" s="2009">
        <v>0</v>
      </c>
      <c r="Z197" s="2009">
        <v>0</v>
      </c>
      <c r="AA197" s="1708" t="s">
        <v>3238</v>
      </c>
      <c r="AB197" s="2131">
        <v>20</v>
      </c>
      <c r="AC197" s="1710" t="s">
        <v>734</v>
      </c>
      <c r="AD197" s="3096"/>
      <c r="AE197" s="3096"/>
      <c r="AF197" s="3096"/>
      <c r="AG197" s="3096"/>
      <c r="AH197" s="3096"/>
      <c r="AI197" s="3096"/>
      <c r="AJ197" s="3096"/>
      <c r="AK197" s="3096"/>
      <c r="AL197" s="3096"/>
      <c r="AM197" s="3096"/>
      <c r="AN197" s="3096"/>
      <c r="AO197" s="3096"/>
      <c r="AP197" s="3096"/>
      <c r="AQ197" s="3096"/>
      <c r="AR197" s="3096"/>
      <c r="AS197" s="3096"/>
      <c r="AT197" s="3096"/>
      <c r="AU197" s="3096"/>
      <c r="AV197" s="3096"/>
      <c r="AW197" s="3096"/>
      <c r="AX197" s="3096"/>
      <c r="AY197" s="3096"/>
      <c r="AZ197" s="3096"/>
      <c r="BA197" s="3096"/>
      <c r="BB197" s="3096"/>
      <c r="BC197" s="3096"/>
      <c r="BD197" s="3096"/>
      <c r="BE197" s="3096"/>
      <c r="BF197" s="3096"/>
      <c r="BG197" s="3096"/>
      <c r="BH197" s="3314"/>
      <c r="BI197" s="3314"/>
      <c r="BJ197" s="3316"/>
      <c r="BK197" s="3327"/>
      <c r="BL197" s="3327"/>
      <c r="BM197" s="3330"/>
      <c r="BN197" s="3333"/>
      <c r="BO197" s="3321"/>
      <c r="BP197" s="2723"/>
      <c r="BQ197" s="3316"/>
      <c r="BR197" s="3316"/>
      <c r="BS197" s="3316"/>
      <c r="BT197" s="3316"/>
      <c r="BU197" s="3316"/>
    </row>
    <row r="198" spans="1:73" ht="75.75" customHeight="1" x14ac:dyDescent="0.25">
      <c r="A198" s="2053"/>
      <c r="B198" s="2921"/>
      <c r="C198" s="2007"/>
      <c r="D198" s="2008"/>
      <c r="E198" s="3030"/>
      <c r="F198" s="3030"/>
      <c r="G198" s="3248"/>
      <c r="H198" s="3250"/>
      <c r="I198" s="3248"/>
      <c r="J198" s="3250"/>
      <c r="K198" s="2956"/>
      <c r="L198" s="2912"/>
      <c r="M198" s="2956"/>
      <c r="N198" s="2912"/>
      <c r="O198" s="2943"/>
      <c r="P198" s="2943"/>
      <c r="Q198" s="2943"/>
      <c r="R198" s="3292"/>
      <c r="S198" s="3305"/>
      <c r="T198" s="3306"/>
      <c r="U198" s="3308"/>
      <c r="V198" s="3302"/>
      <c r="W198" s="2014" t="s">
        <v>3239</v>
      </c>
      <c r="X198" s="2009">
        <v>10000000</v>
      </c>
      <c r="Y198" s="2009">
        <v>3000000</v>
      </c>
      <c r="Z198" s="2009">
        <v>0</v>
      </c>
      <c r="AA198" s="1708" t="s">
        <v>3233</v>
      </c>
      <c r="AB198" s="2131">
        <v>20</v>
      </c>
      <c r="AC198" s="1710" t="s">
        <v>734</v>
      </c>
      <c r="AD198" s="3096"/>
      <c r="AE198" s="3096"/>
      <c r="AF198" s="3096"/>
      <c r="AG198" s="3096"/>
      <c r="AH198" s="3096"/>
      <c r="AI198" s="3096"/>
      <c r="AJ198" s="3096"/>
      <c r="AK198" s="3096"/>
      <c r="AL198" s="3096"/>
      <c r="AM198" s="3096"/>
      <c r="AN198" s="3096"/>
      <c r="AO198" s="3096"/>
      <c r="AP198" s="3096"/>
      <c r="AQ198" s="3096"/>
      <c r="AR198" s="3096"/>
      <c r="AS198" s="3096"/>
      <c r="AT198" s="3096"/>
      <c r="AU198" s="3096"/>
      <c r="AV198" s="3096"/>
      <c r="AW198" s="3096"/>
      <c r="AX198" s="3096"/>
      <c r="AY198" s="3096"/>
      <c r="AZ198" s="3096"/>
      <c r="BA198" s="3096"/>
      <c r="BB198" s="3096"/>
      <c r="BC198" s="3096"/>
      <c r="BD198" s="3096"/>
      <c r="BE198" s="3096"/>
      <c r="BF198" s="3096"/>
      <c r="BG198" s="3096"/>
      <c r="BH198" s="3314"/>
      <c r="BI198" s="3314"/>
      <c r="BJ198" s="3316"/>
      <c r="BK198" s="3327"/>
      <c r="BL198" s="3327"/>
      <c r="BM198" s="3330"/>
      <c r="BN198" s="3333"/>
      <c r="BO198" s="3321"/>
      <c r="BP198" s="2723"/>
      <c r="BQ198" s="3316"/>
      <c r="BR198" s="3316"/>
      <c r="BS198" s="3316"/>
      <c r="BT198" s="3316"/>
      <c r="BU198" s="3316"/>
    </row>
    <row r="199" spans="1:73" ht="71.25" customHeight="1" x14ac:dyDescent="0.25">
      <c r="A199" s="2053"/>
      <c r="B199" s="2921"/>
      <c r="C199" s="2007"/>
      <c r="D199" s="2008"/>
      <c r="E199" s="3030"/>
      <c r="F199" s="3030"/>
      <c r="G199" s="3248"/>
      <c r="H199" s="3250"/>
      <c r="I199" s="3248"/>
      <c r="J199" s="3250"/>
      <c r="K199" s="2956"/>
      <c r="L199" s="2912"/>
      <c r="M199" s="2956"/>
      <c r="N199" s="2912"/>
      <c r="O199" s="2943"/>
      <c r="P199" s="2943"/>
      <c r="Q199" s="2943"/>
      <c r="R199" s="3292"/>
      <c r="S199" s="3305"/>
      <c r="T199" s="3306"/>
      <c r="U199" s="3308"/>
      <c r="V199" s="3302"/>
      <c r="W199" s="2132" t="s">
        <v>3240</v>
      </c>
      <c r="X199" s="2009">
        <v>5000000</v>
      </c>
      <c r="Y199" s="2009">
        <v>0</v>
      </c>
      <c r="Z199" s="2009">
        <v>0</v>
      </c>
      <c r="AA199" s="1708" t="s">
        <v>3233</v>
      </c>
      <c r="AB199" s="2131">
        <v>20</v>
      </c>
      <c r="AC199" s="1710" t="s">
        <v>734</v>
      </c>
      <c r="AD199" s="3096"/>
      <c r="AE199" s="3096"/>
      <c r="AF199" s="3096"/>
      <c r="AG199" s="3096"/>
      <c r="AH199" s="3096"/>
      <c r="AI199" s="3096"/>
      <c r="AJ199" s="3096"/>
      <c r="AK199" s="3096"/>
      <c r="AL199" s="3096"/>
      <c r="AM199" s="3096"/>
      <c r="AN199" s="3096"/>
      <c r="AO199" s="3096"/>
      <c r="AP199" s="3096"/>
      <c r="AQ199" s="3096"/>
      <c r="AR199" s="3096"/>
      <c r="AS199" s="3096"/>
      <c r="AT199" s="3096"/>
      <c r="AU199" s="3096"/>
      <c r="AV199" s="3096"/>
      <c r="AW199" s="3096"/>
      <c r="AX199" s="3096"/>
      <c r="AY199" s="3096"/>
      <c r="AZ199" s="3096"/>
      <c r="BA199" s="3096"/>
      <c r="BB199" s="3096"/>
      <c r="BC199" s="3096"/>
      <c r="BD199" s="3096"/>
      <c r="BE199" s="3096"/>
      <c r="BF199" s="3096"/>
      <c r="BG199" s="3096"/>
      <c r="BH199" s="3314"/>
      <c r="BI199" s="3314"/>
      <c r="BJ199" s="3316"/>
      <c r="BK199" s="3327"/>
      <c r="BL199" s="3327"/>
      <c r="BM199" s="3330"/>
      <c r="BN199" s="3333"/>
      <c r="BO199" s="3321"/>
      <c r="BP199" s="2723"/>
      <c r="BQ199" s="3316"/>
      <c r="BR199" s="3316"/>
      <c r="BS199" s="3316"/>
      <c r="BT199" s="3316"/>
      <c r="BU199" s="3316"/>
    </row>
    <row r="200" spans="1:73" ht="57" customHeight="1" x14ac:dyDescent="0.25">
      <c r="A200" s="2053"/>
      <c r="B200" s="2921"/>
      <c r="C200" s="2007"/>
      <c r="D200" s="2008"/>
      <c r="E200" s="3030"/>
      <c r="F200" s="3030"/>
      <c r="G200" s="3248"/>
      <c r="H200" s="3250"/>
      <c r="I200" s="3248"/>
      <c r="J200" s="3250"/>
      <c r="K200" s="2956"/>
      <c r="L200" s="2912"/>
      <c r="M200" s="2956"/>
      <c r="N200" s="2912"/>
      <c r="O200" s="2943"/>
      <c r="P200" s="2943"/>
      <c r="Q200" s="2943"/>
      <c r="R200" s="3292"/>
      <c r="S200" s="3305"/>
      <c r="T200" s="3306"/>
      <c r="U200" s="3308"/>
      <c r="V200" s="3302"/>
      <c r="W200" s="3296" t="s">
        <v>3241</v>
      </c>
      <c r="X200" s="2009">
        <f>5000000-3000000</f>
        <v>2000000</v>
      </c>
      <c r="Y200" s="2009">
        <v>0</v>
      </c>
      <c r="Z200" s="2009">
        <v>0</v>
      </c>
      <c r="AA200" s="1708" t="s">
        <v>3242</v>
      </c>
      <c r="AB200" s="2131">
        <v>20</v>
      </c>
      <c r="AC200" s="1710" t="s">
        <v>734</v>
      </c>
      <c r="AD200" s="3096"/>
      <c r="AE200" s="3096"/>
      <c r="AF200" s="3096"/>
      <c r="AG200" s="3096"/>
      <c r="AH200" s="3096"/>
      <c r="AI200" s="3096"/>
      <c r="AJ200" s="3096"/>
      <c r="AK200" s="3096"/>
      <c r="AL200" s="3096"/>
      <c r="AM200" s="3096"/>
      <c r="AN200" s="3096"/>
      <c r="AO200" s="3096"/>
      <c r="AP200" s="3096"/>
      <c r="AQ200" s="3096"/>
      <c r="AR200" s="3096"/>
      <c r="AS200" s="3096"/>
      <c r="AT200" s="3096"/>
      <c r="AU200" s="3096"/>
      <c r="AV200" s="3096"/>
      <c r="AW200" s="3096"/>
      <c r="AX200" s="3096"/>
      <c r="AY200" s="3096"/>
      <c r="AZ200" s="3096"/>
      <c r="BA200" s="3096"/>
      <c r="BB200" s="3096"/>
      <c r="BC200" s="3096"/>
      <c r="BD200" s="3096"/>
      <c r="BE200" s="3096"/>
      <c r="BF200" s="3096"/>
      <c r="BG200" s="3096"/>
      <c r="BH200" s="3314"/>
      <c r="BI200" s="3314"/>
      <c r="BJ200" s="3316"/>
      <c r="BK200" s="3327"/>
      <c r="BL200" s="3327"/>
      <c r="BM200" s="3330"/>
      <c r="BN200" s="3333"/>
      <c r="BO200" s="3321"/>
      <c r="BP200" s="2723"/>
      <c r="BQ200" s="3316"/>
      <c r="BR200" s="3316"/>
      <c r="BS200" s="3316"/>
      <c r="BT200" s="3316"/>
      <c r="BU200" s="3316"/>
    </row>
    <row r="201" spans="1:73" ht="57" customHeight="1" x14ac:dyDescent="0.25">
      <c r="A201" s="2053"/>
      <c r="B201" s="2921"/>
      <c r="C201" s="2007"/>
      <c r="D201" s="2008"/>
      <c r="E201" s="3030"/>
      <c r="F201" s="3030"/>
      <c r="G201" s="3248"/>
      <c r="H201" s="3250"/>
      <c r="I201" s="3248"/>
      <c r="J201" s="3250"/>
      <c r="K201" s="2956"/>
      <c r="L201" s="2912"/>
      <c r="M201" s="2956"/>
      <c r="N201" s="2912"/>
      <c r="O201" s="2943"/>
      <c r="P201" s="2943"/>
      <c r="Q201" s="2943"/>
      <c r="R201" s="3292"/>
      <c r="S201" s="3305"/>
      <c r="T201" s="3306"/>
      <c r="U201" s="3308"/>
      <c r="V201" s="3302"/>
      <c r="W201" s="3298"/>
      <c r="X201" s="2009">
        <v>3000000</v>
      </c>
      <c r="Y201" s="2009">
        <v>3000000</v>
      </c>
      <c r="Z201" s="2009"/>
      <c r="AA201" s="1708" t="s">
        <v>3243</v>
      </c>
      <c r="AB201" s="2131">
        <v>20</v>
      </c>
      <c r="AC201" s="1710" t="s">
        <v>734</v>
      </c>
      <c r="AD201" s="3096"/>
      <c r="AE201" s="3096"/>
      <c r="AF201" s="3096"/>
      <c r="AG201" s="3096"/>
      <c r="AH201" s="3096"/>
      <c r="AI201" s="3096"/>
      <c r="AJ201" s="3096"/>
      <c r="AK201" s="3096"/>
      <c r="AL201" s="3096"/>
      <c r="AM201" s="3096"/>
      <c r="AN201" s="3096"/>
      <c r="AO201" s="3096"/>
      <c r="AP201" s="3096"/>
      <c r="AQ201" s="3096"/>
      <c r="AR201" s="3096"/>
      <c r="AS201" s="3096"/>
      <c r="AT201" s="3096"/>
      <c r="AU201" s="3096"/>
      <c r="AV201" s="3096"/>
      <c r="AW201" s="3096"/>
      <c r="AX201" s="3096"/>
      <c r="AY201" s="3096"/>
      <c r="AZ201" s="3096"/>
      <c r="BA201" s="3096"/>
      <c r="BB201" s="3096"/>
      <c r="BC201" s="3096"/>
      <c r="BD201" s="3096"/>
      <c r="BE201" s="3096"/>
      <c r="BF201" s="3096"/>
      <c r="BG201" s="3096"/>
      <c r="BH201" s="3314"/>
      <c r="BI201" s="3314"/>
      <c r="BJ201" s="3316"/>
      <c r="BK201" s="3327"/>
      <c r="BL201" s="3327"/>
      <c r="BM201" s="3330"/>
      <c r="BN201" s="3333"/>
      <c r="BO201" s="3321"/>
      <c r="BP201" s="2723"/>
      <c r="BQ201" s="3316"/>
      <c r="BR201" s="3316"/>
      <c r="BS201" s="3316"/>
      <c r="BT201" s="3316"/>
      <c r="BU201" s="3316"/>
    </row>
    <row r="202" spans="1:73" ht="31.5" customHeight="1" x14ac:dyDescent="0.25">
      <c r="A202" s="2053"/>
      <c r="B202" s="2921"/>
      <c r="C202" s="2007"/>
      <c r="D202" s="2008"/>
      <c r="E202" s="3030"/>
      <c r="F202" s="3030"/>
      <c r="G202" s="3248"/>
      <c r="H202" s="3250"/>
      <c r="I202" s="3248"/>
      <c r="J202" s="3250"/>
      <c r="K202" s="2956"/>
      <c r="L202" s="2912"/>
      <c r="M202" s="2956"/>
      <c r="N202" s="2912"/>
      <c r="O202" s="2943"/>
      <c r="P202" s="2943"/>
      <c r="Q202" s="2943"/>
      <c r="R202" s="3292"/>
      <c r="S202" s="3305"/>
      <c r="T202" s="3306"/>
      <c r="U202" s="3308"/>
      <c r="V202" s="3302"/>
      <c r="W202" s="3296" t="s">
        <v>3244</v>
      </c>
      <c r="X202" s="2009">
        <v>5000000</v>
      </c>
      <c r="Y202" s="2009">
        <v>0</v>
      </c>
      <c r="Z202" s="2009">
        <v>0</v>
      </c>
      <c r="AA202" s="1708" t="s">
        <v>3233</v>
      </c>
      <c r="AB202" s="2131">
        <v>20</v>
      </c>
      <c r="AC202" s="1710" t="s">
        <v>734</v>
      </c>
      <c r="AD202" s="3096"/>
      <c r="AE202" s="3096"/>
      <c r="AF202" s="3096"/>
      <c r="AG202" s="3096"/>
      <c r="AH202" s="3096"/>
      <c r="AI202" s="3096"/>
      <c r="AJ202" s="3096"/>
      <c r="AK202" s="3096"/>
      <c r="AL202" s="3096"/>
      <c r="AM202" s="3096"/>
      <c r="AN202" s="3096"/>
      <c r="AO202" s="3096"/>
      <c r="AP202" s="3096"/>
      <c r="AQ202" s="3096"/>
      <c r="AR202" s="3096"/>
      <c r="AS202" s="3096"/>
      <c r="AT202" s="3096"/>
      <c r="AU202" s="3096"/>
      <c r="AV202" s="3096"/>
      <c r="AW202" s="3096"/>
      <c r="AX202" s="3096"/>
      <c r="AY202" s="3096"/>
      <c r="AZ202" s="3096"/>
      <c r="BA202" s="3096"/>
      <c r="BB202" s="3096"/>
      <c r="BC202" s="3096"/>
      <c r="BD202" s="3096"/>
      <c r="BE202" s="3096"/>
      <c r="BF202" s="3096"/>
      <c r="BG202" s="3096"/>
      <c r="BH202" s="3314"/>
      <c r="BI202" s="3314"/>
      <c r="BJ202" s="3316"/>
      <c r="BK202" s="3327"/>
      <c r="BL202" s="3327"/>
      <c r="BM202" s="3330"/>
      <c r="BN202" s="3333"/>
      <c r="BO202" s="3321"/>
      <c r="BP202" s="2723"/>
      <c r="BQ202" s="3316"/>
      <c r="BR202" s="3316"/>
      <c r="BS202" s="3316"/>
      <c r="BT202" s="3316"/>
      <c r="BU202" s="3316"/>
    </row>
    <row r="203" spans="1:73" ht="34.5" customHeight="1" x14ac:dyDescent="0.25">
      <c r="A203" s="2053"/>
      <c r="B203" s="2921"/>
      <c r="C203" s="2007"/>
      <c r="D203" s="2008"/>
      <c r="E203" s="3030"/>
      <c r="F203" s="3030"/>
      <c r="G203" s="3248"/>
      <c r="H203" s="3250"/>
      <c r="I203" s="3248"/>
      <c r="J203" s="3250"/>
      <c r="K203" s="2956"/>
      <c r="L203" s="2912"/>
      <c r="M203" s="2956"/>
      <c r="N203" s="2912"/>
      <c r="O203" s="2943"/>
      <c r="P203" s="2943"/>
      <c r="Q203" s="2943"/>
      <c r="R203" s="3292"/>
      <c r="S203" s="3305"/>
      <c r="T203" s="3306"/>
      <c r="U203" s="3308"/>
      <c r="V203" s="3302"/>
      <c r="W203" s="3298"/>
      <c r="X203" s="2009">
        <v>5000000</v>
      </c>
      <c r="Y203" s="2009">
        <v>0</v>
      </c>
      <c r="Z203" s="2009">
        <v>0</v>
      </c>
      <c r="AA203" s="1708" t="s">
        <v>3243</v>
      </c>
      <c r="AB203" s="2131"/>
      <c r="AC203" s="1710"/>
      <c r="AD203" s="3096"/>
      <c r="AE203" s="3096"/>
      <c r="AF203" s="3096"/>
      <c r="AG203" s="3096"/>
      <c r="AH203" s="3096"/>
      <c r="AI203" s="3096"/>
      <c r="AJ203" s="3096"/>
      <c r="AK203" s="3096"/>
      <c r="AL203" s="3096"/>
      <c r="AM203" s="3096"/>
      <c r="AN203" s="3096"/>
      <c r="AO203" s="3096"/>
      <c r="AP203" s="3096"/>
      <c r="AQ203" s="3096"/>
      <c r="AR203" s="3096"/>
      <c r="AS203" s="3096"/>
      <c r="AT203" s="3096"/>
      <c r="AU203" s="3096"/>
      <c r="AV203" s="3096"/>
      <c r="AW203" s="3096"/>
      <c r="AX203" s="3096"/>
      <c r="AY203" s="3096"/>
      <c r="AZ203" s="3096"/>
      <c r="BA203" s="3096"/>
      <c r="BB203" s="3096"/>
      <c r="BC203" s="3096"/>
      <c r="BD203" s="3096"/>
      <c r="BE203" s="3096"/>
      <c r="BF203" s="3096"/>
      <c r="BG203" s="3096"/>
      <c r="BH203" s="3314"/>
      <c r="BI203" s="3314"/>
      <c r="BJ203" s="3316"/>
      <c r="BK203" s="3327"/>
      <c r="BL203" s="3327"/>
      <c r="BM203" s="3330"/>
      <c r="BN203" s="3333"/>
      <c r="BO203" s="3321"/>
      <c r="BP203" s="2723"/>
      <c r="BQ203" s="3316"/>
      <c r="BR203" s="3316"/>
      <c r="BS203" s="3316"/>
      <c r="BT203" s="3316"/>
      <c r="BU203" s="3316"/>
    </row>
    <row r="204" spans="1:73" ht="57" customHeight="1" x14ac:dyDescent="0.25">
      <c r="A204" s="2053"/>
      <c r="B204" s="2921"/>
      <c r="C204" s="2007"/>
      <c r="D204" s="2008"/>
      <c r="E204" s="3030"/>
      <c r="F204" s="3030"/>
      <c r="G204" s="3248"/>
      <c r="H204" s="3250"/>
      <c r="I204" s="3248"/>
      <c r="J204" s="3250"/>
      <c r="K204" s="2956"/>
      <c r="L204" s="2912"/>
      <c r="M204" s="2956"/>
      <c r="N204" s="2912"/>
      <c r="O204" s="2943"/>
      <c r="P204" s="2943"/>
      <c r="Q204" s="2943"/>
      <c r="R204" s="3292"/>
      <c r="S204" s="3305"/>
      <c r="T204" s="3306"/>
      <c r="U204" s="3308"/>
      <c r="V204" s="3302"/>
      <c r="W204" s="3296" t="s">
        <v>3245</v>
      </c>
      <c r="X204" s="2009">
        <v>4000000</v>
      </c>
      <c r="Y204" s="2009">
        <v>3040000</v>
      </c>
      <c r="Z204" s="2009">
        <v>0</v>
      </c>
      <c r="AA204" s="1708" t="s">
        <v>3233</v>
      </c>
      <c r="AB204" s="2131">
        <v>20</v>
      </c>
      <c r="AC204" s="1710" t="s">
        <v>734</v>
      </c>
      <c r="AD204" s="3096"/>
      <c r="AE204" s="3096"/>
      <c r="AF204" s="3096"/>
      <c r="AG204" s="3096"/>
      <c r="AH204" s="3096"/>
      <c r="AI204" s="3096"/>
      <c r="AJ204" s="3096"/>
      <c r="AK204" s="3096"/>
      <c r="AL204" s="3096"/>
      <c r="AM204" s="3096"/>
      <c r="AN204" s="3096"/>
      <c r="AO204" s="3096"/>
      <c r="AP204" s="3096"/>
      <c r="AQ204" s="3096"/>
      <c r="AR204" s="3096"/>
      <c r="AS204" s="3096"/>
      <c r="AT204" s="3096"/>
      <c r="AU204" s="3096"/>
      <c r="AV204" s="3096"/>
      <c r="AW204" s="3096"/>
      <c r="AX204" s="3096"/>
      <c r="AY204" s="3096"/>
      <c r="AZ204" s="3096"/>
      <c r="BA204" s="3096"/>
      <c r="BB204" s="3096"/>
      <c r="BC204" s="3096"/>
      <c r="BD204" s="3096"/>
      <c r="BE204" s="3096"/>
      <c r="BF204" s="3096"/>
      <c r="BG204" s="3096"/>
      <c r="BH204" s="3314"/>
      <c r="BI204" s="3314"/>
      <c r="BJ204" s="3316"/>
      <c r="BK204" s="3327"/>
      <c r="BL204" s="3327"/>
      <c r="BM204" s="3330"/>
      <c r="BN204" s="3333"/>
      <c r="BO204" s="3321"/>
      <c r="BP204" s="2723"/>
      <c r="BQ204" s="3316"/>
      <c r="BR204" s="3316"/>
      <c r="BS204" s="3316"/>
      <c r="BT204" s="3316"/>
      <c r="BU204" s="3316"/>
    </row>
    <row r="205" spans="1:73" ht="57" customHeight="1" x14ac:dyDescent="0.25">
      <c r="A205" s="2053"/>
      <c r="B205" s="2921"/>
      <c r="C205" s="2007"/>
      <c r="D205" s="2008"/>
      <c r="E205" s="3030"/>
      <c r="F205" s="3030"/>
      <c r="G205" s="3248"/>
      <c r="H205" s="3250"/>
      <c r="I205" s="3248"/>
      <c r="J205" s="3250"/>
      <c r="K205" s="2956"/>
      <c r="L205" s="2912"/>
      <c r="M205" s="2956"/>
      <c r="N205" s="2912"/>
      <c r="O205" s="2943"/>
      <c r="P205" s="2943"/>
      <c r="Q205" s="2943"/>
      <c r="R205" s="3292"/>
      <c r="S205" s="3305"/>
      <c r="T205" s="3306"/>
      <c r="U205" s="3308"/>
      <c r="V205" s="3302"/>
      <c r="W205" s="3298"/>
      <c r="X205" s="2009">
        <v>10000000</v>
      </c>
      <c r="Y205" s="2009">
        <v>0</v>
      </c>
      <c r="Z205" s="2009">
        <v>0</v>
      </c>
      <c r="AA205" s="1708" t="s">
        <v>3246</v>
      </c>
      <c r="AB205" s="2131">
        <v>88</v>
      </c>
      <c r="AC205" s="1710" t="s">
        <v>2980</v>
      </c>
      <c r="AD205" s="3096"/>
      <c r="AE205" s="3096"/>
      <c r="AF205" s="3096"/>
      <c r="AG205" s="3096"/>
      <c r="AH205" s="3096"/>
      <c r="AI205" s="3096"/>
      <c r="AJ205" s="3096"/>
      <c r="AK205" s="3096"/>
      <c r="AL205" s="3096"/>
      <c r="AM205" s="3096"/>
      <c r="AN205" s="3096"/>
      <c r="AO205" s="3096"/>
      <c r="AP205" s="3096"/>
      <c r="AQ205" s="3096"/>
      <c r="AR205" s="3096"/>
      <c r="AS205" s="3096"/>
      <c r="AT205" s="3096"/>
      <c r="AU205" s="3096"/>
      <c r="AV205" s="3096"/>
      <c r="AW205" s="3096"/>
      <c r="AX205" s="3096"/>
      <c r="AY205" s="3096"/>
      <c r="AZ205" s="3096"/>
      <c r="BA205" s="3096"/>
      <c r="BB205" s="3096"/>
      <c r="BC205" s="3096"/>
      <c r="BD205" s="3096"/>
      <c r="BE205" s="3096"/>
      <c r="BF205" s="3096"/>
      <c r="BG205" s="3096"/>
      <c r="BH205" s="3314"/>
      <c r="BI205" s="3314"/>
      <c r="BJ205" s="3316"/>
      <c r="BK205" s="3327"/>
      <c r="BL205" s="3327"/>
      <c r="BM205" s="3330"/>
      <c r="BN205" s="3333"/>
      <c r="BO205" s="3321"/>
      <c r="BP205" s="2723"/>
      <c r="BQ205" s="3316"/>
      <c r="BR205" s="3316"/>
      <c r="BS205" s="3316"/>
      <c r="BT205" s="3316"/>
      <c r="BU205" s="3316"/>
    </row>
    <row r="206" spans="1:73" ht="30" x14ac:dyDescent="0.25">
      <c r="A206" s="2053"/>
      <c r="B206" s="2921"/>
      <c r="C206" s="2007"/>
      <c r="D206" s="2008"/>
      <c r="E206" s="3030"/>
      <c r="F206" s="3030"/>
      <c r="G206" s="3248"/>
      <c r="H206" s="3250"/>
      <c r="I206" s="3248"/>
      <c r="J206" s="3250"/>
      <c r="K206" s="2956"/>
      <c r="L206" s="2912"/>
      <c r="M206" s="2956"/>
      <c r="N206" s="2912"/>
      <c r="O206" s="2943"/>
      <c r="P206" s="2943"/>
      <c r="Q206" s="2943"/>
      <c r="R206" s="3292"/>
      <c r="S206" s="3305"/>
      <c r="T206" s="3306"/>
      <c r="U206" s="3308"/>
      <c r="V206" s="3302"/>
      <c r="W206" s="2014" t="s">
        <v>3247</v>
      </c>
      <c r="X206" s="2009">
        <v>10000000</v>
      </c>
      <c r="Y206" s="2009">
        <v>2700000</v>
      </c>
      <c r="Z206" s="2009">
        <v>0</v>
      </c>
      <c r="AA206" s="1708" t="s">
        <v>3233</v>
      </c>
      <c r="AB206" s="2131">
        <v>20</v>
      </c>
      <c r="AC206" s="1710" t="s">
        <v>734</v>
      </c>
      <c r="AD206" s="3096"/>
      <c r="AE206" s="3096"/>
      <c r="AF206" s="3096"/>
      <c r="AG206" s="3096"/>
      <c r="AH206" s="3096"/>
      <c r="AI206" s="3096"/>
      <c r="AJ206" s="3096"/>
      <c r="AK206" s="3096"/>
      <c r="AL206" s="3096"/>
      <c r="AM206" s="3096"/>
      <c r="AN206" s="3096"/>
      <c r="AO206" s="3096"/>
      <c r="AP206" s="3096"/>
      <c r="AQ206" s="3096"/>
      <c r="AR206" s="3096"/>
      <c r="AS206" s="3096"/>
      <c r="AT206" s="3096"/>
      <c r="AU206" s="3096"/>
      <c r="AV206" s="3096"/>
      <c r="AW206" s="3096"/>
      <c r="AX206" s="3096"/>
      <c r="AY206" s="3096"/>
      <c r="AZ206" s="3096"/>
      <c r="BA206" s="3096"/>
      <c r="BB206" s="3096"/>
      <c r="BC206" s="3096"/>
      <c r="BD206" s="3096"/>
      <c r="BE206" s="3096"/>
      <c r="BF206" s="3096"/>
      <c r="BG206" s="3096"/>
      <c r="BH206" s="3314"/>
      <c r="BI206" s="3314"/>
      <c r="BJ206" s="3316"/>
      <c r="BK206" s="3327"/>
      <c r="BL206" s="3327"/>
      <c r="BM206" s="3330"/>
      <c r="BN206" s="3333"/>
      <c r="BO206" s="3321"/>
      <c r="BP206" s="2723"/>
      <c r="BQ206" s="3316"/>
      <c r="BR206" s="3316"/>
      <c r="BS206" s="3316"/>
      <c r="BT206" s="3316"/>
      <c r="BU206" s="3316"/>
    </row>
    <row r="207" spans="1:73" ht="60" x14ac:dyDescent="0.25">
      <c r="A207" s="2053"/>
      <c r="B207" s="2921"/>
      <c r="C207" s="2007"/>
      <c r="D207" s="2008"/>
      <c r="E207" s="3030"/>
      <c r="F207" s="3030"/>
      <c r="G207" s="3248"/>
      <c r="H207" s="3250"/>
      <c r="I207" s="3248"/>
      <c r="J207" s="3250"/>
      <c r="K207" s="2956"/>
      <c r="L207" s="2912"/>
      <c r="M207" s="2956"/>
      <c r="N207" s="2912"/>
      <c r="O207" s="2943"/>
      <c r="P207" s="2943"/>
      <c r="Q207" s="2943"/>
      <c r="R207" s="3292"/>
      <c r="S207" s="3305"/>
      <c r="T207" s="3306"/>
      <c r="U207" s="3308"/>
      <c r="V207" s="3302"/>
      <c r="W207" s="2014" t="s">
        <v>3248</v>
      </c>
      <c r="X207" s="2009">
        <v>10000000</v>
      </c>
      <c r="Y207" s="2009">
        <v>0</v>
      </c>
      <c r="Z207" s="2009">
        <v>0</v>
      </c>
      <c r="AA207" s="1708" t="s">
        <v>3236</v>
      </c>
      <c r="AB207" s="2133">
        <v>20</v>
      </c>
      <c r="AC207" s="1710" t="s">
        <v>734</v>
      </c>
      <c r="AD207" s="3096"/>
      <c r="AE207" s="3096"/>
      <c r="AF207" s="3096"/>
      <c r="AG207" s="3096"/>
      <c r="AH207" s="3096"/>
      <c r="AI207" s="3096"/>
      <c r="AJ207" s="3096"/>
      <c r="AK207" s="3096"/>
      <c r="AL207" s="3096"/>
      <c r="AM207" s="3096"/>
      <c r="AN207" s="3096"/>
      <c r="AO207" s="3096"/>
      <c r="AP207" s="3096"/>
      <c r="AQ207" s="3096"/>
      <c r="AR207" s="3096"/>
      <c r="AS207" s="3096"/>
      <c r="AT207" s="3096"/>
      <c r="AU207" s="3096"/>
      <c r="AV207" s="3096"/>
      <c r="AW207" s="3096"/>
      <c r="AX207" s="3096"/>
      <c r="AY207" s="3096"/>
      <c r="AZ207" s="3096"/>
      <c r="BA207" s="3096"/>
      <c r="BB207" s="3096"/>
      <c r="BC207" s="3096"/>
      <c r="BD207" s="3096"/>
      <c r="BE207" s="3096"/>
      <c r="BF207" s="3096"/>
      <c r="BG207" s="3096"/>
      <c r="BH207" s="3314"/>
      <c r="BI207" s="3314"/>
      <c r="BJ207" s="3316"/>
      <c r="BK207" s="3327"/>
      <c r="BL207" s="3327"/>
      <c r="BM207" s="3330"/>
      <c r="BN207" s="3333"/>
      <c r="BO207" s="3321"/>
      <c r="BP207" s="2723"/>
      <c r="BQ207" s="3316"/>
      <c r="BR207" s="3316"/>
      <c r="BS207" s="3316"/>
      <c r="BT207" s="3316"/>
      <c r="BU207" s="3316"/>
    </row>
    <row r="208" spans="1:73" ht="30" x14ac:dyDescent="0.25">
      <c r="A208" s="2053"/>
      <c r="B208" s="2921"/>
      <c r="C208" s="2007"/>
      <c r="D208" s="2008"/>
      <c r="E208" s="3030"/>
      <c r="F208" s="3030"/>
      <c r="G208" s="3248"/>
      <c r="H208" s="3303"/>
      <c r="I208" s="3248"/>
      <c r="J208" s="3303"/>
      <c r="K208" s="2957"/>
      <c r="L208" s="3290"/>
      <c r="M208" s="2957"/>
      <c r="N208" s="3290"/>
      <c r="O208" s="3026"/>
      <c r="P208" s="3026"/>
      <c r="Q208" s="2943"/>
      <c r="R208" s="3292"/>
      <c r="S208" s="3305"/>
      <c r="T208" s="3306"/>
      <c r="U208" s="3308"/>
      <c r="V208" s="3302"/>
      <c r="W208" s="2014" t="s">
        <v>3249</v>
      </c>
      <c r="X208" s="2009">
        <v>10000000</v>
      </c>
      <c r="Y208" s="2009">
        <v>9500000</v>
      </c>
      <c r="Z208" s="2009">
        <v>7780000</v>
      </c>
      <c r="AA208" s="1708" t="s">
        <v>3233</v>
      </c>
      <c r="AB208" s="2131">
        <v>20</v>
      </c>
      <c r="AC208" s="1710" t="s">
        <v>734</v>
      </c>
      <c r="AD208" s="3096"/>
      <c r="AE208" s="3096"/>
      <c r="AF208" s="3096"/>
      <c r="AG208" s="3096"/>
      <c r="AH208" s="3096"/>
      <c r="AI208" s="3096"/>
      <c r="AJ208" s="3096"/>
      <c r="AK208" s="3096"/>
      <c r="AL208" s="3096"/>
      <c r="AM208" s="3096"/>
      <c r="AN208" s="3096"/>
      <c r="AO208" s="3096"/>
      <c r="AP208" s="3096"/>
      <c r="AQ208" s="3096"/>
      <c r="AR208" s="3096"/>
      <c r="AS208" s="3096"/>
      <c r="AT208" s="3096"/>
      <c r="AU208" s="3096"/>
      <c r="AV208" s="3096"/>
      <c r="AW208" s="3096"/>
      <c r="AX208" s="3096"/>
      <c r="AY208" s="3096"/>
      <c r="AZ208" s="3096"/>
      <c r="BA208" s="3096"/>
      <c r="BB208" s="3096"/>
      <c r="BC208" s="3096"/>
      <c r="BD208" s="3096"/>
      <c r="BE208" s="3096"/>
      <c r="BF208" s="3096"/>
      <c r="BG208" s="3096"/>
      <c r="BH208" s="3314"/>
      <c r="BI208" s="3314"/>
      <c r="BJ208" s="3316"/>
      <c r="BK208" s="3327"/>
      <c r="BL208" s="3327"/>
      <c r="BM208" s="3330"/>
      <c r="BN208" s="3333"/>
      <c r="BO208" s="3321"/>
      <c r="BP208" s="2723"/>
      <c r="BQ208" s="3316"/>
      <c r="BR208" s="3316"/>
      <c r="BS208" s="3316"/>
      <c r="BT208" s="3316"/>
      <c r="BU208" s="3316"/>
    </row>
    <row r="209" spans="1:73" ht="42.75" customHeight="1" x14ac:dyDescent="0.25">
      <c r="A209" s="2053"/>
      <c r="B209" s="2921"/>
      <c r="C209" s="2007"/>
      <c r="D209" s="2008"/>
      <c r="E209" s="3030"/>
      <c r="F209" s="3030"/>
      <c r="G209" s="3251" t="s">
        <v>74</v>
      </c>
      <c r="H209" s="3249" t="s">
        <v>3250</v>
      </c>
      <c r="I209" s="3251">
        <v>4502001</v>
      </c>
      <c r="J209" s="3249" t="s">
        <v>145</v>
      </c>
      <c r="K209" s="3251" t="s">
        <v>74</v>
      </c>
      <c r="L209" s="3223" t="s">
        <v>3251</v>
      </c>
      <c r="M209" s="3025">
        <v>450200111</v>
      </c>
      <c r="N209" s="3223" t="s">
        <v>3252</v>
      </c>
      <c r="O209" s="3025">
        <v>1</v>
      </c>
      <c r="P209" s="3025">
        <v>1</v>
      </c>
      <c r="Q209" s="2943"/>
      <c r="R209" s="3292"/>
      <c r="S209" s="3310">
        <f>SUM(X209:X213)/T193</f>
        <v>0.21252227782972752</v>
      </c>
      <c r="T209" s="3307"/>
      <c r="U209" s="3308"/>
      <c r="V209" s="3302"/>
      <c r="W209" s="2014" t="s">
        <v>3253</v>
      </c>
      <c r="X209" s="2009">
        <v>30000000</v>
      </c>
      <c r="Y209" s="2009">
        <v>14040000</v>
      </c>
      <c r="Z209" s="2009">
        <v>14040000</v>
      </c>
      <c r="AA209" s="1708" t="s">
        <v>3254</v>
      </c>
      <c r="AB209" s="2131">
        <v>20</v>
      </c>
      <c r="AC209" s="1710" t="s">
        <v>734</v>
      </c>
      <c r="AD209" s="3096"/>
      <c r="AE209" s="3096"/>
      <c r="AF209" s="3096"/>
      <c r="AG209" s="3096"/>
      <c r="AH209" s="3096"/>
      <c r="AI209" s="3096"/>
      <c r="AJ209" s="3096"/>
      <c r="AK209" s="3096"/>
      <c r="AL209" s="3096"/>
      <c r="AM209" s="3096"/>
      <c r="AN209" s="3096"/>
      <c r="AO209" s="3096"/>
      <c r="AP209" s="3096"/>
      <c r="AQ209" s="3096"/>
      <c r="AR209" s="3096"/>
      <c r="AS209" s="3096"/>
      <c r="AT209" s="3096"/>
      <c r="AU209" s="3096"/>
      <c r="AV209" s="3096"/>
      <c r="AW209" s="3096"/>
      <c r="AX209" s="3096"/>
      <c r="AY209" s="3096"/>
      <c r="AZ209" s="3096"/>
      <c r="BA209" s="3096"/>
      <c r="BB209" s="3096"/>
      <c r="BC209" s="3096"/>
      <c r="BD209" s="3096"/>
      <c r="BE209" s="3096"/>
      <c r="BF209" s="3096"/>
      <c r="BG209" s="3096"/>
      <c r="BH209" s="3314"/>
      <c r="BI209" s="3314"/>
      <c r="BJ209" s="3316"/>
      <c r="BK209" s="3327"/>
      <c r="BL209" s="3327"/>
      <c r="BM209" s="3330"/>
      <c r="BN209" s="3333"/>
      <c r="BO209" s="3321"/>
      <c r="BP209" s="2723"/>
      <c r="BQ209" s="3316"/>
      <c r="BR209" s="3316"/>
      <c r="BS209" s="3316"/>
      <c r="BT209" s="3316"/>
      <c r="BU209" s="3316"/>
    </row>
    <row r="210" spans="1:73" ht="45" x14ac:dyDescent="0.25">
      <c r="A210" s="2053"/>
      <c r="B210" s="2921"/>
      <c r="C210" s="2007"/>
      <c r="D210" s="2008"/>
      <c r="E210" s="3030"/>
      <c r="F210" s="3030"/>
      <c r="G210" s="3251"/>
      <c r="H210" s="3250"/>
      <c r="I210" s="3251"/>
      <c r="J210" s="3250"/>
      <c r="K210" s="3251"/>
      <c r="L210" s="2912"/>
      <c r="M210" s="2943"/>
      <c r="N210" s="2912"/>
      <c r="O210" s="2943"/>
      <c r="P210" s="2943"/>
      <c r="Q210" s="2943"/>
      <c r="R210" s="3292"/>
      <c r="S210" s="3299"/>
      <c r="T210" s="3307"/>
      <c r="U210" s="3308"/>
      <c r="V210" s="3302"/>
      <c r="W210" s="2014" t="s">
        <v>3255</v>
      </c>
      <c r="X210" s="2009">
        <v>30000000</v>
      </c>
      <c r="Y210" s="2009">
        <v>3000000</v>
      </c>
      <c r="Z210" s="2009">
        <v>3000000</v>
      </c>
      <c r="AA210" s="1708" t="s">
        <v>3254</v>
      </c>
      <c r="AB210" s="2131">
        <v>20</v>
      </c>
      <c r="AC210" s="1710" t="s">
        <v>734</v>
      </c>
      <c r="AD210" s="3096"/>
      <c r="AE210" s="3096"/>
      <c r="AF210" s="3096"/>
      <c r="AG210" s="3096"/>
      <c r="AH210" s="3096"/>
      <c r="AI210" s="3096"/>
      <c r="AJ210" s="3096"/>
      <c r="AK210" s="3096"/>
      <c r="AL210" s="3096"/>
      <c r="AM210" s="3096"/>
      <c r="AN210" s="3096"/>
      <c r="AO210" s="3096"/>
      <c r="AP210" s="3096"/>
      <c r="AQ210" s="3096"/>
      <c r="AR210" s="3096"/>
      <c r="AS210" s="3096"/>
      <c r="AT210" s="3096"/>
      <c r="AU210" s="3096"/>
      <c r="AV210" s="3096"/>
      <c r="AW210" s="3096"/>
      <c r="AX210" s="3096"/>
      <c r="AY210" s="3096"/>
      <c r="AZ210" s="3096"/>
      <c r="BA210" s="3096"/>
      <c r="BB210" s="3096"/>
      <c r="BC210" s="3096"/>
      <c r="BD210" s="3096"/>
      <c r="BE210" s="3096"/>
      <c r="BF210" s="3096"/>
      <c r="BG210" s="3096"/>
      <c r="BH210" s="3314"/>
      <c r="BI210" s="3314"/>
      <c r="BJ210" s="3316"/>
      <c r="BK210" s="3327"/>
      <c r="BL210" s="3327"/>
      <c r="BM210" s="3330"/>
      <c r="BN210" s="3333"/>
      <c r="BO210" s="3321"/>
      <c r="BP210" s="2723"/>
      <c r="BQ210" s="3316"/>
      <c r="BR210" s="3316"/>
      <c r="BS210" s="3316"/>
      <c r="BT210" s="3316"/>
      <c r="BU210" s="3316"/>
    </row>
    <row r="211" spans="1:73" ht="40.5" customHeight="1" x14ac:dyDescent="0.25">
      <c r="A211" s="2053"/>
      <c r="B211" s="2921"/>
      <c r="C211" s="2007"/>
      <c r="D211" s="2008"/>
      <c r="E211" s="3030"/>
      <c r="F211" s="3030"/>
      <c r="G211" s="3251"/>
      <c r="H211" s="3250"/>
      <c r="I211" s="3251"/>
      <c r="J211" s="3250"/>
      <c r="K211" s="3251"/>
      <c r="L211" s="2912"/>
      <c r="M211" s="2943"/>
      <c r="N211" s="2912"/>
      <c r="O211" s="2943"/>
      <c r="P211" s="2943"/>
      <c r="Q211" s="2943"/>
      <c r="R211" s="3292"/>
      <c r="S211" s="3299"/>
      <c r="T211" s="3307"/>
      <c r="U211" s="3308"/>
      <c r="V211" s="3302"/>
      <c r="W211" s="3317" t="s">
        <v>3256</v>
      </c>
      <c r="X211" s="2009">
        <f>5000000-3000000</f>
        <v>2000000</v>
      </c>
      <c r="Y211" s="2009">
        <v>0</v>
      </c>
      <c r="Z211" s="2009">
        <v>0</v>
      </c>
      <c r="AA211" s="1708" t="s">
        <v>3254</v>
      </c>
      <c r="AB211" s="3311">
        <v>20</v>
      </c>
      <c r="AC211" s="3312" t="s">
        <v>734</v>
      </c>
      <c r="AD211" s="3096"/>
      <c r="AE211" s="3096"/>
      <c r="AF211" s="3096"/>
      <c r="AG211" s="3096"/>
      <c r="AH211" s="3096"/>
      <c r="AI211" s="3096"/>
      <c r="AJ211" s="3096"/>
      <c r="AK211" s="3096"/>
      <c r="AL211" s="3096"/>
      <c r="AM211" s="3096"/>
      <c r="AN211" s="3096"/>
      <c r="AO211" s="3096"/>
      <c r="AP211" s="3096"/>
      <c r="AQ211" s="3096"/>
      <c r="AR211" s="3096"/>
      <c r="AS211" s="3096"/>
      <c r="AT211" s="3096"/>
      <c r="AU211" s="3096"/>
      <c r="AV211" s="3096"/>
      <c r="AW211" s="3096"/>
      <c r="AX211" s="3096"/>
      <c r="AY211" s="3096"/>
      <c r="AZ211" s="3096"/>
      <c r="BA211" s="3096"/>
      <c r="BB211" s="3096"/>
      <c r="BC211" s="3096"/>
      <c r="BD211" s="3096"/>
      <c r="BE211" s="3096"/>
      <c r="BF211" s="3096"/>
      <c r="BG211" s="3096"/>
      <c r="BH211" s="3314"/>
      <c r="BI211" s="3314"/>
      <c r="BJ211" s="3316"/>
      <c r="BK211" s="3327"/>
      <c r="BL211" s="3327"/>
      <c r="BM211" s="3330"/>
      <c r="BN211" s="3333"/>
      <c r="BO211" s="3321"/>
      <c r="BP211" s="2723"/>
      <c r="BQ211" s="3316"/>
      <c r="BR211" s="3316"/>
      <c r="BS211" s="3316"/>
      <c r="BT211" s="3316"/>
      <c r="BU211" s="3316"/>
    </row>
    <row r="212" spans="1:73" ht="50.25" customHeight="1" x14ac:dyDescent="0.25">
      <c r="A212" s="2053"/>
      <c r="B212" s="2921"/>
      <c r="C212" s="2007"/>
      <c r="D212" s="2008"/>
      <c r="E212" s="3030"/>
      <c r="F212" s="3030"/>
      <c r="G212" s="3251"/>
      <c r="H212" s="3250"/>
      <c r="I212" s="3251"/>
      <c r="J212" s="3250"/>
      <c r="K212" s="3251"/>
      <c r="L212" s="2912"/>
      <c r="M212" s="2943"/>
      <c r="N212" s="2912"/>
      <c r="O212" s="2943"/>
      <c r="P212" s="2943"/>
      <c r="Q212" s="2943"/>
      <c r="R212" s="3292"/>
      <c r="S212" s="3300"/>
      <c r="T212" s="3307"/>
      <c r="U212" s="3308"/>
      <c r="V212" s="3302"/>
      <c r="W212" s="3319"/>
      <c r="X212" s="2009">
        <v>5000000</v>
      </c>
      <c r="Y212" s="2009">
        <v>0</v>
      </c>
      <c r="Z212" s="2009">
        <v>0</v>
      </c>
      <c r="AA212" s="1708" t="s">
        <v>3257</v>
      </c>
      <c r="AB212" s="3311"/>
      <c r="AC212" s="3312"/>
      <c r="AD212" s="3096"/>
      <c r="AE212" s="3096"/>
      <c r="AF212" s="3096"/>
      <c r="AG212" s="3096"/>
      <c r="AH212" s="3096"/>
      <c r="AI212" s="3096"/>
      <c r="AJ212" s="3096"/>
      <c r="AK212" s="3096"/>
      <c r="AL212" s="3096"/>
      <c r="AM212" s="3096"/>
      <c r="AN212" s="3096"/>
      <c r="AO212" s="3096"/>
      <c r="AP212" s="3096"/>
      <c r="AQ212" s="3096"/>
      <c r="AR212" s="3096"/>
      <c r="AS212" s="3096"/>
      <c r="AT212" s="3096"/>
      <c r="AU212" s="3096"/>
      <c r="AV212" s="3096"/>
      <c r="AW212" s="3096"/>
      <c r="AX212" s="3096"/>
      <c r="AY212" s="3096"/>
      <c r="AZ212" s="3096"/>
      <c r="BA212" s="3096"/>
      <c r="BB212" s="3096"/>
      <c r="BC212" s="3096"/>
      <c r="BD212" s="3096"/>
      <c r="BE212" s="3096"/>
      <c r="BF212" s="3096"/>
      <c r="BG212" s="3096"/>
      <c r="BH212" s="3314"/>
      <c r="BI212" s="3314"/>
      <c r="BJ212" s="3316"/>
      <c r="BK212" s="3327"/>
      <c r="BL212" s="3327"/>
      <c r="BM212" s="3330"/>
      <c r="BN212" s="3333"/>
      <c r="BO212" s="3321"/>
      <c r="BP212" s="2723"/>
      <c r="BQ212" s="3316"/>
      <c r="BR212" s="3316"/>
      <c r="BS212" s="3316"/>
      <c r="BT212" s="3316"/>
      <c r="BU212" s="3316"/>
    </row>
    <row r="213" spans="1:73" ht="45" customHeight="1" x14ac:dyDescent="0.25">
      <c r="A213" s="2053"/>
      <c r="B213" s="2921"/>
      <c r="C213" s="2007"/>
      <c r="D213" s="2008"/>
      <c r="E213" s="3030"/>
      <c r="F213" s="3030"/>
      <c r="G213" s="3251"/>
      <c r="H213" s="3303"/>
      <c r="I213" s="3251"/>
      <c r="J213" s="3303"/>
      <c r="K213" s="3251"/>
      <c r="L213" s="3290"/>
      <c r="M213" s="3026"/>
      <c r="N213" s="3290"/>
      <c r="O213" s="3026"/>
      <c r="P213" s="3026"/>
      <c r="Q213" s="2943"/>
      <c r="R213" s="3292"/>
      <c r="S213" s="3300"/>
      <c r="T213" s="3307"/>
      <c r="U213" s="3308"/>
      <c r="V213" s="3302"/>
      <c r="W213" s="3319"/>
      <c r="X213" s="2009">
        <f>3000000+3000000</f>
        <v>6000000</v>
      </c>
      <c r="Y213" s="2009">
        <v>3000000</v>
      </c>
      <c r="Z213" s="2009">
        <v>0</v>
      </c>
      <c r="AA213" s="1708" t="s">
        <v>3258</v>
      </c>
      <c r="AB213" s="3311"/>
      <c r="AC213" s="3312"/>
      <c r="AD213" s="3096"/>
      <c r="AE213" s="3096"/>
      <c r="AF213" s="3096"/>
      <c r="AG213" s="3096"/>
      <c r="AH213" s="3096"/>
      <c r="AI213" s="3096"/>
      <c r="AJ213" s="3096"/>
      <c r="AK213" s="3096"/>
      <c r="AL213" s="3096"/>
      <c r="AM213" s="3096"/>
      <c r="AN213" s="3096"/>
      <c r="AO213" s="3096"/>
      <c r="AP213" s="3096"/>
      <c r="AQ213" s="3096"/>
      <c r="AR213" s="3096"/>
      <c r="AS213" s="3096"/>
      <c r="AT213" s="3096"/>
      <c r="AU213" s="3096"/>
      <c r="AV213" s="3096"/>
      <c r="AW213" s="3096"/>
      <c r="AX213" s="3096"/>
      <c r="AY213" s="3096"/>
      <c r="AZ213" s="3096"/>
      <c r="BA213" s="3096"/>
      <c r="BB213" s="3096"/>
      <c r="BC213" s="3096"/>
      <c r="BD213" s="3096"/>
      <c r="BE213" s="3096"/>
      <c r="BF213" s="3096"/>
      <c r="BG213" s="3096"/>
      <c r="BH213" s="3314"/>
      <c r="BI213" s="3314"/>
      <c r="BJ213" s="3316"/>
      <c r="BK213" s="3327"/>
      <c r="BL213" s="3327"/>
      <c r="BM213" s="3330"/>
      <c r="BN213" s="3333"/>
      <c r="BO213" s="3321"/>
      <c r="BP213" s="2723"/>
      <c r="BQ213" s="3316"/>
      <c r="BR213" s="3316"/>
      <c r="BS213" s="3316"/>
      <c r="BT213" s="3316"/>
      <c r="BU213" s="3316"/>
    </row>
    <row r="214" spans="1:73" ht="42.75" customHeight="1" x14ac:dyDescent="0.25">
      <c r="A214" s="2053"/>
      <c r="B214" s="2921"/>
      <c r="C214" s="2007"/>
      <c r="D214" s="2008"/>
      <c r="E214" s="3030"/>
      <c r="F214" s="3030"/>
      <c r="G214" s="2259" t="s">
        <v>74</v>
      </c>
      <c r="H214" s="3339" t="s">
        <v>3259</v>
      </c>
      <c r="I214" s="2259">
        <v>452001</v>
      </c>
      <c r="J214" s="3341" t="s">
        <v>3260</v>
      </c>
      <c r="K214" s="3344" t="s">
        <v>74</v>
      </c>
      <c r="L214" s="3223" t="s">
        <v>3261</v>
      </c>
      <c r="M214" s="3025">
        <v>45200109</v>
      </c>
      <c r="N214" s="3223" t="s">
        <v>3262</v>
      </c>
      <c r="O214" s="3025">
        <v>12</v>
      </c>
      <c r="P214" s="3025">
        <v>12</v>
      </c>
      <c r="Q214" s="2943"/>
      <c r="R214" s="3292"/>
      <c r="S214" s="3335">
        <f>SUM(X214:X222)/SUM(T193:T226)</f>
        <v>0.20638941183036003</v>
      </c>
      <c r="T214" s="3307"/>
      <c r="U214" s="3308"/>
      <c r="V214" s="3309"/>
      <c r="W214" s="3293" t="s">
        <v>3263</v>
      </c>
      <c r="X214" s="1653">
        <v>15000000</v>
      </c>
      <c r="Y214" s="1653">
        <v>14000000</v>
      </c>
      <c r="Z214" s="1653">
        <v>14000000</v>
      </c>
      <c r="AA214" s="1708" t="s">
        <v>3264</v>
      </c>
      <c r="AB214" s="2131">
        <v>20</v>
      </c>
      <c r="AC214" s="1710" t="s">
        <v>734</v>
      </c>
      <c r="AD214" s="3096"/>
      <c r="AE214" s="3096"/>
      <c r="AF214" s="3096"/>
      <c r="AG214" s="3096"/>
      <c r="AH214" s="3096"/>
      <c r="AI214" s="3096"/>
      <c r="AJ214" s="3096"/>
      <c r="AK214" s="3096"/>
      <c r="AL214" s="3096"/>
      <c r="AM214" s="3096"/>
      <c r="AN214" s="3096"/>
      <c r="AO214" s="3096"/>
      <c r="AP214" s="3096"/>
      <c r="AQ214" s="3096"/>
      <c r="AR214" s="3096"/>
      <c r="AS214" s="3096"/>
      <c r="AT214" s="3096"/>
      <c r="AU214" s="3096"/>
      <c r="AV214" s="3096"/>
      <c r="AW214" s="3096"/>
      <c r="AX214" s="3096"/>
      <c r="AY214" s="3096"/>
      <c r="AZ214" s="3096"/>
      <c r="BA214" s="3096"/>
      <c r="BB214" s="3096"/>
      <c r="BC214" s="3096"/>
      <c r="BD214" s="3096"/>
      <c r="BE214" s="3096"/>
      <c r="BF214" s="3096"/>
      <c r="BG214" s="3096"/>
      <c r="BH214" s="3314"/>
      <c r="BI214" s="3314"/>
      <c r="BJ214" s="3316"/>
      <c r="BK214" s="3327"/>
      <c r="BL214" s="3327"/>
      <c r="BM214" s="3330"/>
      <c r="BN214" s="3333"/>
      <c r="BO214" s="3321"/>
      <c r="BP214" s="2723"/>
      <c r="BQ214" s="3316"/>
      <c r="BR214" s="3316"/>
      <c r="BS214" s="3316"/>
      <c r="BT214" s="3316"/>
      <c r="BU214" s="3316"/>
    </row>
    <row r="215" spans="1:73" ht="42.75" customHeight="1" x14ac:dyDescent="0.25">
      <c r="A215" s="2053"/>
      <c r="B215" s="2921"/>
      <c r="C215" s="2007"/>
      <c r="D215" s="2008"/>
      <c r="E215" s="3030"/>
      <c r="F215" s="3030"/>
      <c r="G215" s="2260"/>
      <c r="H215" s="3302"/>
      <c r="I215" s="2260"/>
      <c r="J215" s="3342"/>
      <c r="K215" s="2943"/>
      <c r="L215" s="2912"/>
      <c r="M215" s="2943"/>
      <c r="N215" s="2912"/>
      <c r="O215" s="2943"/>
      <c r="P215" s="2943"/>
      <c r="Q215" s="2943"/>
      <c r="R215" s="3292"/>
      <c r="S215" s="3336"/>
      <c r="T215" s="3307"/>
      <c r="U215" s="3308"/>
      <c r="V215" s="3309"/>
      <c r="W215" s="3293"/>
      <c r="X215" s="1653">
        <v>16000000</v>
      </c>
      <c r="Y215" s="1653">
        <v>8790000</v>
      </c>
      <c r="Z215" s="1653">
        <v>0</v>
      </c>
      <c r="AA215" s="1708" t="s">
        <v>3265</v>
      </c>
      <c r="AB215" s="2131">
        <v>88</v>
      </c>
      <c r="AC215" s="1710" t="s">
        <v>2980</v>
      </c>
      <c r="AD215" s="3096"/>
      <c r="AE215" s="3096"/>
      <c r="AF215" s="3096"/>
      <c r="AG215" s="3096"/>
      <c r="AH215" s="3096"/>
      <c r="AI215" s="3096"/>
      <c r="AJ215" s="3096"/>
      <c r="AK215" s="3096"/>
      <c r="AL215" s="3096"/>
      <c r="AM215" s="3096"/>
      <c r="AN215" s="3096"/>
      <c r="AO215" s="3096"/>
      <c r="AP215" s="3096"/>
      <c r="AQ215" s="3096"/>
      <c r="AR215" s="3096"/>
      <c r="AS215" s="3096"/>
      <c r="AT215" s="3096"/>
      <c r="AU215" s="3096"/>
      <c r="AV215" s="3096"/>
      <c r="AW215" s="3096"/>
      <c r="AX215" s="3096"/>
      <c r="AY215" s="3096"/>
      <c r="AZ215" s="3096"/>
      <c r="BA215" s="3096"/>
      <c r="BB215" s="3096"/>
      <c r="BC215" s="3096"/>
      <c r="BD215" s="3096"/>
      <c r="BE215" s="3096"/>
      <c r="BF215" s="3096"/>
      <c r="BG215" s="3096"/>
      <c r="BH215" s="3314"/>
      <c r="BI215" s="3314"/>
      <c r="BJ215" s="3316"/>
      <c r="BK215" s="3327"/>
      <c r="BL215" s="3327"/>
      <c r="BM215" s="3330"/>
      <c r="BN215" s="3333"/>
      <c r="BO215" s="3321"/>
      <c r="BP215" s="2723"/>
      <c r="BQ215" s="3316"/>
      <c r="BR215" s="3316"/>
      <c r="BS215" s="3316"/>
      <c r="BT215" s="3316"/>
      <c r="BU215" s="3316"/>
    </row>
    <row r="216" spans="1:73" ht="30.75" customHeight="1" x14ac:dyDescent="0.25">
      <c r="A216" s="2053"/>
      <c r="B216" s="2921"/>
      <c r="C216" s="2007"/>
      <c r="D216" s="2008"/>
      <c r="E216" s="3030"/>
      <c r="F216" s="3030"/>
      <c r="G216" s="2260"/>
      <c r="H216" s="3302"/>
      <c r="I216" s="2260"/>
      <c r="J216" s="3342"/>
      <c r="K216" s="2943"/>
      <c r="L216" s="2912"/>
      <c r="M216" s="2943"/>
      <c r="N216" s="2912"/>
      <c r="O216" s="2943"/>
      <c r="P216" s="2943"/>
      <c r="Q216" s="2943"/>
      <c r="R216" s="3292"/>
      <c r="S216" s="3336"/>
      <c r="T216" s="3307"/>
      <c r="U216" s="3308"/>
      <c r="V216" s="3302"/>
      <c r="W216" s="3294" t="s">
        <v>3266</v>
      </c>
      <c r="X216" s="1653">
        <v>1000000</v>
      </c>
      <c r="Y216" s="1653">
        <v>0</v>
      </c>
      <c r="Z216" s="1653">
        <v>0</v>
      </c>
      <c r="AA216" s="1708" t="s">
        <v>3267</v>
      </c>
      <c r="AB216" s="3311">
        <v>20</v>
      </c>
      <c r="AC216" s="3312" t="s">
        <v>734</v>
      </c>
      <c r="AD216" s="3096"/>
      <c r="AE216" s="3096"/>
      <c r="AF216" s="3096"/>
      <c r="AG216" s="3096"/>
      <c r="AH216" s="3096"/>
      <c r="AI216" s="3096"/>
      <c r="AJ216" s="3096"/>
      <c r="AK216" s="3096"/>
      <c r="AL216" s="3096"/>
      <c r="AM216" s="3096"/>
      <c r="AN216" s="3096"/>
      <c r="AO216" s="3096"/>
      <c r="AP216" s="3096"/>
      <c r="AQ216" s="3096"/>
      <c r="AR216" s="3096"/>
      <c r="AS216" s="3096"/>
      <c r="AT216" s="3096"/>
      <c r="AU216" s="3096"/>
      <c r="AV216" s="3096"/>
      <c r="AW216" s="3096"/>
      <c r="AX216" s="3096"/>
      <c r="AY216" s="3096"/>
      <c r="AZ216" s="3096"/>
      <c r="BA216" s="3096"/>
      <c r="BB216" s="3096"/>
      <c r="BC216" s="3096"/>
      <c r="BD216" s="3096"/>
      <c r="BE216" s="3096"/>
      <c r="BF216" s="3096"/>
      <c r="BG216" s="3096"/>
      <c r="BH216" s="3314"/>
      <c r="BI216" s="3314"/>
      <c r="BJ216" s="3316"/>
      <c r="BK216" s="3327"/>
      <c r="BL216" s="3327"/>
      <c r="BM216" s="3330"/>
      <c r="BN216" s="3333"/>
      <c r="BO216" s="3321"/>
      <c r="BP216" s="2723"/>
      <c r="BQ216" s="3316"/>
      <c r="BR216" s="3316"/>
      <c r="BS216" s="3316"/>
      <c r="BT216" s="3316"/>
      <c r="BU216" s="3316"/>
    </row>
    <row r="217" spans="1:73" ht="43.5" customHeight="1" x14ac:dyDescent="0.25">
      <c r="A217" s="2053"/>
      <c r="B217" s="2921"/>
      <c r="C217" s="2007"/>
      <c r="D217" s="2008"/>
      <c r="E217" s="3030"/>
      <c r="F217" s="3030"/>
      <c r="G217" s="2260"/>
      <c r="H217" s="3302"/>
      <c r="I217" s="2260"/>
      <c r="J217" s="3342"/>
      <c r="K217" s="2943"/>
      <c r="L217" s="2912"/>
      <c r="M217" s="2943"/>
      <c r="N217" s="2912"/>
      <c r="O217" s="2943"/>
      <c r="P217" s="2943"/>
      <c r="Q217" s="2943"/>
      <c r="R217" s="3292"/>
      <c r="S217" s="3336"/>
      <c r="T217" s="3307"/>
      <c r="U217" s="3308"/>
      <c r="V217" s="3302"/>
      <c r="W217" s="3295"/>
      <c r="X217" s="1653">
        <v>1000000</v>
      </c>
      <c r="Y217" s="1653">
        <v>0</v>
      </c>
      <c r="Z217" s="1653">
        <v>0</v>
      </c>
      <c r="AA217" s="1708" t="s">
        <v>3264</v>
      </c>
      <c r="AB217" s="3311"/>
      <c r="AC217" s="3312"/>
      <c r="AD217" s="3096"/>
      <c r="AE217" s="3096"/>
      <c r="AF217" s="3096"/>
      <c r="AG217" s="3096"/>
      <c r="AH217" s="3096"/>
      <c r="AI217" s="3096"/>
      <c r="AJ217" s="3096"/>
      <c r="AK217" s="3096"/>
      <c r="AL217" s="3096"/>
      <c r="AM217" s="3096"/>
      <c r="AN217" s="3096"/>
      <c r="AO217" s="3096"/>
      <c r="AP217" s="3096"/>
      <c r="AQ217" s="3096"/>
      <c r="AR217" s="3096"/>
      <c r="AS217" s="3096"/>
      <c r="AT217" s="3096"/>
      <c r="AU217" s="3096"/>
      <c r="AV217" s="3096"/>
      <c r="AW217" s="3096"/>
      <c r="AX217" s="3096"/>
      <c r="AY217" s="3096"/>
      <c r="AZ217" s="3096"/>
      <c r="BA217" s="3096"/>
      <c r="BB217" s="3096"/>
      <c r="BC217" s="3096"/>
      <c r="BD217" s="3096"/>
      <c r="BE217" s="3096"/>
      <c r="BF217" s="3096"/>
      <c r="BG217" s="3096"/>
      <c r="BH217" s="3314"/>
      <c r="BI217" s="3314"/>
      <c r="BJ217" s="3316"/>
      <c r="BK217" s="3327"/>
      <c r="BL217" s="3327"/>
      <c r="BM217" s="3330"/>
      <c r="BN217" s="3333"/>
      <c r="BO217" s="3321"/>
      <c r="BP217" s="2723"/>
      <c r="BQ217" s="3316"/>
      <c r="BR217" s="3316"/>
      <c r="BS217" s="3316"/>
      <c r="BT217" s="3316"/>
      <c r="BU217" s="3316"/>
    </row>
    <row r="218" spans="1:73" ht="42" customHeight="1" x14ac:dyDescent="0.25">
      <c r="A218" s="2053"/>
      <c r="B218" s="2921"/>
      <c r="C218" s="2007"/>
      <c r="D218" s="2008"/>
      <c r="E218" s="3030"/>
      <c r="F218" s="3030"/>
      <c r="G218" s="2260"/>
      <c r="H218" s="3302"/>
      <c r="I218" s="2260"/>
      <c r="J218" s="3342"/>
      <c r="K218" s="2943"/>
      <c r="L218" s="2912"/>
      <c r="M218" s="2943"/>
      <c r="N218" s="2912"/>
      <c r="O218" s="2943"/>
      <c r="P218" s="2943"/>
      <c r="Q218" s="2943"/>
      <c r="R218" s="3292"/>
      <c r="S218" s="3336"/>
      <c r="T218" s="3307"/>
      <c r="U218" s="3308"/>
      <c r="V218" s="3302"/>
      <c r="W218" s="2134" t="s">
        <v>3268</v>
      </c>
      <c r="X218" s="1653">
        <v>7500000</v>
      </c>
      <c r="Y218" s="1653">
        <v>2500000</v>
      </c>
      <c r="Z218" s="1653">
        <v>500000</v>
      </c>
      <c r="AA218" s="1708" t="s">
        <v>3264</v>
      </c>
      <c r="AB218" s="2135">
        <v>20</v>
      </c>
      <c r="AC218" s="1710" t="s">
        <v>734</v>
      </c>
      <c r="AD218" s="3096"/>
      <c r="AE218" s="3096"/>
      <c r="AF218" s="3096"/>
      <c r="AG218" s="3096"/>
      <c r="AH218" s="3096"/>
      <c r="AI218" s="3096"/>
      <c r="AJ218" s="3096"/>
      <c r="AK218" s="3096"/>
      <c r="AL218" s="3096"/>
      <c r="AM218" s="3096"/>
      <c r="AN218" s="3096"/>
      <c r="AO218" s="3096"/>
      <c r="AP218" s="3096"/>
      <c r="AQ218" s="3096"/>
      <c r="AR218" s="3096"/>
      <c r="AS218" s="3096"/>
      <c r="AT218" s="3096"/>
      <c r="AU218" s="3096"/>
      <c r="AV218" s="3096"/>
      <c r="AW218" s="3096"/>
      <c r="AX218" s="3096"/>
      <c r="AY218" s="3096"/>
      <c r="AZ218" s="3096"/>
      <c r="BA218" s="3096"/>
      <c r="BB218" s="3096"/>
      <c r="BC218" s="3096"/>
      <c r="BD218" s="3096"/>
      <c r="BE218" s="3096"/>
      <c r="BF218" s="3096"/>
      <c r="BG218" s="3096"/>
      <c r="BH218" s="3314"/>
      <c r="BI218" s="3314"/>
      <c r="BJ218" s="3316"/>
      <c r="BK218" s="3327"/>
      <c r="BL218" s="3327"/>
      <c r="BM218" s="3330"/>
      <c r="BN218" s="3333"/>
      <c r="BO218" s="3321"/>
      <c r="BP218" s="2723"/>
      <c r="BQ218" s="3316"/>
      <c r="BR218" s="3316"/>
      <c r="BS218" s="3316"/>
      <c r="BT218" s="3316"/>
      <c r="BU218" s="3316"/>
    </row>
    <row r="219" spans="1:73" ht="42.75" customHeight="1" x14ac:dyDescent="0.25">
      <c r="A219" s="2053"/>
      <c r="B219" s="2921"/>
      <c r="C219" s="2007"/>
      <c r="D219" s="2008"/>
      <c r="E219" s="3030"/>
      <c r="F219" s="3030"/>
      <c r="G219" s="2260"/>
      <c r="H219" s="3302"/>
      <c r="I219" s="2260"/>
      <c r="J219" s="3342"/>
      <c r="K219" s="2943"/>
      <c r="L219" s="2912"/>
      <c r="M219" s="2943"/>
      <c r="N219" s="2912"/>
      <c r="O219" s="2943"/>
      <c r="P219" s="2943"/>
      <c r="Q219" s="2943"/>
      <c r="R219" s="3292"/>
      <c r="S219" s="3336"/>
      <c r="T219" s="3307"/>
      <c r="U219" s="3308"/>
      <c r="V219" s="3302"/>
      <c r="W219" s="2134" t="s">
        <v>3269</v>
      </c>
      <c r="X219" s="1653">
        <v>500000</v>
      </c>
      <c r="Y219" s="1653"/>
      <c r="Z219" s="1653"/>
      <c r="AA219" s="1708" t="s">
        <v>3264</v>
      </c>
      <c r="AB219" s="2136">
        <v>20</v>
      </c>
      <c r="AC219" s="1710" t="s">
        <v>734</v>
      </c>
      <c r="AD219" s="3096"/>
      <c r="AE219" s="3096"/>
      <c r="AF219" s="3096"/>
      <c r="AG219" s="3096"/>
      <c r="AH219" s="3096"/>
      <c r="AI219" s="3096"/>
      <c r="AJ219" s="3096"/>
      <c r="AK219" s="3096"/>
      <c r="AL219" s="3096"/>
      <c r="AM219" s="3096"/>
      <c r="AN219" s="3096"/>
      <c r="AO219" s="3096"/>
      <c r="AP219" s="3096"/>
      <c r="AQ219" s="3096"/>
      <c r="AR219" s="3096"/>
      <c r="AS219" s="3096"/>
      <c r="AT219" s="3096"/>
      <c r="AU219" s="3096"/>
      <c r="AV219" s="3096"/>
      <c r="AW219" s="3096"/>
      <c r="AX219" s="3096"/>
      <c r="AY219" s="3096"/>
      <c r="AZ219" s="3096"/>
      <c r="BA219" s="3096"/>
      <c r="BB219" s="3096"/>
      <c r="BC219" s="3096"/>
      <c r="BD219" s="3096"/>
      <c r="BE219" s="3096"/>
      <c r="BF219" s="3096"/>
      <c r="BG219" s="3096"/>
      <c r="BH219" s="3314"/>
      <c r="BI219" s="3314"/>
      <c r="BJ219" s="3316"/>
      <c r="BK219" s="3327"/>
      <c r="BL219" s="3327"/>
      <c r="BM219" s="3330"/>
      <c r="BN219" s="3333"/>
      <c r="BO219" s="3321"/>
      <c r="BP219" s="2723"/>
      <c r="BQ219" s="3316"/>
      <c r="BR219" s="3316"/>
      <c r="BS219" s="3316"/>
      <c r="BT219" s="3316"/>
      <c r="BU219" s="3316"/>
    </row>
    <row r="220" spans="1:73" ht="57" customHeight="1" x14ac:dyDescent="0.25">
      <c r="A220" s="2053"/>
      <c r="B220" s="2921"/>
      <c r="C220" s="2007"/>
      <c r="D220" s="2008"/>
      <c r="E220" s="3030"/>
      <c r="F220" s="3030"/>
      <c r="G220" s="2260"/>
      <c r="H220" s="3302"/>
      <c r="I220" s="2260"/>
      <c r="J220" s="3342"/>
      <c r="K220" s="2943"/>
      <c r="L220" s="2912"/>
      <c r="M220" s="2943"/>
      <c r="N220" s="2912"/>
      <c r="O220" s="2943"/>
      <c r="P220" s="2943"/>
      <c r="Q220" s="2943"/>
      <c r="R220" s="3292"/>
      <c r="S220" s="3336"/>
      <c r="T220" s="3307"/>
      <c r="U220" s="3308"/>
      <c r="V220" s="3302"/>
      <c r="W220" s="3296" t="s">
        <v>3270</v>
      </c>
      <c r="X220" s="1653">
        <f>10000000-2000000</f>
        <v>8000000</v>
      </c>
      <c r="Y220" s="1653">
        <v>4000000</v>
      </c>
      <c r="Z220" s="1653">
        <v>3500000</v>
      </c>
      <c r="AA220" s="1708" t="s">
        <v>3264</v>
      </c>
      <c r="AB220" s="2136">
        <v>20</v>
      </c>
      <c r="AC220" s="1710" t="s">
        <v>734</v>
      </c>
      <c r="AD220" s="3096"/>
      <c r="AE220" s="3096"/>
      <c r="AF220" s="3096"/>
      <c r="AG220" s="3096"/>
      <c r="AH220" s="3096"/>
      <c r="AI220" s="3096"/>
      <c r="AJ220" s="3096"/>
      <c r="AK220" s="3096"/>
      <c r="AL220" s="3096"/>
      <c r="AM220" s="3096"/>
      <c r="AN220" s="3096"/>
      <c r="AO220" s="3096"/>
      <c r="AP220" s="3096"/>
      <c r="AQ220" s="3096"/>
      <c r="AR220" s="3096"/>
      <c r="AS220" s="3096"/>
      <c r="AT220" s="3096"/>
      <c r="AU220" s="3096"/>
      <c r="AV220" s="3096"/>
      <c r="AW220" s="3096"/>
      <c r="AX220" s="3096"/>
      <c r="AY220" s="3096"/>
      <c r="AZ220" s="3096"/>
      <c r="BA220" s="3096"/>
      <c r="BB220" s="3096"/>
      <c r="BC220" s="3096"/>
      <c r="BD220" s="3096"/>
      <c r="BE220" s="3096"/>
      <c r="BF220" s="3096"/>
      <c r="BG220" s="3096"/>
      <c r="BH220" s="3314"/>
      <c r="BI220" s="3314"/>
      <c r="BJ220" s="3316"/>
      <c r="BK220" s="3327"/>
      <c r="BL220" s="3327"/>
      <c r="BM220" s="3330"/>
      <c r="BN220" s="3333"/>
      <c r="BO220" s="3321"/>
      <c r="BP220" s="2723"/>
      <c r="BQ220" s="3316"/>
      <c r="BR220" s="3316"/>
      <c r="BS220" s="3316"/>
      <c r="BT220" s="3316"/>
      <c r="BU220" s="3316"/>
    </row>
    <row r="221" spans="1:73" ht="57" customHeight="1" x14ac:dyDescent="0.25">
      <c r="A221" s="2053"/>
      <c r="B221" s="2921"/>
      <c r="C221" s="2007"/>
      <c r="D221" s="2008"/>
      <c r="E221" s="3030"/>
      <c r="F221" s="3030"/>
      <c r="G221" s="2260"/>
      <c r="H221" s="3302"/>
      <c r="I221" s="2260"/>
      <c r="J221" s="3342"/>
      <c r="K221" s="2943"/>
      <c r="L221" s="2912"/>
      <c r="M221" s="2943"/>
      <c r="N221" s="2912"/>
      <c r="O221" s="2943"/>
      <c r="P221" s="2943"/>
      <c r="Q221" s="2943"/>
      <c r="R221" s="3292"/>
      <c r="S221" s="3336"/>
      <c r="T221" s="3307"/>
      <c r="U221" s="3308"/>
      <c r="V221" s="2137"/>
      <c r="W221" s="3297"/>
      <c r="X221" s="1653">
        <v>2000000</v>
      </c>
      <c r="Y221" s="1653">
        <v>2000000</v>
      </c>
      <c r="Z221" s="1653">
        <v>0</v>
      </c>
      <c r="AA221" s="1708" t="s">
        <v>3267</v>
      </c>
      <c r="AB221" s="2136">
        <v>20</v>
      </c>
      <c r="AC221" s="1710" t="s">
        <v>734</v>
      </c>
      <c r="AD221" s="3096"/>
      <c r="AE221" s="3096"/>
      <c r="AF221" s="3096"/>
      <c r="AG221" s="3096"/>
      <c r="AH221" s="3096"/>
      <c r="AI221" s="3096"/>
      <c r="AJ221" s="3096"/>
      <c r="AK221" s="3096"/>
      <c r="AL221" s="3096"/>
      <c r="AM221" s="3096"/>
      <c r="AN221" s="3096"/>
      <c r="AO221" s="3096"/>
      <c r="AP221" s="3096"/>
      <c r="AQ221" s="3096"/>
      <c r="AR221" s="3096"/>
      <c r="AS221" s="3096"/>
      <c r="AT221" s="3096"/>
      <c r="AU221" s="3096"/>
      <c r="AV221" s="3096"/>
      <c r="AW221" s="3096"/>
      <c r="AX221" s="3096"/>
      <c r="AY221" s="3096"/>
      <c r="AZ221" s="3096"/>
      <c r="BA221" s="3096"/>
      <c r="BB221" s="3096"/>
      <c r="BC221" s="3096"/>
      <c r="BD221" s="3096"/>
      <c r="BE221" s="3096"/>
      <c r="BF221" s="3096"/>
      <c r="BG221" s="3096"/>
      <c r="BH221" s="3314"/>
      <c r="BI221" s="3314"/>
      <c r="BJ221" s="3316"/>
      <c r="BK221" s="3327"/>
      <c r="BL221" s="3327"/>
      <c r="BM221" s="3330"/>
      <c r="BN221" s="3333"/>
      <c r="BO221" s="3321"/>
      <c r="BP221" s="2723"/>
      <c r="BQ221" s="3316"/>
      <c r="BR221" s="3316"/>
      <c r="BS221" s="3316"/>
      <c r="BT221" s="3316"/>
      <c r="BU221" s="3316"/>
    </row>
    <row r="222" spans="1:73" ht="45" customHeight="1" x14ac:dyDescent="0.25">
      <c r="A222" s="2053"/>
      <c r="B222" s="2921"/>
      <c r="C222" s="2007"/>
      <c r="D222" s="2008"/>
      <c r="E222" s="3030"/>
      <c r="F222" s="3030"/>
      <c r="G222" s="3338"/>
      <c r="H222" s="3340"/>
      <c r="I222" s="3338"/>
      <c r="J222" s="3343"/>
      <c r="K222" s="3026"/>
      <c r="L222" s="3290"/>
      <c r="M222" s="3026"/>
      <c r="N222" s="3290"/>
      <c r="O222" s="3026"/>
      <c r="P222" s="3026"/>
      <c r="Q222" s="2943"/>
      <c r="R222" s="3292"/>
      <c r="S222" s="3337"/>
      <c r="T222" s="3307"/>
      <c r="U222" s="3308"/>
      <c r="V222" s="2137"/>
      <c r="W222" s="3298"/>
      <c r="X222" s="1653">
        <v>19893401</v>
      </c>
      <c r="Y222" s="1653">
        <v>500000</v>
      </c>
      <c r="Z222" s="1653">
        <v>0</v>
      </c>
      <c r="AA222" s="1708" t="s">
        <v>3271</v>
      </c>
      <c r="AB222" s="2131">
        <v>88</v>
      </c>
      <c r="AC222" s="1710" t="s">
        <v>2980</v>
      </c>
      <c r="AD222" s="3096"/>
      <c r="AE222" s="3096"/>
      <c r="AF222" s="3096"/>
      <c r="AG222" s="3096"/>
      <c r="AH222" s="3096"/>
      <c r="AI222" s="3096"/>
      <c r="AJ222" s="3096"/>
      <c r="AK222" s="3096"/>
      <c r="AL222" s="3096"/>
      <c r="AM222" s="3096"/>
      <c r="AN222" s="3096"/>
      <c r="AO222" s="3096"/>
      <c r="AP222" s="3096"/>
      <c r="AQ222" s="3096"/>
      <c r="AR222" s="3096"/>
      <c r="AS222" s="3096"/>
      <c r="AT222" s="3096"/>
      <c r="AU222" s="3096"/>
      <c r="AV222" s="3096"/>
      <c r="AW222" s="3096"/>
      <c r="AX222" s="3096"/>
      <c r="AY222" s="3096"/>
      <c r="AZ222" s="3096"/>
      <c r="BA222" s="3096"/>
      <c r="BB222" s="3096"/>
      <c r="BC222" s="3096"/>
      <c r="BD222" s="3096"/>
      <c r="BE222" s="3096"/>
      <c r="BF222" s="3096"/>
      <c r="BG222" s="3096"/>
      <c r="BH222" s="3314"/>
      <c r="BI222" s="3314"/>
      <c r="BJ222" s="3316"/>
      <c r="BK222" s="3327"/>
      <c r="BL222" s="3327"/>
      <c r="BM222" s="3330"/>
      <c r="BN222" s="3333"/>
      <c r="BO222" s="3321"/>
      <c r="BP222" s="2723"/>
      <c r="BQ222" s="3316"/>
      <c r="BR222" s="3316"/>
      <c r="BS222" s="3316"/>
      <c r="BT222" s="3316"/>
      <c r="BU222" s="3316"/>
    </row>
    <row r="223" spans="1:73" ht="42.75" customHeight="1" x14ac:dyDescent="0.25">
      <c r="A223" s="2053"/>
      <c r="B223" s="2921"/>
      <c r="C223" s="2007"/>
      <c r="D223" s="2008"/>
      <c r="E223" s="3030"/>
      <c r="F223" s="3030"/>
      <c r="G223" s="3251" t="s">
        <v>74</v>
      </c>
      <c r="H223" s="3249" t="s">
        <v>3272</v>
      </c>
      <c r="I223" s="3251">
        <v>4502035</v>
      </c>
      <c r="J223" s="3249" t="s">
        <v>1474</v>
      </c>
      <c r="K223" s="3251" t="s">
        <v>74</v>
      </c>
      <c r="L223" s="3223" t="s">
        <v>3273</v>
      </c>
      <c r="M223" s="3025">
        <v>450203501</v>
      </c>
      <c r="N223" s="3223" t="s">
        <v>3274</v>
      </c>
      <c r="O223" s="3324">
        <v>0.4</v>
      </c>
      <c r="P223" s="3025">
        <v>0.2</v>
      </c>
      <c r="Q223" s="2943"/>
      <c r="R223" s="3292"/>
      <c r="S223" s="3299">
        <f>SUM(X223:X226)/SUM(T193:T226)</f>
        <v>0.12984237796172393</v>
      </c>
      <c r="T223" s="3307"/>
      <c r="U223" s="3308"/>
      <c r="V223" s="3301" t="s">
        <v>3275</v>
      </c>
      <c r="W223" s="3296" t="s">
        <v>3276</v>
      </c>
      <c r="X223" s="2009">
        <v>13000000</v>
      </c>
      <c r="Y223" s="2009">
        <v>11540000</v>
      </c>
      <c r="Z223" s="2009">
        <v>11540000</v>
      </c>
      <c r="AA223" s="1708" t="s">
        <v>3277</v>
      </c>
      <c r="AB223" s="2136">
        <v>20</v>
      </c>
      <c r="AC223" s="1710" t="s">
        <v>734</v>
      </c>
      <c r="AD223" s="3096"/>
      <c r="AE223" s="3096"/>
      <c r="AF223" s="3096"/>
      <c r="AG223" s="3096"/>
      <c r="AH223" s="3096"/>
      <c r="AI223" s="3096"/>
      <c r="AJ223" s="3096"/>
      <c r="AK223" s="3096"/>
      <c r="AL223" s="3096"/>
      <c r="AM223" s="3096"/>
      <c r="AN223" s="3096"/>
      <c r="AO223" s="3096"/>
      <c r="AP223" s="3096"/>
      <c r="AQ223" s="3096"/>
      <c r="AR223" s="3096"/>
      <c r="AS223" s="3096"/>
      <c r="AT223" s="3096"/>
      <c r="AU223" s="3096"/>
      <c r="AV223" s="3096"/>
      <c r="AW223" s="3096"/>
      <c r="AX223" s="3096"/>
      <c r="AY223" s="3096"/>
      <c r="AZ223" s="3096"/>
      <c r="BA223" s="3096"/>
      <c r="BB223" s="3096"/>
      <c r="BC223" s="3096"/>
      <c r="BD223" s="3096"/>
      <c r="BE223" s="3096"/>
      <c r="BF223" s="3096"/>
      <c r="BG223" s="3096"/>
      <c r="BH223" s="3314"/>
      <c r="BI223" s="3314"/>
      <c r="BJ223" s="3316"/>
      <c r="BK223" s="3327"/>
      <c r="BL223" s="3327"/>
      <c r="BM223" s="3330"/>
      <c r="BN223" s="3333"/>
      <c r="BO223" s="3321"/>
      <c r="BP223" s="2723"/>
      <c r="BQ223" s="3316"/>
      <c r="BR223" s="3316"/>
      <c r="BS223" s="3316"/>
      <c r="BT223" s="3316"/>
      <c r="BU223" s="3316"/>
    </row>
    <row r="224" spans="1:73" ht="42.75" customHeight="1" x14ac:dyDescent="0.25">
      <c r="A224" s="2053"/>
      <c r="B224" s="2921"/>
      <c r="C224" s="2007"/>
      <c r="D224" s="2008"/>
      <c r="E224" s="3030"/>
      <c r="F224" s="3030"/>
      <c r="G224" s="3251"/>
      <c r="H224" s="3250"/>
      <c r="I224" s="3251"/>
      <c r="J224" s="3250"/>
      <c r="K224" s="3251"/>
      <c r="L224" s="2912"/>
      <c r="M224" s="2943"/>
      <c r="N224" s="2912"/>
      <c r="O224" s="3325"/>
      <c r="P224" s="2943"/>
      <c r="Q224" s="2943"/>
      <c r="R224" s="3292"/>
      <c r="S224" s="3299"/>
      <c r="T224" s="3307"/>
      <c r="U224" s="3308"/>
      <c r="V224" s="3302"/>
      <c r="W224" s="3298"/>
      <c r="X224" s="2009">
        <v>19600000</v>
      </c>
      <c r="Y224" s="2009">
        <v>2500000</v>
      </c>
      <c r="Z224" s="2009">
        <v>0</v>
      </c>
      <c r="AA224" s="1708" t="s">
        <v>3278</v>
      </c>
      <c r="AB224" s="2131">
        <v>88</v>
      </c>
      <c r="AC224" s="1710" t="s">
        <v>2980</v>
      </c>
      <c r="AD224" s="3096"/>
      <c r="AE224" s="3096"/>
      <c r="AF224" s="3096"/>
      <c r="AG224" s="3096"/>
      <c r="AH224" s="3096"/>
      <c r="AI224" s="3096"/>
      <c r="AJ224" s="3096"/>
      <c r="AK224" s="3096"/>
      <c r="AL224" s="3096"/>
      <c r="AM224" s="3096"/>
      <c r="AN224" s="3096"/>
      <c r="AO224" s="3096"/>
      <c r="AP224" s="3096"/>
      <c r="AQ224" s="3096"/>
      <c r="AR224" s="3096"/>
      <c r="AS224" s="3096"/>
      <c r="AT224" s="3096"/>
      <c r="AU224" s="3096"/>
      <c r="AV224" s="3096"/>
      <c r="AW224" s="3096"/>
      <c r="AX224" s="3096"/>
      <c r="AY224" s="3096"/>
      <c r="AZ224" s="3096"/>
      <c r="BA224" s="3096"/>
      <c r="BB224" s="3096"/>
      <c r="BC224" s="3096"/>
      <c r="BD224" s="3096"/>
      <c r="BE224" s="3096"/>
      <c r="BF224" s="3096"/>
      <c r="BG224" s="3096"/>
      <c r="BH224" s="3314"/>
      <c r="BI224" s="3314"/>
      <c r="BJ224" s="3316"/>
      <c r="BK224" s="3327"/>
      <c r="BL224" s="3327"/>
      <c r="BM224" s="3330"/>
      <c r="BN224" s="3333"/>
      <c r="BO224" s="3321"/>
      <c r="BP224" s="2723"/>
      <c r="BQ224" s="3316"/>
      <c r="BR224" s="3316"/>
      <c r="BS224" s="3316"/>
      <c r="BT224" s="3316"/>
      <c r="BU224" s="3316"/>
    </row>
    <row r="225" spans="1:73" ht="50.25" customHeight="1" x14ac:dyDescent="0.25">
      <c r="A225" s="2053"/>
      <c r="B225" s="2921"/>
      <c r="C225" s="2007"/>
      <c r="D225" s="2008"/>
      <c r="E225" s="3030"/>
      <c r="F225" s="3030"/>
      <c r="G225" s="3251"/>
      <c r="H225" s="3250"/>
      <c r="I225" s="3251"/>
      <c r="J225" s="3250"/>
      <c r="K225" s="3251"/>
      <c r="L225" s="2912"/>
      <c r="M225" s="2943"/>
      <c r="N225" s="2912"/>
      <c r="O225" s="3325"/>
      <c r="P225" s="2943"/>
      <c r="Q225" s="2943"/>
      <c r="R225" s="3292"/>
      <c r="S225" s="3299"/>
      <c r="T225" s="3307"/>
      <c r="U225" s="3308"/>
      <c r="V225" s="3302"/>
      <c r="W225" s="2014" t="s">
        <v>3279</v>
      </c>
      <c r="X225" s="2009">
        <v>2000000</v>
      </c>
      <c r="Y225" s="2009">
        <v>0</v>
      </c>
      <c r="Z225" s="2009">
        <v>0</v>
      </c>
      <c r="AA225" s="1708" t="s">
        <v>3280</v>
      </c>
      <c r="AB225" s="2136">
        <v>20</v>
      </c>
      <c r="AC225" s="1710" t="s">
        <v>734</v>
      </c>
      <c r="AD225" s="3096"/>
      <c r="AE225" s="3096"/>
      <c r="AF225" s="3096"/>
      <c r="AG225" s="3096"/>
      <c r="AH225" s="3096"/>
      <c r="AI225" s="3096"/>
      <c r="AJ225" s="3096"/>
      <c r="AK225" s="3096"/>
      <c r="AL225" s="3096"/>
      <c r="AM225" s="3096"/>
      <c r="AN225" s="3096"/>
      <c r="AO225" s="3096"/>
      <c r="AP225" s="3096"/>
      <c r="AQ225" s="3096"/>
      <c r="AR225" s="3096"/>
      <c r="AS225" s="3096"/>
      <c r="AT225" s="3096"/>
      <c r="AU225" s="3096"/>
      <c r="AV225" s="3096"/>
      <c r="AW225" s="3096"/>
      <c r="AX225" s="3096"/>
      <c r="AY225" s="3096"/>
      <c r="AZ225" s="3096"/>
      <c r="BA225" s="3096"/>
      <c r="BB225" s="3096"/>
      <c r="BC225" s="3096"/>
      <c r="BD225" s="3096"/>
      <c r="BE225" s="3096"/>
      <c r="BF225" s="3096"/>
      <c r="BG225" s="3096"/>
      <c r="BH225" s="3314"/>
      <c r="BI225" s="3314"/>
      <c r="BJ225" s="3316"/>
      <c r="BK225" s="3327"/>
      <c r="BL225" s="3327"/>
      <c r="BM225" s="3330"/>
      <c r="BN225" s="3333"/>
      <c r="BO225" s="3321"/>
      <c r="BP225" s="2723"/>
      <c r="BQ225" s="3316"/>
      <c r="BR225" s="3316"/>
      <c r="BS225" s="3316"/>
      <c r="BT225" s="3316"/>
      <c r="BU225" s="3316"/>
    </row>
    <row r="226" spans="1:73" ht="73.5" customHeight="1" x14ac:dyDescent="0.25">
      <c r="A226" s="2104"/>
      <c r="B226" s="3243"/>
      <c r="C226" s="2057"/>
      <c r="D226" s="2072"/>
      <c r="E226" s="3030"/>
      <c r="F226" s="3030"/>
      <c r="G226" s="2259"/>
      <c r="H226" s="3250"/>
      <c r="I226" s="2259"/>
      <c r="J226" s="3250"/>
      <c r="K226" s="2259"/>
      <c r="L226" s="2912"/>
      <c r="M226" s="2943"/>
      <c r="N226" s="2912"/>
      <c r="O226" s="3325"/>
      <c r="P226" s="2943"/>
      <c r="Q226" s="2943"/>
      <c r="R226" s="3292"/>
      <c r="S226" s="3300"/>
      <c r="T226" s="3307"/>
      <c r="U226" s="3308"/>
      <c r="V226" s="3302"/>
      <c r="W226" s="2014" t="s">
        <v>3281</v>
      </c>
      <c r="X226" s="2009">
        <v>10000000</v>
      </c>
      <c r="Y226" s="2009">
        <v>0</v>
      </c>
      <c r="Z226" s="2009">
        <v>0</v>
      </c>
      <c r="AA226" s="1708" t="s">
        <v>3277</v>
      </c>
      <c r="AB226" s="2136">
        <v>20</v>
      </c>
      <c r="AC226" s="1710" t="s">
        <v>734</v>
      </c>
      <c r="AD226" s="3304"/>
      <c r="AE226" s="3304"/>
      <c r="AF226" s="3304"/>
      <c r="AG226" s="3304"/>
      <c r="AH226" s="3304"/>
      <c r="AI226" s="3304"/>
      <c r="AJ226" s="3304"/>
      <c r="AK226" s="3304"/>
      <c r="AL226" s="3304"/>
      <c r="AM226" s="3304"/>
      <c r="AN226" s="3304"/>
      <c r="AO226" s="3304"/>
      <c r="AP226" s="3304"/>
      <c r="AQ226" s="3304"/>
      <c r="AR226" s="3304"/>
      <c r="AS226" s="3304"/>
      <c r="AT226" s="3304"/>
      <c r="AU226" s="3304"/>
      <c r="AV226" s="3304"/>
      <c r="AW226" s="3304"/>
      <c r="AX226" s="3304"/>
      <c r="AY226" s="3304"/>
      <c r="AZ226" s="3304"/>
      <c r="BA226" s="3304"/>
      <c r="BB226" s="3304"/>
      <c r="BC226" s="3304"/>
      <c r="BD226" s="3304"/>
      <c r="BE226" s="3304"/>
      <c r="BF226" s="3304"/>
      <c r="BG226" s="3304"/>
      <c r="BH226" s="3315"/>
      <c r="BI226" s="3315"/>
      <c r="BJ226" s="3316"/>
      <c r="BK226" s="3328"/>
      <c r="BL226" s="3328"/>
      <c r="BM226" s="3331"/>
      <c r="BN226" s="3334"/>
      <c r="BO226" s="3322"/>
      <c r="BP226" s="2723"/>
      <c r="BQ226" s="3316"/>
      <c r="BR226" s="3316"/>
      <c r="BS226" s="3316"/>
      <c r="BT226" s="3316"/>
      <c r="BU226" s="3316"/>
    </row>
    <row r="227" spans="1:73" ht="27" customHeight="1" x14ac:dyDescent="0.25">
      <c r="A227" s="2138"/>
      <c r="B227" s="2139"/>
      <c r="C227" s="2139"/>
      <c r="D227" s="2139"/>
      <c r="E227" s="2139"/>
      <c r="F227" s="2139"/>
      <c r="G227" s="2139"/>
      <c r="H227" s="2140"/>
      <c r="I227" s="2139"/>
      <c r="J227" s="2140"/>
      <c r="K227" s="2139"/>
      <c r="L227" s="2140"/>
      <c r="M227" s="2139"/>
      <c r="N227" s="2140"/>
      <c r="O227" s="2139"/>
      <c r="P227" s="2139"/>
      <c r="Q227" s="2139"/>
      <c r="R227" s="2140"/>
      <c r="S227" s="2141"/>
      <c r="T227" s="2142">
        <f>SUM(T10:T226)</f>
        <v>6632641520.3299999</v>
      </c>
      <c r="U227" s="2143"/>
      <c r="V227" s="2144"/>
      <c r="W227" s="1829" t="s">
        <v>127</v>
      </c>
      <c r="X227" s="1830">
        <f>SUM(X10:X226)</f>
        <v>6632641520.3299999</v>
      </c>
      <c r="Y227" s="1830">
        <f t="shared" ref="Y227:Z227" si="0">SUM(Y10:Y226)</f>
        <v>1132533484.3299999</v>
      </c>
      <c r="Z227" s="1830">
        <f t="shared" si="0"/>
        <v>417295367</v>
      </c>
      <c r="AA227" s="2145"/>
      <c r="AB227" s="2146"/>
      <c r="AC227" s="2147"/>
      <c r="AD227" s="2148"/>
      <c r="AE227" s="2148"/>
      <c r="AF227" s="2148"/>
      <c r="AG227" s="2148"/>
      <c r="AH227" s="2148"/>
      <c r="AI227" s="2148"/>
      <c r="AJ227" s="2148"/>
      <c r="AK227" s="2148"/>
      <c r="AL227" s="2148"/>
      <c r="AM227" s="2148"/>
      <c r="AN227" s="2148"/>
      <c r="AO227" s="2148"/>
      <c r="AP227" s="2148"/>
      <c r="AQ227" s="2148"/>
      <c r="AR227" s="2148"/>
      <c r="AS227" s="2148"/>
      <c r="AT227" s="2148"/>
      <c r="AU227" s="2148"/>
      <c r="AV227" s="2148"/>
      <c r="AW227" s="2148"/>
      <c r="AX227" s="2148"/>
      <c r="AY227" s="2148"/>
      <c r="AZ227" s="2148"/>
      <c r="BA227" s="2148"/>
      <c r="BB227" s="2148"/>
      <c r="BC227" s="2148"/>
      <c r="BD227" s="2148"/>
      <c r="BE227" s="2148"/>
      <c r="BF227" s="2148"/>
      <c r="BG227" s="2148"/>
      <c r="BH227" s="2148"/>
      <c r="BI227" s="2148"/>
      <c r="BJ227" s="2149"/>
      <c r="BK227" s="2150">
        <f>SUM(BK10:BK226)</f>
        <v>1132533484.3299999</v>
      </c>
      <c r="BL227" s="2150">
        <f>SUM(BL10:BL226)</f>
        <v>417295367</v>
      </c>
      <c r="BM227" s="2151"/>
      <c r="BN227" s="2151"/>
      <c r="BO227" s="2151"/>
      <c r="BP227" s="2151"/>
      <c r="BQ227" s="2151"/>
      <c r="BR227" s="2151"/>
      <c r="BS227" s="2151"/>
      <c r="BT227" s="2151"/>
      <c r="BU227" s="2151"/>
    </row>
    <row r="231" spans="1:73" ht="27" customHeight="1" x14ac:dyDescent="0.25">
      <c r="BM231" s="2160"/>
    </row>
    <row r="232" spans="1:73" ht="27" customHeight="1" x14ac:dyDescent="0.25">
      <c r="BM232" s="2160"/>
    </row>
    <row r="233" spans="1:73" ht="27" customHeight="1" x14ac:dyDescent="0.25">
      <c r="Z233" s="2161"/>
    </row>
  </sheetData>
  <sheetProtection algorithmName="SHA-512" hashValue="B28XkUept1sWWt9n9OZe1fqX5IcS1ChEgWNeMwkOAKNumAFAOxz7v+gA+Sg4RchOoScZMACFgdRPVjOrBIZ0/A==" saltValue="fB/ymc55G+/BlK6obq8rcw==" spinCount="100000" sheet="1" objects="1" scenarios="1"/>
  <mergeCells count="1037">
    <mergeCell ref="H223:H226"/>
    <mergeCell ref="I223:I226"/>
    <mergeCell ref="J223:J226"/>
    <mergeCell ref="K223:K226"/>
    <mergeCell ref="L223:L226"/>
    <mergeCell ref="M214:M222"/>
    <mergeCell ref="N214:N222"/>
    <mergeCell ref="O214:O222"/>
    <mergeCell ref="P214:P222"/>
    <mergeCell ref="S214:S222"/>
    <mergeCell ref="G214:G222"/>
    <mergeCell ref="H214:H222"/>
    <mergeCell ref="I214:I222"/>
    <mergeCell ref="J214:J222"/>
    <mergeCell ref="K214:K222"/>
    <mergeCell ref="L214:L222"/>
    <mergeCell ref="BU193:BU226"/>
    <mergeCell ref="W195:W196"/>
    <mergeCell ref="AB195:AB196"/>
    <mergeCell ref="AC195:AC196"/>
    <mergeCell ref="W200:W201"/>
    <mergeCell ref="W202:W203"/>
    <mergeCell ref="W204:W205"/>
    <mergeCell ref="W211:W213"/>
    <mergeCell ref="AB211:AB213"/>
    <mergeCell ref="AC211:AC213"/>
    <mergeCell ref="BO193:BO226"/>
    <mergeCell ref="BP193:BP226"/>
    <mergeCell ref="BQ193:BQ226"/>
    <mergeCell ref="BR193:BR226"/>
    <mergeCell ref="BS193:BS226"/>
    <mergeCell ref="BT193:BT226"/>
    <mergeCell ref="BI193:BI226"/>
    <mergeCell ref="BJ193:BJ226"/>
    <mergeCell ref="BK193:BK226"/>
    <mergeCell ref="BL193:BL226"/>
    <mergeCell ref="BM193:BM226"/>
    <mergeCell ref="BN193:BN226"/>
    <mergeCell ref="BC193:BC226"/>
    <mergeCell ref="BD193:BD226"/>
    <mergeCell ref="BE193:BE226"/>
    <mergeCell ref="BF193:BF226"/>
    <mergeCell ref="BG193:BG226"/>
    <mergeCell ref="BH193:BH226"/>
    <mergeCell ref="AW193:AW226"/>
    <mergeCell ref="AX193:AX226"/>
    <mergeCell ref="AY193:AY226"/>
    <mergeCell ref="AZ193:AZ226"/>
    <mergeCell ref="BA193:BA226"/>
    <mergeCell ref="BB193:BB226"/>
    <mergeCell ref="AQ193:AQ226"/>
    <mergeCell ref="AR193:AR226"/>
    <mergeCell ref="AS193:AS226"/>
    <mergeCell ref="AT193:AT226"/>
    <mergeCell ref="AU193:AU226"/>
    <mergeCell ref="AV193:AV226"/>
    <mergeCell ref="AK193:AK226"/>
    <mergeCell ref="AL193:AL226"/>
    <mergeCell ref="AM193:AM226"/>
    <mergeCell ref="AN193:AN226"/>
    <mergeCell ref="AO193:AO226"/>
    <mergeCell ref="AP193:AP226"/>
    <mergeCell ref="AE193:AE226"/>
    <mergeCell ref="AF193:AF226"/>
    <mergeCell ref="AG193:AG226"/>
    <mergeCell ref="AH193:AH226"/>
    <mergeCell ref="AI193:AI226"/>
    <mergeCell ref="AJ193:AJ226"/>
    <mergeCell ref="S193:S208"/>
    <mergeCell ref="T193:T226"/>
    <mergeCell ref="U193:U226"/>
    <mergeCell ref="V193:V220"/>
    <mergeCell ref="W193:W194"/>
    <mergeCell ref="AD193:AD226"/>
    <mergeCell ref="S209:S213"/>
    <mergeCell ref="AB216:AB217"/>
    <mergeCell ref="AC216:AC217"/>
    <mergeCell ref="W223:W224"/>
    <mergeCell ref="M193:M208"/>
    <mergeCell ref="N193:N208"/>
    <mergeCell ref="O193:O208"/>
    <mergeCell ref="P193:P208"/>
    <mergeCell ref="Q193:Q226"/>
    <mergeCell ref="R193:R226"/>
    <mergeCell ref="M209:M213"/>
    <mergeCell ref="N209:N213"/>
    <mergeCell ref="O209:O213"/>
    <mergeCell ref="P209:P213"/>
    <mergeCell ref="W214:W215"/>
    <mergeCell ref="W216:W217"/>
    <mergeCell ref="W220:W222"/>
    <mergeCell ref="P223:P226"/>
    <mergeCell ref="S223:S226"/>
    <mergeCell ref="V223:V226"/>
    <mergeCell ref="G193:G208"/>
    <mergeCell ref="H193:H208"/>
    <mergeCell ref="I193:I208"/>
    <mergeCell ref="J193:J208"/>
    <mergeCell ref="K193:K208"/>
    <mergeCell ref="L193:L208"/>
    <mergeCell ref="G209:G213"/>
    <mergeCell ref="H209:H213"/>
    <mergeCell ref="I209:I213"/>
    <mergeCell ref="J209:J213"/>
    <mergeCell ref="K209:K213"/>
    <mergeCell ref="L209:L213"/>
    <mergeCell ref="M223:M226"/>
    <mergeCell ref="N223:N226"/>
    <mergeCell ref="O223:O226"/>
    <mergeCell ref="G223:G226"/>
    <mergeCell ref="BU178:BU192"/>
    <mergeCell ref="W180:W181"/>
    <mergeCell ref="W182:W183"/>
    <mergeCell ref="W184:W185"/>
    <mergeCell ref="W186:W187"/>
    <mergeCell ref="W188:W189"/>
    <mergeCell ref="BK178:BK192"/>
    <mergeCell ref="BL178:BL192"/>
    <mergeCell ref="BM178:BM192"/>
    <mergeCell ref="BN178:BN192"/>
    <mergeCell ref="BO178:BO192"/>
    <mergeCell ref="BP178:BP192"/>
    <mergeCell ref="BE178:BE192"/>
    <mergeCell ref="BF178:BF192"/>
    <mergeCell ref="BG178:BG192"/>
    <mergeCell ref="BH178:BH192"/>
    <mergeCell ref="BI178:BI192"/>
    <mergeCell ref="BJ178:BJ192"/>
    <mergeCell ref="AY178:AY192"/>
    <mergeCell ref="AZ178:AZ192"/>
    <mergeCell ref="BA178:BA192"/>
    <mergeCell ref="BB178:BB192"/>
    <mergeCell ref="BC178:BC192"/>
    <mergeCell ref="BD178:BD192"/>
    <mergeCell ref="AS178:AS192"/>
    <mergeCell ref="AT178:AT192"/>
    <mergeCell ref="AU178:AU192"/>
    <mergeCell ref="AV178:AV192"/>
    <mergeCell ref="AI178:AI192"/>
    <mergeCell ref="AJ178:AJ192"/>
    <mergeCell ref="AK178:AK192"/>
    <mergeCell ref="AL178:AL192"/>
    <mergeCell ref="T178:T192"/>
    <mergeCell ref="U178:U192"/>
    <mergeCell ref="V178:V192"/>
    <mergeCell ref="AD178:AD192"/>
    <mergeCell ref="AE178:AE192"/>
    <mergeCell ref="AF178:AF192"/>
    <mergeCell ref="W190:W192"/>
    <mergeCell ref="AB190:AB192"/>
    <mergeCell ref="AC190:AC192"/>
    <mergeCell ref="BQ178:BQ192"/>
    <mergeCell ref="BR178:BR192"/>
    <mergeCell ref="BS178:BS192"/>
    <mergeCell ref="BT178:BT192"/>
    <mergeCell ref="N178:N192"/>
    <mergeCell ref="O178:O192"/>
    <mergeCell ref="P178:P192"/>
    <mergeCell ref="Q178:Q192"/>
    <mergeCell ref="R178:R192"/>
    <mergeCell ref="S178:S192"/>
    <mergeCell ref="H178:H192"/>
    <mergeCell ref="I178:I192"/>
    <mergeCell ref="J178:J192"/>
    <mergeCell ref="K178:K192"/>
    <mergeCell ref="L178:L192"/>
    <mergeCell ref="M178:M192"/>
    <mergeCell ref="B175:H175"/>
    <mergeCell ref="BJ175:BU175"/>
    <mergeCell ref="D176:H176"/>
    <mergeCell ref="BJ176:BU176"/>
    <mergeCell ref="B177:B226"/>
    <mergeCell ref="F177:Q177"/>
    <mergeCell ref="BJ177:BU177"/>
    <mergeCell ref="E178:E226"/>
    <mergeCell ref="F178:F226"/>
    <mergeCell ref="G178:G192"/>
    <mergeCell ref="AW178:AW192"/>
    <mergeCell ref="AX178:AX192"/>
    <mergeCell ref="AM178:AM192"/>
    <mergeCell ref="AN178:AN192"/>
    <mergeCell ref="AO178:AO192"/>
    <mergeCell ref="AP178:AP192"/>
    <mergeCell ref="AQ178:AQ192"/>
    <mergeCell ref="AR178:AR192"/>
    <mergeCell ref="AG178:AG192"/>
    <mergeCell ref="AH178:AH192"/>
    <mergeCell ref="H168:H174"/>
    <mergeCell ref="I168:I174"/>
    <mergeCell ref="J168:J174"/>
    <mergeCell ref="K168:K174"/>
    <mergeCell ref="L168:L174"/>
    <mergeCell ref="M168:M174"/>
    <mergeCell ref="BD136:BD174"/>
    <mergeCell ref="BE136:BE174"/>
    <mergeCell ref="AT136:AT174"/>
    <mergeCell ref="AU136:AU174"/>
    <mergeCell ref="AV136:AV174"/>
    <mergeCell ref="AW136:AW174"/>
    <mergeCell ref="AX136:AX174"/>
    <mergeCell ref="AY136:AY174"/>
    <mergeCell ref="AN136:AN174"/>
    <mergeCell ref="AI136:AI174"/>
    <mergeCell ref="AJ136:AJ174"/>
    <mergeCell ref="AK136:AK174"/>
    <mergeCell ref="AL136:AL174"/>
    <mergeCell ref="AM136:AM174"/>
    <mergeCell ref="V136:V142"/>
    <mergeCell ref="W136:W137"/>
    <mergeCell ref="AD136:AD174"/>
    <mergeCell ref="AE136:AE174"/>
    <mergeCell ref="AF136:AF174"/>
    <mergeCell ref="BR136:BR174"/>
    <mergeCell ref="BS136:BS174"/>
    <mergeCell ref="BT136:BT174"/>
    <mergeCell ref="BU136:BU174"/>
    <mergeCell ref="W138:W139"/>
    <mergeCell ref="W140:W142"/>
    <mergeCell ref="W143:W144"/>
    <mergeCell ref="W146:W149"/>
    <mergeCell ref="W150:W151"/>
    <mergeCell ref="W152:W156"/>
    <mergeCell ref="BL136:BL174"/>
    <mergeCell ref="BM136:BM174"/>
    <mergeCell ref="BN136:BN174"/>
    <mergeCell ref="BO136:BO174"/>
    <mergeCell ref="BP136:BP174"/>
    <mergeCell ref="BQ136:BQ174"/>
    <mergeCell ref="BF136:BF174"/>
    <mergeCell ref="BG136:BG174"/>
    <mergeCell ref="BH136:BH174"/>
    <mergeCell ref="BI136:BI174"/>
    <mergeCell ref="BJ136:BJ174"/>
    <mergeCell ref="BK136:BK174"/>
    <mergeCell ref="AZ136:AZ174"/>
    <mergeCell ref="BA136:BA174"/>
    <mergeCell ref="BB136:BB174"/>
    <mergeCell ref="BC136:BC174"/>
    <mergeCell ref="AO136:AO174"/>
    <mergeCell ref="AP136:AP174"/>
    <mergeCell ref="AQ136:AQ174"/>
    <mergeCell ref="AR136:AR174"/>
    <mergeCell ref="AS136:AS174"/>
    <mergeCell ref="AH136:AH174"/>
    <mergeCell ref="AG136:AG174"/>
    <mergeCell ref="V143:V167"/>
    <mergeCell ref="W158:W159"/>
    <mergeCell ref="W161:W163"/>
    <mergeCell ref="W164:W167"/>
    <mergeCell ref="P136:P142"/>
    <mergeCell ref="Q136:Q174"/>
    <mergeCell ref="R136:R174"/>
    <mergeCell ref="S136:S142"/>
    <mergeCell ref="T136:T174"/>
    <mergeCell ref="U136:U174"/>
    <mergeCell ref="P143:P167"/>
    <mergeCell ref="S143:S167"/>
    <mergeCell ref="J136:J142"/>
    <mergeCell ref="K136:K142"/>
    <mergeCell ref="L136:L142"/>
    <mergeCell ref="M136:M142"/>
    <mergeCell ref="N136:N142"/>
    <mergeCell ref="O136:O142"/>
    <mergeCell ref="N168:N174"/>
    <mergeCell ref="O168:O174"/>
    <mergeCell ref="P168:P174"/>
    <mergeCell ref="S168:S174"/>
    <mergeCell ref="V168:V174"/>
    <mergeCell ref="W168:W171"/>
    <mergeCell ref="W172:W174"/>
    <mergeCell ref="B136:B174"/>
    <mergeCell ref="E136:E174"/>
    <mergeCell ref="F136:F174"/>
    <mergeCell ref="G136:G142"/>
    <mergeCell ref="H136:H142"/>
    <mergeCell ref="I136:I142"/>
    <mergeCell ref="G143:G167"/>
    <mergeCell ref="H143:H167"/>
    <mergeCell ref="I143:I167"/>
    <mergeCell ref="G168:G174"/>
    <mergeCell ref="J143:J167"/>
    <mergeCell ref="K143:K167"/>
    <mergeCell ref="L143:L167"/>
    <mergeCell ref="M143:M167"/>
    <mergeCell ref="N143:N167"/>
    <mergeCell ref="O143:O167"/>
    <mergeCell ref="BT130:BT133"/>
    <mergeCell ref="AQ130:AQ133"/>
    <mergeCell ref="AR130:AR133"/>
    <mergeCell ref="AS130:AS133"/>
    <mergeCell ref="AT130:AT133"/>
    <mergeCell ref="AI130:AI133"/>
    <mergeCell ref="AJ130:AJ133"/>
    <mergeCell ref="AK130:AK133"/>
    <mergeCell ref="AL130:AL133"/>
    <mergeCell ref="AM130:AM133"/>
    <mergeCell ref="AN130:AN133"/>
    <mergeCell ref="W130:W131"/>
    <mergeCell ref="AD130:AD133"/>
    <mergeCell ref="AE130:AE133"/>
    <mergeCell ref="AF130:AF133"/>
    <mergeCell ref="AG130:AG133"/>
    <mergeCell ref="BU130:BU133"/>
    <mergeCell ref="W132:W133"/>
    <mergeCell ref="D134:H134"/>
    <mergeCell ref="BJ134:BU134"/>
    <mergeCell ref="F135:M135"/>
    <mergeCell ref="BJ135:BU135"/>
    <mergeCell ref="BN130:BN133"/>
    <mergeCell ref="BO130:BO133"/>
    <mergeCell ref="BP130:BP133"/>
    <mergeCell ref="BQ130:BQ133"/>
    <mergeCell ref="BR130:BR133"/>
    <mergeCell ref="BS130:BS133"/>
    <mergeCell ref="BH130:BH133"/>
    <mergeCell ref="BI130:BI133"/>
    <mergeCell ref="BJ130:BJ133"/>
    <mergeCell ref="BK130:BK133"/>
    <mergeCell ref="BL130:BL133"/>
    <mergeCell ref="BM130:BM133"/>
    <mergeCell ref="BA130:BA133"/>
    <mergeCell ref="BB130:BB133"/>
    <mergeCell ref="BD130:BD133"/>
    <mergeCell ref="BE130:BE133"/>
    <mergeCell ref="BF130:BF133"/>
    <mergeCell ref="BG130:BG133"/>
    <mergeCell ref="AU130:AU133"/>
    <mergeCell ref="AV130:AV133"/>
    <mergeCell ref="AW130:AW133"/>
    <mergeCell ref="AX130:AX133"/>
    <mergeCell ref="AY130:AY133"/>
    <mergeCell ref="AZ130:AZ133"/>
    <mergeCell ref="AO130:AO133"/>
    <mergeCell ref="AP130:AP133"/>
    <mergeCell ref="AH130:AH133"/>
    <mergeCell ref="Q130:Q133"/>
    <mergeCell ref="R130:R133"/>
    <mergeCell ref="S130:S133"/>
    <mergeCell ref="T130:T133"/>
    <mergeCell ref="U130:U133"/>
    <mergeCell ref="V130:V133"/>
    <mergeCell ref="K130:K133"/>
    <mergeCell ref="L130:L133"/>
    <mergeCell ref="M130:M133"/>
    <mergeCell ref="N130:N133"/>
    <mergeCell ref="O130:O133"/>
    <mergeCell ref="P130:P133"/>
    <mergeCell ref="E130:E133"/>
    <mergeCell ref="F130:F133"/>
    <mergeCell ref="G130:G133"/>
    <mergeCell ref="H130:H133"/>
    <mergeCell ref="I130:I133"/>
    <mergeCell ref="J130:J133"/>
    <mergeCell ref="B127:H127"/>
    <mergeCell ref="BJ127:BU127"/>
    <mergeCell ref="D128:I128"/>
    <mergeCell ref="BJ128:BU128"/>
    <mergeCell ref="F129:R129"/>
    <mergeCell ref="BJ129:BU129"/>
    <mergeCell ref="BS123:BS126"/>
    <mergeCell ref="BT123:BT126"/>
    <mergeCell ref="BU123:BU126"/>
    <mergeCell ref="W125:W126"/>
    <mergeCell ref="AB125:AB126"/>
    <mergeCell ref="AC125:AC126"/>
    <mergeCell ref="BM123:BM126"/>
    <mergeCell ref="BN123:BN126"/>
    <mergeCell ref="BO123:BO126"/>
    <mergeCell ref="BP123:BP126"/>
    <mergeCell ref="BQ123:BQ126"/>
    <mergeCell ref="BR123:BR126"/>
    <mergeCell ref="BG123:BG126"/>
    <mergeCell ref="BH123:BH126"/>
    <mergeCell ref="BI123:BI126"/>
    <mergeCell ref="BJ123:BJ126"/>
    <mergeCell ref="BK123:BK126"/>
    <mergeCell ref="BL123:BL126"/>
    <mergeCell ref="BA123:BA126"/>
    <mergeCell ref="BB123:BB126"/>
    <mergeCell ref="BC123:BC126"/>
    <mergeCell ref="BD123:BD126"/>
    <mergeCell ref="BE123:BE126"/>
    <mergeCell ref="BF123:BF126"/>
    <mergeCell ref="AU123:AU126"/>
    <mergeCell ref="AV123:AV126"/>
    <mergeCell ref="K123:K126"/>
    <mergeCell ref="L123:L126"/>
    <mergeCell ref="M123:M126"/>
    <mergeCell ref="N123:N126"/>
    <mergeCell ref="O123:O126"/>
    <mergeCell ref="P123:P126"/>
    <mergeCell ref="E123:E126"/>
    <mergeCell ref="F123:F126"/>
    <mergeCell ref="G123:G126"/>
    <mergeCell ref="H123:H126"/>
    <mergeCell ref="I123:I126"/>
    <mergeCell ref="J123:J126"/>
    <mergeCell ref="AW123:AW126"/>
    <mergeCell ref="AX123:AX126"/>
    <mergeCell ref="AY123:AY126"/>
    <mergeCell ref="AZ123:AZ126"/>
    <mergeCell ref="AO123:AO126"/>
    <mergeCell ref="AP123:AP126"/>
    <mergeCell ref="AQ123:AQ126"/>
    <mergeCell ref="AR123:AR126"/>
    <mergeCell ref="AS123:AS126"/>
    <mergeCell ref="AT123:AT126"/>
    <mergeCell ref="AI123:AI126"/>
    <mergeCell ref="AJ123:AJ126"/>
    <mergeCell ref="AK123:AK126"/>
    <mergeCell ref="AL123:AL126"/>
    <mergeCell ref="AM123:AM126"/>
    <mergeCell ref="AN123:AN126"/>
    <mergeCell ref="W123:W124"/>
    <mergeCell ref="AD123:AD126"/>
    <mergeCell ref="AE123:AE126"/>
    <mergeCell ref="AF123:AF126"/>
    <mergeCell ref="Q123:Q126"/>
    <mergeCell ref="R123:R126"/>
    <mergeCell ref="S123:S126"/>
    <mergeCell ref="T123:T126"/>
    <mergeCell ref="U123:U126"/>
    <mergeCell ref="V123:V126"/>
    <mergeCell ref="AG123:AG126"/>
    <mergeCell ref="AH123:AH126"/>
    <mergeCell ref="AI104:AI122"/>
    <mergeCell ref="AJ104:AJ122"/>
    <mergeCell ref="AK104:AK122"/>
    <mergeCell ref="AL104:AL122"/>
    <mergeCell ref="U104:U122"/>
    <mergeCell ref="V104:V122"/>
    <mergeCell ref="W104:W105"/>
    <mergeCell ref="AD104:AD122"/>
    <mergeCell ref="AE104:AE122"/>
    <mergeCell ref="AF104:AF122"/>
    <mergeCell ref="W117:W119"/>
    <mergeCell ref="W121:W122"/>
    <mergeCell ref="BQ104:BQ122"/>
    <mergeCell ref="BR104:BR122"/>
    <mergeCell ref="BS104:BS122"/>
    <mergeCell ref="BT104:BT122"/>
    <mergeCell ref="BU104:BU122"/>
    <mergeCell ref="W107:W108"/>
    <mergeCell ref="W109:W110"/>
    <mergeCell ref="W113:W114"/>
    <mergeCell ref="AB113:AB114"/>
    <mergeCell ref="AC113:AC114"/>
    <mergeCell ref="BK104:BK122"/>
    <mergeCell ref="BL104:BL122"/>
    <mergeCell ref="BM104:BM122"/>
    <mergeCell ref="BN104:BN122"/>
    <mergeCell ref="BO104:BO122"/>
    <mergeCell ref="BP104:BP122"/>
    <mergeCell ref="BE104:BE122"/>
    <mergeCell ref="BF104:BF122"/>
    <mergeCell ref="BG104:BG122"/>
    <mergeCell ref="BH104:BH122"/>
    <mergeCell ref="BI104:BI122"/>
    <mergeCell ref="BJ104:BJ122"/>
    <mergeCell ref="AY104:AY122"/>
    <mergeCell ref="AZ104:AZ122"/>
    <mergeCell ref="BA104:BA122"/>
    <mergeCell ref="BB104:BB122"/>
    <mergeCell ref="BC104:BC122"/>
    <mergeCell ref="BD104:BD122"/>
    <mergeCell ref="AS104:AS122"/>
    <mergeCell ref="AT104:AT122"/>
    <mergeCell ref="AU104:AU122"/>
    <mergeCell ref="AV104:AV122"/>
    <mergeCell ref="O104:O122"/>
    <mergeCell ref="P104:P122"/>
    <mergeCell ref="Q104:Q122"/>
    <mergeCell ref="R104:R122"/>
    <mergeCell ref="S104:S122"/>
    <mergeCell ref="T104:T122"/>
    <mergeCell ref="I104:I122"/>
    <mergeCell ref="J104:J122"/>
    <mergeCell ref="K104:K122"/>
    <mergeCell ref="L104:L122"/>
    <mergeCell ref="M104:M122"/>
    <mergeCell ref="N104:N122"/>
    <mergeCell ref="D102:H102"/>
    <mergeCell ref="BJ102:BU102"/>
    <mergeCell ref="A103:A126"/>
    <mergeCell ref="B103:B126"/>
    <mergeCell ref="F103:N103"/>
    <mergeCell ref="BJ103:BU103"/>
    <mergeCell ref="E104:E122"/>
    <mergeCell ref="F104:F122"/>
    <mergeCell ref="G104:G122"/>
    <mergeCell ref="H104:H122"/>
    <mergeCell ref="AW104:AW122"/>
    <mergeCell ref="AX104:AX122"/>
    <mergeCell ref="AM104:AM122"/>
    <mergeCell ref="AN104:AN122"/>
    <mergeCell ref="AO104:AO122"/>
    <mergeCell ref="AP104:AP122"/>
    <mergeCell ref="AQ104:AQ122"/>
    <mergeCell ref="AR104:AR122"/>
    <mergeCell ref="AG104:AG122"/>
    <mergeCell ref="AH104:AH122"/>
    <mergeCell ref="BR92:BR101"/>
    <mergeCell ref="BS92:BS101"/>
    <mergeCell ref="BT92:BT101"/>
    <mergeCell ref="BU92:BU101"/>
    <mergeCell ref="W95:W99"/>
    <mergeCell ref="W100:W101"/>
    <mergeCell ref="BL92:BL101"/>
    <mergeCell ref="BM92:BM101"/>
    <mergeCell ref="BN92:BN101"/>
    <mergeCell ref="BO92:BO101"/>
    <mergeCell ref="BP92:BP101"/>
    <mergeCell ref="BQ92:BQ101"/>
    <mergeCell ref="BF92:BF101"/>
    <mergeCell ref="BG92:BG101"/>
    <mergeCell ref="BH92:BH101"/>
    <mergeCell ref="BI92:BI101"/>
    <mergeCell ref="BJ92:BJ101"/>
    <mergeCell ref="BK92:BK101"/>
    <mergeCell ref="AZ92:AZ101"/>
    <mergeCell ref="BA92:BA101"/>
    <mergeCell ref="BB92:BB101"/>
    <mergeCell ref="BC92:BC101"/>
    <mergeCell ref="BD92:BD101"/>
    <mergeCell ref="BE92:BE101"/>
    <mergeCell ref="AT92:AT101"/>
    <mergeCell ref="AU92:AU101"/>
    <mergeCell ref="AV92:AV101"/>
    <mergeCell ref="AW92:AW101"/>
    <mergeCell ref="AX92:AX101"/>
    <mergeCell ref="AY92:AY101"/>
    <mergeCell ref="AN92:AN101"/>
    <mergeCell ref="AO92:AO101"/>
    <mergeCell ref="AP92:AP101"/>
    <mergeCell ref="AQ92:AQ101"/>
    <mergeCell ref="AR92:AR101"/>
    <mergeCell ref="AS92:AS101"/>
    <mergeCell ref="AH92:AH101"/>
    <mergeCell ref="AI92:AI101"/>
    <mergeCell ref="AJ92:AJ101"/>
    <mergeCell ref="AK92:AK101"/>
    <mergeCell ref="AL92:AL101"/>
    <mergeCell ref="AM92:AM101"/>
    <mergeCell ref="V92:V101"/>
    <mergeCell ref="W92:W94"/>
    <mergeCell ref="AD92:AD101"/>
    <mergeCell ref="AE92:AE101"/>
    <mergeCell ref="AF92:AF101"/>
    <mergeCell ref="AG92:AG101"/>
    <mergeCell ref="P92:P101"/>
    <mergeCell ref="Q92:Q101"/>
    <mergeCell ref="R92:R101"/>
    <mergeCell ref="S92:S101"/>
    <mergeCell ref="T92:T101"/>
    <mergeCell ref="U92:U101"/>
    <mergeCell ref="J92:J101"/>
    <mergeCell ref="K92:K101"/>
    <mergeCell ref="L92:L101"/>
    <mergeCell ref="M92:M101"/>
    <mergeCell ref="N92:N101"/>
    <mergeCell ref="O92:O101"/>
    <mergeCell ref="W83:W84"/>
    <mergeCell ref="W85:W86"/>
    <mergeCell ref="W88:W90"/>
    <mergeCell ref="F91:Q91"/>
    <mergeCell ref="BJ91:BU91"/>
    <mergeCell ref="E92:E101"/>
    <mergeCell ref="F92:F101"/>
    <mergeCell ref="G92:G101"/>
    <mergeCell ref="H92:H101"/>
    <mergeCell ref="I92:I101"/>
    <mergeCell ref="M83:M90"/>
    <mergeCell ref="N83:N90"/>
    <mergeCell ref="O83:O90"/>
    <mergeCell ref="P83:P90"/>
    <mergeCell ref="S83:S90"/>
    <mergeCell ref="V83:V90"/>
    <mergeCell ref="BG42:BG90"/>
    <mergeCell ref="BH42:BH90"/>
    <mergeCell ref="AW42:AW90"/>
    <mergeCell ref="AX42:AX90"/>
    <mergeCell ref="AY42:AY90"/>
    <mergeCell ref="AZ42:AZ90"/>
    <mergeCell ref="BA42:BA90"/>
    <mergeCell ref="BB42:BB90"/>
    <mergeCell ref="AQ42:AQ90"/>
    <mergeCell ref="AR42:AR90"/>
    <mergeCell ref="P77:P82"/>
    <mergeCell ref="S77:S82"/>
    <mergeCell ref="V77:V82"/>
    <mergeCell ref="W77:W82"/>
    <mergeCell ref="G83:G90"/>
    <mergeCell ref="H83:H90"/>
    <mergeCell ref="I83:I90"/>
    <mergeCell ref="J83:J90"/>
    <mergeCell ref="K83:K90"/>
    <mergeCell ref="L83:L90"/>
    <mergeCell ref="W74:W75"/>
    <mergeCell ref="G77:G82"/>
    <mergeCell ref="H77:H82"/>
    <mergeCell ref="I77:I82"/>
    <mergeCell ref="J77:J82"/>
    <mergeCell ref="K77:K82"/>
    <mergeCell ref="L77:L82"/>
    <mergeCell ref="M77:M82"/>
    <mergeCell ref="N77:N82"/>
    <mergeCell ref="O77:O82"/>
    <mergeCell ref="M68:M76"/>
    <mergeCell ref="N68:N76"/>
    <mergeCell ref="O68:O76"/>
    <mergeCell ref="P68:P76"/>
    <mergeCell ref="S68:S76"/>
    <mergeCell ref="V68:V76"/>
    <mergeCell ref="G68:G76"/>
    <mergeCell ref="H68:H76"/>
    <mergeCell ref="I68:I76"/>
    <mergeCell ref="J68:J76"/>
    <mergeCell ref="K68:K76"/>
    <mergeCell ref="L68:L76"/>
    <mergeCell ref="G62:G67"/>
    <mergeCell ref="H62:H67"/>
    <mergeCell ref="I62:I67"/>
    <mergeCell ref="J62:J67"/>
    <mergeCell ref="K62:K67"/>
    <mergeCell ref="L62:L67"/>
    <mergeCell ref="BU42:BU90"/>
    <mergeCell ref="W44:W45"/>
    <mergeCell ref="W46:W47"/>
    <mergeCell ref="W48:W51"/>
    <mergeCell ref="W52:W53"/>
    <mergeCell ref="W54:W55"/>
    <mergeCell ref="W56:W57"/>
    <mergeCell ref="W58:W59"/>
    <mergeCell ref="W60:W61"/>
    <mergeCell ref="W62:W63"/>
    <mergeCell ref="BO42:BO90"/>
    <mergeCell ref="BP42:BP90"/>
    <mergeCell ref="BQ42:BQ90"/>
    <mergeCell ref="BR42:BR90"/>
    <mergeCell ref="BS42:BS90"/>
    <mergeCell ref="BT42:BT90"/>
    <mergeCell ref="BI42:BI90"/>
    <mergeCell ref="BJ42:BJ90"/>
    <mergeCell ref="BK42:BK90"/>
    <mergeCell ref="BL42:BL90"/>
    <mergeCell ref="BM42:BM90"/>
    <mergeCell ref="BN42:BN90"/>
    <mergeCell ref="BC42:BC90"/>
    <mergeCell ref="BD42:BD90"/>
    <mergeCell ref="BE42:BE90"/>
    <mergeCell ref="BF42:BF90"/>
    <mergeCell ref="AS42:AS90"/>
    <mergeCell ref="AT42:AT90"/>
    <mergeCell ref="AU42:AU90"/>
    <mergeCell ref="AV42:AV90"/>
    <mergeCell ref="AK42:AK90"/>
    <mergeCell ref="AL42:AL90"/>
    <mergeCell ref="AM42:AM90"/>
    <mergeCell ref="AN42:AN90"/>
    <mergeCell ref="AO42:AO90"/>
    <mergeCell ref="AP42:AP90"/>
    <mergeCell ref="AE42:AE90"/>
    <mergeCell ref="AF42:AF90"/>
    <mergeCell ref="AG42:AG90"/>
    <mergeCell ref="AH42:AH90"/>
    <mergeCell ref="AI42:AI90"/>
    <mergeCell ref="AJ42:AJ90"/>
    <mergeCell ref="S42:S61"/>
    <mergeCell ref="T42:T90"/>
    <mergeCell ref="U42:U90"/>
    <mergeCell ref="V42:V61"/>
    <mergeCell ref="W42:W43"/>
    <mergeCell ref="AD42:AD90"/>
    <mergeCell ref="S62:S67"/>
    <mergeCell ref="V62:V67"/>
    <mergeCell ref="W64:W65"/>
    <mergeCell ref="W70:W72"/>
    <mergeCell ref="M42:M61"/>
    <mergeCell ref="N42:N61"/>
    <mergeCell ref="O42:O61"/>
    <mergeCell ref="P42:P61"/>
    <mergeCell ref="Q42:Q90"/>
    <mergeCell ref="R42:R90"/>
    <mergeCell ref="M62:M67"/>
    <mergeCell ref="N62:N67"/>
    <mergeCell ref="O62:O67"/>
    <mergeCell ref="P62:P67"/>
    <mergeCell ref="G42:G61"/>
    <mergeCell ref="H42:H61"/>
    <mergeCell ref="I42:I61"/>
    <mergeCell ref="J42:J61"/>
    <mergeCell ref="K42:K61"/>
    <mergeCell ref="L42:L61"/>
    <mergeCell ref="BU34:BU39"/>
    <mergeCell ref="W36:W37"/>
    <mergeCell ref="W38:W39"/>
    <mergeCell ref="D40:I40"/>
    <mergeCell ref="BJ40:BU40"/>
    <mergeCell ref="AT34:AT39"/>
    <mergeCell ref="AU34:AU39"/>
    <mergeCell ref="AV34:AV39"/>
    <mergeCell ref="AK34:AK39"/>
    <mergeCell ref="AL34:AL39"/>
    <mergeCell ref="AM34:AM39"/>
    <mergeCell ref="AN34:AN39"/>
    <mergeCell ref="AO34:AO39"/>
    <mergeCell ref="AP34:AP39"/>
    <mergeCell ref="AE34:AE39"/>
    <mergeCell ref="AF34:AF39"/>
    <mergeCell ref="A41:A101"/>
    <mergeCell ref="F41:M41"/>
    <mergeCell ref="BJ41:BU41"/>
    <mergeCell ref="E42:E90"/>
    <mergeCell ref="F42:F90"/>
    <mergeCell ref="BO34:BO39"/>
    <mergeCell ref="BP34:BP39"/>
    <mergeCell ref="BQ34:BQ39"/>
    <mergeCell ref="BR34:BR39"/>
    <mergeCell ref="BS34:BS39"/>
    <mergeCell ref="BT34:BT39"/>
    <mergeCell ref="BI34:BI39"/>
    <mergeCell ref="BJ34:BJ39"/>
    <mergeCell ref="BK34:BK39"/>
    <mergeCell ref="BL34:BL39"/>
    <mergeCell ref="BM34:BM39"/>
    <mergeCell ref="BN34:BN39"/>
    <mergeCell ref="BC34:BC39"/>
    <mergeCell ref="BD34:BD39"/>
    <mergeCell ref="BE34:BE39"/>
    <mergeCell ref="BF34:BF39"/>
    <mergeCell ref="BG34:BG39"/>
    <mergeCell ref="BH34:BH39"/>
    <mergeCell ref="AW34:AW39"/>
    <mergeCell ref="AX34:AX39"/>
    <mergeCell ref="AY34:AY39"/>
    <mergeCell ref="AZ34:AZ39"/>
    <mergeCell ref="BA34:BA39"/>
    <mergeCell ref="BB34:BB39"/>
    <mergeCell ref="AQ34:AQ39"/>
    <mergeCell ref="AR34:AR39"/>
    <mergeCell ref="AS34:AS39"/>
    <mergeCell ref="AG34:AG39"/>
    <mergeCell ref="AH34:AH39"/>
    <mergeCell ref="AI34:AI39"/>
    <mergeCell ref="AJ34:AJ39"/>
    <mergeCell ref="S34:S39"/>
    <mergeCell ref="T34:T39"/>
    <mergeCell ref="U34:U39"/>
    <mergeCell ref="V34:V39"/>
    <mergeCell ref="W34:W35"/>
    <mergeCell ref="AD34:AD39"/>
    <mergeCell ref="M34:M39"/>
    <mergeCell ref="N34:N39"/>
    <mergeCell ref="O34:O39"/>
    <mergeCell ref="P34:P39"/>
    <mergeCell ref="Q34:Q39"/>
    <mergeCell ref="R34:R39"/>
    <mergeCell ref="F33:N33"/>
    <mergeCell ref="BJ33:BU33"/>
    <mergeCell ref="E34:E39"/>
    <mergeCell ref="F34:F39"/>
    <mergeCell ref="G34:G39"/>
    <mergeCell ref="H34:H39"/>
    <mergeCell ref="I34:I39"/>
    <mergeCell ref="J34:J39"/>
    <mergeCell ref="K34:K39"/>
    <mergeCell ref="L34:L39"/>
    <mergeCell ref="BU27:BU31"/>
    <mergeCell ref="W28:W30"/>
    <mergeCell ref="AB28:AB30"/>
    <mergeCell ref="AC28:AC30"/>
    <mergeCell ref="D32:G32"/>
    <mergeCell ref="BJ32:BU32"/>
    <mergeCell ref="BO27:BO31"/>
    <mergeCell ref="BP27:BP31"/>
    <mergeCell ref="BQ27:BQ31"/>
    <mergeCell ref="BR27:BR31"/>
    <mergeCell ref="BS27:BS31"/>
    <mergeCell ref="BT27:BT31"/>
    <mergeCell ref="BI27:BI31"/>
    <mergeCell ref="BJ27:BJ31"/>
    <mergeCell ref="BK27:BK31"/>
    <mergeCell ref="BL27:BL31"/>
    <mergeCell ref="BM27:BM31"/>
    <mergeCell ref="BN27:BN31"/>
    <mergeCell ref="BC27:BC31"/>
    <mergeCell ref="BD27:BD31"/>
    <mergeCell ref="BE27:BE31"/>
    <mergeCell ref="BF27:BF31"/>
    <mergeCell ref="BG27:BG31"/>
    <mergeCell ref="L27:L31"/>
    <mergeCell ref="M27:M31"/>
    <mergeCell ref="N27:N31"/>
    <mergeCell ref="O27:O31"/>
    <mergeCell ref="P27:P31"/>
    <mergeCell ref="Q27:Q31"/>
    <mergeCell ref="BH27:BH31"/>
    <mergeCell ref="AW27:AW31"/>
    <mergeCell ref="AX27:AX31"/>
    <mergeCell ref="AY27:AY31"/>
    <mergeCell ref="AZ27:AZ31"/>
    <mergeCell ref="BA27:BA31"/>
    <mergeCell ref="BB27:BB31"/>
    <mergeCell ref="AQ27:AQ31"/>
    <mergeCell ref="AR27:AR31"/>
    <mergeCell ref="AS27:AS31"/>
    <mergeCell ref="AT27:AT31"/>
    <mergeCell ref="AU27:AU31"/>
    <mergeCell ref="AV27:AV31"/>
    <mergeCell ref="AK27:AK31"/>
    <mergeCell ref="AL27:AL31"/>
    <mergeCell ref="AM27:AM31"/>
    <mergeCell ref="AN27:AN31"/>
    <mergeCell ref="AO27:AO31"/>
    <mergeCell ref="AP27:AP31"/>
    <mergeCell ref="AE27:AE31"/>
    <mergeCell ref="AF27:AF31"/>
    <mergeCell ref="AG27:AG31"/>
    <mergeCell ref="AH27:AH31"/>
    <mergeCell ref="AI27:AI31"/>
    <mergeCell ref="AJ27:AJ31"/>
    <mergeCell ref="R27:R31"/>
    <mergeCell ref="S27:S31"/>
    <mergeCell ref="T27:T31"/>
    <mergeCell ref="U27:U31"/>
    <mergeCell ref="V27:V31"/>
    <mergeCell ref="AD27:AD31"/>
    <mergeCell ref="AM23:AM25"/>
    <mergeCell ref="AN23:AN25"/>
    <mergeCell ref="AO23:AO25"/>
    <mergeCell ref="AP23:AP25"/>
    <mergeCell ref="AE23:AE25"/>
    <mergeCell ref="AF23:AF25"/>
    <mergeCell ref="AG23:AG25"/>
    <mergeCell ref="AH23:AH25"/>
    <mergeCell ref="AI23:AI25"/>
    <mergeCell ref="AJ23:AJ25"/>
    <mergeCell ref="F26:N26"/>
    <mergeCell ref="BJ26:BU26"/>
    <mergeCell ref="E27:E31"/>
    <mergeCell ref="F27:F31"/>
    <mergeCell ref="G27:G31"/>
    <mergeCell ref="H27:H31"/>
    <mergeCell ref="I27:I31"/>
    <mergeCell ref="J27:J31"/>
    <mergeCell ref="K27:K31"/>
    <mergeCell ref="BO23:BO25"/>
    <mergeCell ref="BP23:BP25"/>
    <mergeCell ref="BQ23:BQ25"/>
    <mergeCell ref="BR23:BR25"/>
    <mergeCell ref="BS23:BS25"/>
    <mergeCell ref="BT23:BT25"/>
    <mergeCell ref="BI23:BI25"/>
    <mergeCell ref="BJ23:BJ25"/>
    <mergeCell ref="BK23:BK25"/>
    <mergeCell ref="BL23:BL25"/>
    <mergeCell ref="BM23:BM25"/>
    <mergeCell ref="BN23:BN25"/>
    <mergeCell ref="S23:S25"/>
    <mergeCell ref="T23:T25"/>
    <mergeCell ref="U23:U25"/>
    <mergeCell ref="V23:V25"/>
    <mergeCell ref="W23:W24"/>
    <mergeCell ref="AD23:AD25"/>
    <mergeCell ref="M23:M25"/>
    <mergeCell ref="N23:N25"/>
    <mergeCell ref="O23:O25"/>
    <mergeCell ref="P23:P25"/>
    <mergeCell ref="BC23:BC25"/>
    <mergeCell ref="Q23:Q25"/>
    <mergeCell ref="R23:R25"/>
    <mergeCell ref="F22:N22"/>
    <mergeCell ref="BJ22:BU22"/>
    <mergeCell ref="E23:E25"/>
    <mergeCell ref="F23:F25"/>
    <mergeCell ref="G23:G25"/>
    <mergeCell ref="H23:H25"/>
    <mergeCell ref="I23:I25"/>
    <mergeCell ref="J23:J25"/>
    <mergeCell ref="K23:K25"/>
    <mergeCell ref="L23:L25"/>
    <mergeCell ref="BA23:BA25"/>
    <mergeCell ref="BB23:BB25"/>
    <mergeCell ref="AQ23:AQ25"/>
    <mergeCell ref="AR23:AR25"/>
    <mergeCell ref="AS23:AS25"/>
    <mergeCell ref="AT23:AT25"/>
    <mergeCell ref="AU23:AU25"/>
    <mergeCell ref="AV23:AV25"/>
    <mergeCell ref="AK23:AK25"/>
    <mergeCell ref="AL23:AL25"/>
    <mergeCell ref="BU23:BU25"/>
    <mergeCell ref="BD23:BD25"/>
    <mergeCell ref="BE23:BE25"/>
    <mergeCell ref="BF23:BF25"/>
    <mergeCell ref="BG23:BG25"/>
    <mergeCell ref="BH23:BH25"/>
    <mergeCell ref="AW23:AW25"/>
    <mergeCell ref="AX23:AX25"/>
    <mergeCell ref="AY23:AY25"/>
    <mergeCell ref="AZ23:AZ25"/>
    <mergeCell ref="BQ13:BQ21"/>
    <mergeCell ref="BR13:BR21"/>
    <mergeCell ref="BS13:BS21"/>
    <mergeCell ref="BT13:BT21"/>
    <mergeCell ref="BU13:BU21"/>
    <mergeCell ref="W16:W17"/>
    <mergeCell ref="BK13:BK21"/>
    <mergeCell ref="BL13:BL21"/>
    <mergeCell ref="BM13:BM21"/>
    <mergeCell ref="BN13:BN21"/>
    <mergeCell ref="BO13:BO21"/>
    <mergeCell ref="BP13:BP21"/>
    <mergeCell ref="BE13:BE21"/>
    <mergeCell ref="BF13:BF21"/>
    <mergeCell ref="BG13:BG21"/>
    <mergeCell ref="BH13:BH21"/>
    <mergeCell ref="BI13:BI21"/>
    <mergeCell ref="BJ13:BJ21"/>
    <mergeCell ref="AY13:AY21"/>
    <mergeCell ref="AZ13:AZ21"/>
    <mergeCell ref="BA13:BA21"/>
    <mergeCell ref="BB13:BB21"/>
    <mergeCell ref="BC13:BC21"/>
    <mergeCell ref="BD13:BD21"/>
    <mergeCell ref="AS13:AS21"/>
    <mergeCell ref="AT13:AT21"/>
    <mergeCell ref="AU13:AU21"/>
    <mergeCell ref="AV13:AV21"/>
    <mergeCell ref="AW13:AW21"/>
    <mergeCell ref="AX13:AX21"/>
    <mergeCell ref="AM13:AM21"/>
    <mergeCell ref="AN13:AN21"/>
    <mergeCell ref="AO13:AO21"/>
    <mergeCell ref="AP13:AP21"/>
    <mergeCell ref="AQ13:AQ21"/>
    <mergeCell ref="AR13:AR21"/>
    <mergeCell ref="AG13:AG21"/>
    <mergeCell ref="AH13:AH21"/>
    <mergeCell ref="AI13:AI21"/>
    <mergeCell ref="AJ13:AJ21"/>
    <mergeCell ref="AK13:AK21"/>
    <mergeCell ref="AL13:AL21"/>
    <mergeCell ref="U13:U21"/>
    <mergeCell ref="V13:V21"/>
    <mergeCell ref="W13:W14"/>
    <mergeCell ref="AD13:AD21"/>
    <mergeCell ref="AE13:AE21"/>
    <mergeCell ref="AF13:AF21"/>
    <mergeCell ref="O13:O21"/>
    <mergeCell ref="P13:P21"/>
    <mergeCell ref="Q13:Q21"/>
    <mergeCell ref="R13:R21"/>
    <mergeCell ref="S13:S21"/>
    <mergeCell ref="T13:T21"/>
    <mergeCell ref="I13:I21"/>
    <mergeCell ref="J13:J21"/>
    <mergeCell ref="K13:K21"/>
    <mergeCell ref="L13:L21"/>
    <mergeCell ref="M13:M21"/>
    <mergeCell ref="N13:N21"/>
    <mergeCell ref="BP8:BP9"/>
    <mergeCell ref="B10:F10"/>
    <mergeCell ref="D11:I11"/>
    <mergeCell ref="A12:A31"/>
    <mergeCell ref="B12:B31"/>
    <mergeCell ref="F12:Q12"/>
    <mergeCell ref="E13:E21"/>
    <mergeCell ref="F13:F21"/>
    <mergeCell ref="G13:G21"/>
    <mergeCell ref="H13:H21"/>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AL8:AM8"/>
    <mergeCell ref="AN8:AO8"/>
    <mergeCell ref="T8:T9"/>
    <mergeCell ref="U8:U9"/>
    <mergeCell ref="V8:V9"/>
    <mergeCell ref="W8:W9"/>
    <mergeCell ref="X8:Z8"/>
    <mergeCell ref="AA8:AA9"/>
    <mergeCell ref="M8:M9"/>
    <mergeCell ref="N8:N9"/>
    <mergeCell ref="O8:P8"/>
    <mergeCell ref="Q8:Q9"/>
    <mergeCell ref="R8:R9"/>
    <mergeCell ref="S8:S9"/>
    <mergeCell ref="G8:G9"/>
    <mergeCell ref="H8:H9"/>
    <mergeCell ref="I8:I9"/>
    <mergeCell ref="J8:J9"/>
    <mergeCell ref="K8:K9"/>
    <mergeCell ref="L8:L9"/>
    <mergeCell ref="A1:BS4"/>
    <mergeCell ref="A5:O6"/>
    <mergeCell ref="Q5:BU5"/>
    <mergeCell ref="AD6:BI6"/>
    <mergeCell ref="A7:B7"/>
    <mergeCell ref="C7:D7"/>
    <mergeCell ref="E7:F7"/>
    <mergeCell ref="G7:J7"/>
    <mergeCell ref="K7:N7"/>
    <mergeCell ref="O7:Z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B7:BG7"/>
    <mergeCell ref="BH7:BI8"/>
    <mergeCell ref="AB8:AB9"/>
    <mergeCell ref="AC8:AC9"/>
    <mergeCell ref="AD8:AE8"/>
    <mergeCell ref="AF8:AG8"/>
    <mergeCell ref="AP8:AQ8"/>
    <mergeCell ref="AR8:AS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55"/>
  <sheetViews>
    <sheetView showGridLines="0" zoomScale="60" zoomScaleNormal="60" workbookViewId="0">
      <selection sqref="A1:BS4"/>
    </sheetView>
  </sheetViews>
  <sheetFormatPr baseColWidth="10" defaultColWidth="11.42578125" defaultRowHeight="27" customHeight="1" x14ac:dyDescent="0.25"/>
  <cols>
    <col min="1" max="1" width="14.140625" style="117" customWidth="1"/>
    <col min="2" max="2" width="14.28515625" style="3" customWidth="1"/>
    <col min="3" max="3" width="13.42578125" style="3" customWidth="1"/>
    <col min="4" max="4" width="16.28515625" style="3" customWidth="1"/>
    <col min="5" max="5" width="15.42578125" style="3" customWidth="1"/>
    <col min="6" max="6" width="14.5703125" style="3" customWidth="1"/>
    <col min="7" max="7" width="14.140625" style="3" customWidth="1"/>
    <col min="8" max="8" width="26" style="2" customWidth="1"/>
    <col min="9" max="9" width="25.5703125" style="2" customWidth="1"/>
    <col min="10" max="10" width="24.5703125" style="2" customWidth="1"/>
    <col min="11" max="11" width="15.85546875" style="2" customWidth="1"/>
    <col min="12" max="14" width="25" style="2" customWidth="1"/>
    <col min="15" max="15" width="21" style="2" customWidth="1"/>
    <col min="16" max="16" width="17.7109375" style="2" customWidth="1"/>
    <col min="17" max="17" width="19" style="2" customWidth="1"/>
    <col min="18" max="18" width="32.7109375" style="2" customWidth="1"/>
    <col min="19" max="19" width="15.140625" style="121" customWidth="1"/>
    <col min="20" max="20" width="28.85546875" style="130" customWidth="1"/>
    <col min="21" max="21" width="32.28515625" style="2" customWidth="1"/>
    <col min="22" max="22" width="34.140625" style="2" customWidth="1"/>
    <col min="23" max="23" width="50.85546875" style="2" customWidth="1"/>
    <col min="24" max="24" width="31" style="280" customWidth="1"/>
    <col min="25" max="25" width="30.140625" style="280" customWidth="1"/>
    <col min="26" max="26" width="30" style="280" customWidth="1"/>
    <col min="27" max="27" width="57.28515625" style="280" customWidth="1"/>
    <col min="28" max="28" width="11.7109375" style="124" customWidth="1"/>
    <col min="29" max="29" width="29.28515625" style="2" customWidth="1"/>
    <col min="30" max="61" width="10.42578125" style="3" customWidth="1"/>
    <col min="62" max="62" width="18" style="3" customWidth="1"/>
    <col min="63" max="63" width="31.140625" style="3" customWidth="1"/>
    <col min="64" max="64" width="30.5703125" style="3" customWidth="1"/>
    <col min="65" max="65" width="30.28515625" style="3" customWidth="1"/>
    <col min="66" max="67" width="24.140625" style="3" customWidth="1"/>
    <col min="68" max="68" width="23.28515625" style="3" customWidth="1"/>
    <col min="69" max="70" width="15.5703125" style="126" customWidth="1"/>
    <col min="71" max="72" width="18.28515625" style="126" customWidth="1"/>
    <col min="73" max="73" width="26" style="3" customWidth="1"/>
    <col min="74" max="16384" width="11.42578125" style="3"/>
  </cols>
  <sheetData>
    <row r="1" spans="1:93" ht="28.5" customHeight="1" x14ac:dyDescent="0.25">
      <c r="A1" s="3345" t="s">
        <v>1506</v>
      </c>
      <c r="B1" s="2366"/>
      <c r="C1" s="2366"/>
      <c r="D1" s="2366"/>
      <c r="E1" s="2366"/>
      <c r="F1" s="2366"/>
      <c r="G1" s="2366"/>
      <c r="H1" s="2366"/>
      <c r="I1" s="2366"/>
      <c r="J1" s="2366"/>
      <c r="K1" s="2366"/>
      <c r="L1" s="2366"/>
      <c r="M1" s="2366"/>
      <c r="N1" s="2366"/>
      <c r="O1" s="2366"/>
      <c r="P1" s="2366"/>
      <c r="Q1" s="2366"/>
      <c r="R1" s="2366"/>
      <c r="S1" s="2366"/>
      <c r="T1" s="2366"/>
      <c r="U1" s="2366"/>
      <c r="V1" s="2366"/>
      <c r="W1" s="2366"/>
      <c r="X1" s="2366"/>
      <c r="Y1" s="2366"/>
      <c r="Z1" s="2366"/>
      <c r="AA1" s="2366"/>
      <c r="AB1" s="2366"/>
      <c r="AC1" s="2366"/>
      <c r="AD1" s="2366"/>
      <c r="AE1" s="2366"/>
      <c r="AF1" s="2366"/>
      <c r="AG1" s="2366"/>
      <c r="AH1" s="2366"/>
      <c r="AI1" s="2366"/>
      <c r="AJ1" s="2366"/>
      <c r="AK1" s="2366"/>
      <c r="AL1" s="2366"/>
      <c r="AM1" s="2366"/>
      <c r="AN1" s="2366"/>
      <c r="AO1" s="2366"/>
      <c r="AP1" s="2366"/>
      <c r="AQ1" s="2366"/>
      <c r="AR1" s="2366"/>
      <c r="AS1" s="2366"/>
      <c r="AT1" s="2366"/>
      <c r="AU1" s="2366"/>
      <c r="AV1" s="2366"/>
      <c r="AW1" s="2366"/>
      <c r="AX1" s="2366"/>
      <c r="AY1" s="2366"/>
      <c r="AZ1" s="2366"/>
      <c r="BA1" s="2366"/>
      <c r="BB1" s="2366"/>
      <c r="BC1" s="2366"/>
      <c r="BD1" s="2366"/>
      <c r="BE1" s="2366"/>
      <c r="BF1" s="2366"/>
      <c r="BG1" s="2366"/>
      <c r="BH1" s="2366"/>
      <c r="BI1" s="2366"/>
      <c r="BJ1" s="2366"/>
      <c r="BK1" s="2366"/>
      <c r="BL1" s="2366"/>
      <c r="BM1" s="2366"/>
      <c r="BN1" s="2366"/>
      <c r="BO1" s="2366"/>
      <c r="BP1" s="2366"/>
      <c r="BQ1" s="2366"/>
      <c r="BR1" s="2366"/>
      <c r="BS1" s="2733"/>
      <c r="BT1" s="1040" t="s">
        <v>0</v>
      </c>
      <c r="BU1" s="1040" t="s">
        <v>1507</v>
      </c>
      <c r="BV1" s="2"/>
      <c r="BW1" s="2"/>
      <c r="BX1" s="2"/>
      <c r="BY1" s="2"/>
      <c r="BZ1" s="2"/>
      <c r="CA1" s="2"/>
      <c r="CB1" s="2"/>
      <c r="CC1" s="2"/>
      <c r="CD1" s="2"/>
      <c r="CE1" s="2"/>
      <c r="CF1" s="2"/>
      <c r="CG1" s="2"/>
      <c r="CH1" s="2"/>
      <c r="CI1" s="2"/>
      <c r="CJ1" s="2"/>
      <c r="CK1" s="2"/>
      <c r="CL1" s="2"/>
      <c r="CM1" s="2"/>
      <c r="CN1" s="2"/>
      <c r="CO1" s="2"/>
    </row>
    <row r="2" spans="1:93" ht="27.75" customHeight="1" x14ac:dyDescent="0.25">
      <c r="A2" s="3345"/>
      <c r="B2" s="2366"/>
      <c r="C2" s="2366"/>
      <c r="D2" s="2366"/>
      <c r="E2" s="2366"/>
      <c r="F2" s="2366"/>
      <c r="G2" s="2366"/>
      <c r="H2" s="2366"/>
      <c r="I2" s="2366"/>
      <c r="J2" s="2366"/>
      <c r="K2" s="2366"/>
      <c r="L2" s="2366"/>
      <c r="M2" s="2366"/>
      <c r="N2" s="2366"/>
      <c r="O2" s="2366"/>
      <c r="P2" s="2366"/>
      <c r="Q2" s="2366"/>
      <c r="R2" s="2366"/>
      <c r="S2" s="2366"/>
      <c r="T2" s="2366"/>
      <c r="U2" s="2366"/>
      <c r="V2" s="2366"/>
      <c r="W2" s="2366"/>
      <c r="X2" s="2366"/>
      <c r="Y2" s="2366"/>
      <c r="Z2" s="2366"/>
      <c r="AA2" s="2366"/>
      <c r="AB2" s="2366"/>
      <c r="AC2" s="2366"/>
      <c r="AD2" s="2366"/>
      <c r="AE2" s="2366"/>
      <c r="AF2" s="2366"/>
      <c r="AG2" s="2366"/>
      <c r="AH2" s="2366"/>
      <c r="AI2" s="2366"/>
      <c r="AJ2" s="2366"/>
      <c r="AK2" s="2366"/>
      <c r="AL2" s="2366"/>
      <c r="AM2" s="2366"/>
      <c r="AN2" s="2366"/>
      <c r="AO2" s="2366"/>
      <c r="AP2" s="2366"/>
      <c r="AQ2" s="2366"/>
      <c r="AR2" s="2366"/>
      <c r="AS2" s="2366"/>
      <c r="AT2" s="2366"/>
      <c r="AU2" s="2366"/>
      <c r="AV2" s="2366"/>
      <c r="AW2" s="2366"/>
      <c r="AX2" s="2366"/>
      <c r="AY2" s="2366"/>
      <c r="AZ2" s="2366"/>
      <c r="BA2" s="2366"/>
      <c r="BB2" s="2366"/>
      <c r="BC2" s="2366"/>
      <c r="BD2" s="2366"/>
      <c r="BE2" s="2366"/>
      <c r="BF2" s="2366"/>
      <c r="BG2" s="2366"/>
      <c r="BH2" s="2366"/>
      <c r="BI2" s="2366"/>
      <c r="BJ2" s="2366"/>
      <c r="BK2" s="2366"/>
      <c r="BL2" s="2366"/>
      <c r="BM2" s="2366"/>
      <c r="BN2" s="2366"/>
      <c r="BO2" s="2366"/>
      <c r="BP2" s="2366"/>
      <c r="BQ2" s="2366"/>
      <c r="BR2" s="2366"/>
      <c r="BS2" s="2733"/>
      <c r="BT2" s="1040" t="s">
        <v>2</v>
      </c>
      <c r="BU2" s="1041">
        <v>8</v>
      </c>
      <c r="BV2" s="2"/>
      <c r="BW2" s="2"/>
      <c r="BX2" s="2"/>
      <c r="BY2" s="2"/>
      <c r="BZ2" s="2"/>
      <c r="CA2" s="2"/>
      <c r="CB2" s="2"/>
      <c r="CC2" s="2"/>
      <c r="CD2" s="2"/>
      <c r="CE2" s="2"/>
      <c r="CF2" s="2"/>
      <c r="CG2" s="2"/>
      <c r="CH2" s="2"/>
      <c r="CI2" s="2"/>
      <c r="CJ2" s="2"/>
      <c r="CK2" s="2"/>
      <c r="CL2" s="2"/>
      <c r="CM2" s="2"/>
      <c r="CN2" s="2"/>
      <c r="CO2" s="2"/>
    </row>
    <row r="3" spans="1:93" ht="18" customHeight="1" x14ac:dyDescent="0.25">
      <c r="A3" s="3345"/>
      <c r="B3" s="2366"/>
      <c r="C3" s="2366"/>
      <c r="D3" s="2366"/>
      <c r="E3" s="2366"/>
      <c r="F3" s="2366"/>
      <c r="G3" s="2366"/>
      <c r="H3" s="2366"/>
      <c r="I3" s="2366"/>
      <c r="J3" s="2366"/>
      <c r="K3" s="2366"/>
      <c r="L3" s="2366"/>
      <c r="M3" s="2366"/>
      <c r="N3" s="2366"/>
      <c r="O3" s="2366"/>
      <c r="P3" s="2366"/>
      <c r="Q3" s="2366"/>
      <c r="R3" s="2366"/>
      <c r="S3" s="2366"/>
      <c r="T3" s="2366"/>
      <c r="U3" s="2366"/>
      <c r="V3" s="2366"/>
      <c r="W3" s="2366"/>
      <c r="X3" s="2366"/>
      <c r="Y3" s="2366"/>
      <c r="Z3" s="2366"/>
      <c r="AA3" s="2366"/>
      <c r="AB3" s="2366"/>
      <c r="AC3" s="2366"/>
      <c r="AD3" s="2366"/>
      <c r="AE3" s="2366"/>
      <c r="AF3" s="2366"/>
      <c r="AG3" s="2366"/>
      <c r="AH3" s="2366"/>
      <c r="AI3" s="2366"/>
      <c r="AJ3" s="2366"/>
      <c r="AK3" s="2366"/>
      <c r="AL3" s="2366"/>
      <c r="AM3" s="2366"/>
      <c r="AN3" s="2366"/>
      <c r="AO3" s="2366"/>
      <c r="AP3" s="2366"/>
      <c r="AQ3" s="2366"/>
      <c r="AR3" s="2366"/>
      <c r="AS3" s="2366"/>
      <c r="AT3" s="2366"/>
      <c r="AU3" s="2366"/>
      <c r="AV3" s="2366"/>
      <c r="AW3" s="2366"/>
      <c r="AX3" s="2366"/>
      <c r="AY3" s="2366"/>
      <c r="AZ3" s="2366"/>
      <c r="BA3" s="2366"/>
      <c r="BB3" s="2366"/>
      <c r="BC3" s="2366"/>
      <c r="BD3" s="2366"/>
      <c r="BE3" s="2366"/>
      <c r="BF3" s="2366"/>
      <c r="BG3" s="2366"/>
      <c r="BH3" s="2366"/>
      <c r="BI3" s="2366"/>
      <c r="BJ3" s="2366"/>
      <c r="BK3" s="2366"/>
      <c r="BL3" s="2366"/>
      <c r="BM3" s="2366"/>
      <c r="BN3" s="2366"/>
      <c r="BO3" s="2366"/>
      <c r="BP3" s="2366"/>
      <c r="BQ3" s="2366"/>
      <c r="BR3" s="2366"/>
      <c r="BS3" s="2733"/>
      <c r="BT3" s="1040" t="s">
        <v>4</v>
      </c>
      <c r="BU3" s="1042">
        <v>44266</v>
      </c>
      <c r="BV3" s="2"/>
      <c r="BW3" s="2"/>
      <c r="BX3" s="2"/>
      <c r="BY3" s="2"/>
      <c r="BZ3" s="2"/>
      <c r="CA3" s="2"/>
      <c r="CB3" s="2"/>
      <c r="CC3" s="2"/>
      <c r="CD3" s="2"/>
      <c r="CE3" s="2"/>
      <c r="CF3" s="2"/>
      <c r="CG3" s="2"/>
      <c r="CH3" s="2"/>
      <c r="CI3" s="2"/>
      <c r="CJ3" s="2"/>
      <c r="CK3" s="2"/>
      <c r="CL3" s="2"/>
      <c r="CM3" s="2"/>
      <c r="CN3" s="2"/>
      <c r="CO3" s="2"/>
    </row>
    <row r="4" spans="1:93" ht="24" customHeight="1" x14ac:dyDescent="0.25">
      <c r="A4" s="3345"/>
      <c r="B4" s="2366"/>
      <c r="C4" s="2366"/>
      <c r="D4" s="2366"/>
      <c r="E4" s="2366"/>
      <c r="F4" s="2366"/>
      <c r="G4" s="2366"/>
      <c r="H4" s="2366"/>
      <c r="I4" s="2366"/>
      <c r="J4" s="2366"/>
      <c r="K4" s="2366"/>
      <c r="L4" s="2366"/>
      <c r="M4" s="2366"/>
      <c r="N4" s="2366"/>
      <c r="O4" s="2366"/>
      <c r="P4" s="2366"/>
      <c r="Q4" s="2366"/>
      <c r="R4" s="2366"/>
      <c r="S4" s="2366"/>
      <c r="T4" s="2366"/>
      <c r="U4" s="2366"/>
      <c r="V4" s="2366"/>
      <c r="W4" s="2366"/>
      <c r="X4" s="2366"/>
      <c r="Y4" s="2366"/>
      <c r="Z4" s="2366"/>
      <c r="AA4" s="2366"/>
      <c r="AB4" s="2366"/>
      <c r="AC4" s="2366"/>
      <c r="AD4" s="2366"/>
      <c r="AE4" s="2366"/>
      <c r="AF4" s="2366"/>
      <c r="AG4" s="2366"/>
      <c r="AH4" s="2366"/>
      <c r="AI4" s="2366"/>
      <c r="AJ4" s="2366"/>
      <c r="AK4" s="2366"/>
      <c r="AL4" s="2366"/>
      <c r="AM4" s="2366"/>
      <c r="AN4" s="2366"/>
      <c r="AO4" s="2366"/>
      <c r="AP4" s="2366"/>
      <c r="AQ4" s="2366"/>
      <c r="AR4" s="2366"/>
      <c r="AS4" s="2366"/>
      <c r="AT4" s="2366"/>
      <c r="AU4" s="2366"/>
      <c r="AV4" s="2366"/>
      <c r="AW4" s="2366"/>
      <c r="AX4" s="2366"/>
      <c r="AY4" s="2366"/>
      <c r="AZ4" s="2366"/>
      <c r="BA4" s="2366"/>
      <c r="BB4" s="2366"/>
      <c r="BC4" s="2366"/>
      <c r="BD4" s="2366"/>
      <c r="BE4" s="2366"/>
      <c r="BF4" s="2366"/>
      <c r="BG4" s="2366"/>
      <c r="BH4" s="2366"/>
      <c r="BI4" s="2366"/>
      <c r="BJ4" s="2366"/>
      <c r="BK4" s="2366"/>
      <c r="BL4" s="2366"/>
      <c r="BM4" s="2366"/>
      <c r="BN4" s="2366"/>
      <c r="BO4" s="2366"/>
      <c r="BP4" s="2366"/>
      <c r="BQ4" s="2366"/>
      <c r="BR4" s="2366"/>
      <c r="BS4" s="2733"/>
      <c r="BT4" s="1043" t="s">
        <v>5</v>
      </c>
      <c r="BU4" s="1044" t="s">
        <v>6</v>
      </c>
      <c r="BV4" s="2"/>
      <c r="BW4" s="2"/>
      <c r="BX4" s="2"/>
      <c r="BY4" s="2"/>
      <c r="BZ4" s="2"/>
      <c r="CA4" s="2"/>
      <c r="CB4" s="2"/>
      <c r="CC4" s="2"/>
      <c r="CD4" s="2"/>
      <c r="CE4" s="2"/>
      <c r="CF4" s="2"/>
      <c r="CG4" s="2"/>
      <c r="CH4" s="2"/>
      <c r="CI4" s="2"/>
      <c r="CJ4" s="2"/>
      <c r="CK4" s="2"/>
      <c r="CL4" s="2"/>
      <c r="CM4" s="2"/>
      <c r="CN4" s="2"/>
      <c r="CO4" s="2"/>
    </row>
    <row r="5" spans="1:93" ht="21" customHeight="1" x14ac:dyDescent="0.25">
      <c r="A5" s="3346" t="s">
        <v>1508</v>
      </c>
      <c r="B5" s="3347"/>
      <c r="C5" s="3347"/>
      <c r="D5" s="3347"/>
      <c r="E5" s="3347"/>
      <c r="F5" s="3347"/>
      <c r="G5" s="3347"/>
      <c r="H5" s="3347"/>
      <c r="I5" s="3347"/>
      <c r="J5" s="3347"/>
      <c r="K5" s="3347"/>
      <c r="L5" s="3347"/>
      <c r="M5" s="3347"/>
      <c r="N5" s="3347"/>
      <c r="O5" s="3347"/>
      <c r="P5" s="3348"/>
      <c r="Q5" s="962"/>
      <c r="R5" s="963"/>
      <c r="S5" s="963"/>
      <c r="T5" s="963"/>
      <c r="U5" s="963"/>
      <c r="V5" s="963"/>
      <c r="W5" s="963"/>
      <c r="X5" s="963"/>
      <c r="Y5" s="963"/>
      <c r="Z5" s="963"/>
      <c r="AA5" s="963"/>
      <c r="AB5" s="963"/>
      <c r="AC5" s="1013"/>
      <c r="AD5" s="2362" t="s">
        <v>8</v>
      </c>
      <c r="AE5" s="2363"/>
      <c r="AF5" s="2363"/>
      <c r="AG5" s="2363"/>
      <c r="AH5" s="2363"/>
      <c r="AI5" s="2363"/>
      <c r="AJ5" s="2363"/>
      <c r="AK5" s="2363"/>
      <c r="AL5" s="2363"/>
      <c r="AM5" s="2363"/>
      <c r="AN5" s="2363"/>
      <c r="AO5" s="2363"/>
      <c r="AP5" s="2363"/>
      <c r="AQ5" s="2363"/>
      <c r="AR5" s="2363"/>
      <c r="AS5" s="2363"/>
      <c r="AT5" s="2363"/>
      <c r="AU5" s="2363"/>
      <c r="AV5" s="2363"/>
      <c r="AW5" s="2363"/>
      <c r="AX5" s="2363"/>
      <c r="AY5" s="2363"/>
      <c r="AZ5" s="2363"/>
      <c r="BA5" s="2363"/>
      <c r="BB5" s="2363"/>
      <c r="BC5" s="2363"/>
      <c r="BD5" s="2363"/>
      <c r="BE5" s="2363"/>
      <c r="BF5" s="2363"/>
      <c r="BG5" s="2363"/>
      <c r="BH5" s="2363"/>
      <c r="BI5" s="3352"/>
      <c r="BJ5" s="962"/>
      <c r="BK5" s="963"/>
      <c r="BL5" s="963"/>
      <c r="BM5" s="963"/>
      <c r="BN5" s="963"/>
      <c r="BO5" s="963"/>
      <c r="BP5" s="963"/>
      <c r="BQ5" s="963"/>
      <c r="BR5" s="963"/>
      <c r="BS5" s="963"/>
      <c r="BT5" s="963"/>
      <c r="BU5" s="1013"/>
      <c r="BV5" s="2"/>
      <c r="BW5" s="2"/>
      <c r="BX5" s="2"/>
      <c r="BY5" s="2"/>
      <c r="BZ5" s="2"/>
      <c r="CA5" s="2"/>
      <c r="CB5" s="2"/>
      <c r="CC5" s="2"/>
      <c r="CD5" s="2"/>
      <c r="CE5" s="2"/>
      <c r="CF5" s="2"/>
      <c r="CG5" s="2"/>
      <c r="CH5" s="2"/>
      <c r="CI5" s="2"/>
      <c r="CJ5" s="2"/>
      <c r="CK5" s="2"/>
      <c r="CL5" s="2"/>
      <c r="CM5" s="2"/>
      <c r="CN5" s="2"/>
      <c r="CO5" s="2"/>
    </row>
    <row r="6" spans="1:93" ht="21" customHeight="1" x14ac:dyDescent="0.25">
      <c r="A6" s="3349"/>
      <c r="B6" s="3350"/>
      <c r="C6" s="3350"/>
      <c r="D6" s="3350"/>
      <c r="E6" s="3350"/>
      <c r="F6" s="3350"/>
      <c r="G6" s="3350"/>
      <c r="H6" s="3350"/>
      <c r="I6" s="3350"/>
      <c r="J6" s="3350"/>
      <c r="K6" s="3350"/>
      <c r="L6" s="3350"/>
      <c r="M6" s="3350"/>
      <c r="N6" s="3350"/>
      <c r="O6" s="3350"/>
      <c r="P6" s="3351"/>
      <c r="Q6" s="964"/>
      <c r="R6" s="965"/>
      <c r="S6" s="965"/>
      <c r="T6" s="965"/>
      <c r="U6" s="965"/>
      <c r="V6" s="965"/>
      <c r="W6" s="965"/>
      <c r="X6" s="1045"/>
      <c r="Y6" s="1045"/>
      <c r="Z6" s="1045"/>
      <c r="AA6" s="1045"/>
      <c r="AB6" s="965"/>
      <c r="AC6" s="966"/>
      <c r="AD6" s="2364"/>
      <c r="AE6" s="2365"/>
      <c r="AF6" s="2365"/>
      <c r="AG6" s="2365"/>
      <c r="AH6" s="2365"/>
      <c r="AI6" s="2365"/>
      <c r="AJ6" s="2365"/>
      <c r="AK6" s="2365"/>
      <c r="AL6" s="2365"/>
      <c r="AM6" s="2365"/>
      <c r="AN6" s="2365"/>
      <c r="AO6" s="2365"/>
      <c r="AP6" s="2365"/>
      <c r="AQ6" s="2365"/>
      <c r="AR6" s="2365"/>
      <c r="AS6" s="2365"/>
      <c r="AT6" s="2365"/>
      <c r="AU6" s="2365"/>
      <c r="AV6" s="2365"/>
      <c r="AW6" s="2365"/>
      <c r="AX6" s="2365"/>
      <c r="AY6" s="2365"/>
      <c r="AZ6" s="2365"/>
      <c r="BA6" s="2365"/>
      <c r="BB6" s="2365"/>
      <c r="BC6" s="2365"/>
      <c r="BD6" s="2365"/>
      <c r="BE6" s="2365"/>
      <c r="BF6" s="2365"/>
      <c r="BG6" s="2365"/>
      <c r="BH6" s="2365"/>
      <c r="BI6" s="2369"/>
      <c r="BJ6" s="964"/>
      <c r="BK6" s="965"/>
      <c r="BL6" s="965"/>
      <c r="BM6" s="965"/>
      <c r="BN6" s="965"/>
      <c r="BO6" s="965"/>
      <c r="BP6" s="965"/>
      <c r="BQ6" s="965"/>
      <c r="BR6" s="965"/>
      <c r="BS6" s="965"/>
      <c r="BT6" s="965"/>
      <c r="BU6" s="966"/>
      <c r="BV6" s="2"/>
      <c r="BW6" s="2"/>
      <c r="BX6" s="2"/>
      <c r="BY6" s="2"/>
      <c r="BZ6" s="2"/>
      <c r="CA6" s="2"/>
      <c r="CB6" s="2"/>
      <c r="CC6" s="2"/>
      <c r="CD6" s="2"/>
      <c r="CE6" s="2"/>
      <c r="CF6" s="2"/>
      <c r="CG6" s="2"/>
      <c r="CH6" s="2"/>
      <c r="CI6" s="2"/>
      <c r="CJ6" s="2"/>
      <c r="CK6" s="2"/>
      <c r="CL6" s="2"/>
      <c r="CM6" s="2"/>
      <c r="CN6" s="2"/>
      <c r="CO6" s="2"/>
    </row>
    <row r="7" spans="1:93" ht="28.5" customHeight="1" x14ac:dyDescent="0.25">
      <c r="A7" s="2520" t="s">
        <v>9</v>
      </c>
      <c r="B7" s="2521"/>
      <c r="C7" s="2522" t="s">
        <v>10</v>
      </c>
      <c r="D7" s="2521"/>
      <c r="E7" s="2522" t="s">
        <v>11</v>
      </c>
      <c r="F7" s="2521"/>
      <c r="G7" s="2522" t="s">
        <v>12</v>
      </c>
      <c r="H7" s="2520"/>
      <c r="I7" s="2520"/>
      <c r="J7" s="2520"/>
      <c r="K7" s="2522" t="s">
        <v>13</v>
      </c>
      <c r="L7" s="2520"/>
      <c r="M7" s="2520"/>
      <c r="N7" s="2521"/>
      <c r="O7" s="3353" t="s">
        <v>14</v>
      </c>
      <c r="P7" s="3354"/>
      <c r="Q7" s="3354"/>
      <c r="R7" s="3354"/>
      <c r="S7" s="3354"/>
      <c r="T7" s="3354"/>
      <c r="U7" s="3354"/>
      <c r="V7" s="3354"/>
      <c r="W7" s="3354"/>
      <c r="X7" s="3354"/>
      <c r="Y7" s="3354"/>
      <c r="Z7" s="3354"/>
      <c r="AA7" s="2523" t="s">
        <v>15</v>
      </c>
      <c r="AB7" s="3355"/>
      <c r="AC7" s="2524"/>
      <c r="AD7" s="2349" t="s">
        <v>16</v>
      </c>
      <c r="AE7" s="2350"/>
      <c r="AF7" s="2350"/>
      <c r="AG7" s="2351"/>
      <c r="AH7" s="2352" t="s">
        <v>17</v>
      </c>
      <c r="AI7" s="2353"/>
      <c r="AJ7" s="2353"/>
      <c r="AK7" s="2353"/>
      <c r="AL7" s="2353"/>
      <c r="AM7" s="2354"/>
      <c r="AN7" s="2360" t="s">
        <v>18</v>
      </c>
      <c r="AO7" s="2507"/>
      <c r="AP7" s="2507"/>
      <c r="AQ7" s="2507"/>
      <c r="AR7" s="2507"/>
      <c r="AS7" s="2507"/>
      <c r="AT7" s="2507"/>
      <c r="AU7" s="2507"/>
      <c r="AV7" s="2507"/>
      <c r="AW7" s="2507"/>
      <c r="AX7" s="2507"/>
      <c r="AY7" s="2507"/>
      <c r="AZ7" s="2507"/>
      <c r="BA7" s="2361"/>
      <c r="BB7" s="2352" t="s">
        <v>19</v>
      </c>
      <c r="BC7" s="2353"/>
      <c r="BD7" s="2353"/>
      <c r="BE7" s="2353"/>
      <c r="BF7" s="2353"/>
      <c r="BG7" s="2354"/>
      <c r="BH7" s="2527" t="s">
        <v>20</v>
      </c>
      <c r="BI7" s="2528"/>
      <c r="BJ7" s="3358" t="s">
        <v>21</v>
      </c>
      <c r="BK7" s="3359"/>
      <c r="BL7" s="3359"/>
      <c r="BM7" s="3359"/>
      <c r="BN7" s="3359"/>
      <c r="BO7" s="3359"/>
      <c r="BP7" s="3360"/>
      <c r="BQ7" s="2633" t="s">
        <v>1509</v>
      </c>
      <c r="BR7" s="2633"/>
      <c r="BS7" s="2633" t="s">
        <v>1032</v>
      </c>
      <c r="BT7" s="2633"/>
      <c r="BU7" s="2380" t="s">
        <v>24</v>
      </c>
      <c r="BV7" s="2"/>
      <c r="BW7" s="2"/>
      <c r="BX7" s="2"/>
      <c r="BY7" s="2"/>
      <c r="BZ7" s="2"/>
      <c r="CA7" s="2"/>
      <c r="CB7" s="2"/>
      <c r="CC7" s="2"/>
      <c r="CD7" s="2"/>
      <c r="CE7" s="2"/>
      <c r="CF7" s="2"/>
      <c r="CG7" s="2"/>
      <c r="CH7" s="2"/>
      <c r="CI7" s="2"/>
      <c r="CJ7" s="2"/>
      <c r="CK7" s="2"/>
      <c r="CL7" s="2"/>
      <c r="CM7" s="2"/>
      <c r="CN7" s="2"/>
      <c r="CO7" s="2"/>
    </row>
    <row r="8" spans="1:93" ht="127.5" customHeight="1" x14ac:dyDescent="0.25">
      <c r="A8" s="2343" t="s">
        <v>25</v>
      </c>
      <c r="B8" s="3356"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3361" t="s">
        <v>1510</v>
      </c>
      <c r="P8" s="3362"/>
      <c r="Q8" s="3363" t="s">
        <v>35</v>
      </c>
      <c r="R8" s="3363" t="s">
        <v>36</v>
      </c>
      <c r="S8" s="3365" t="s">
        <v>37</v>
      </c>
      <c r="T8" s="3366" t="s">
        <v>38</v>
      </c>
      <c r="U8" s="3356" t="s">
        <v>39</v>
      </c>
      <c r="V8" s="3356" t="s">
        <v>40</v>
      </c>
      <c r="W8" s="3363" t="s">
        <v>41</v>
      </c>
      <c r="X8" s="3367" t="s">
        <v>1511</v>
      </c>
      <c r="Y8" s="3367"/>
      <c r="Z8" s="2515"/>
      <c r="AA8" s="3356" t="s">
        <v>1034</v>
      </c>
      <c r="AB8" s="2343" t="s">
        <v>44</v>
      </c>
      <c r="AC8" s="3356" t="s">
        <v>26</v>
      </c>
      <c r="AD8" s="2358" t="s">
        <v>45</v>
      </c>
      <c r="AE8" s="2359"/>
      <c r="AF8" s="2341" t="s">
        <v>46</v>
      </c>
      <c r="AG8" s="2342"/>
      <c r="AH8" s="2358" t="s">
        <v>47</v>
      </c>
      <c r="AI8" s="2359"/>
      <c r="AJ8" s="2358" t="s">
        <v>48</v>
      </c>
      <c r="AK8" s="2359"/>
      <c r="AL8" s="2358" t="s">
        <v>49</v>
      </c>
      <c r="AM8" s="2359"/>
      <c r="AN8" s="2358" t="s">
        <v>50</v>
      </c>
      <c r="AO8" s="2359"/>
      <c r="AP8" s="2358" t="s">
        <v>51</v>
      </c>
      <c r="AQ8" s="2359"/>
      <c r="AR8" s="2358" t="s">
        <v>52</v>
      </c>
      <c r="AS8" s="2359"/>
      <c r="AT8" s="2358" t="s">
        <v>53</v>
      </c>
      <c r="AU8" s="2359"/>
      <c r="AV8" s="2358" t="s">
        <v>54</v>
      </c>
      <c r="AW8" s="2359"/>
      <c r="AX8" s="2358" t="s">
        <v>55</v>
      </c>
      <c r="AY8" s="2359"/>
      <c r="AZ8" s="2358" t="s">
        <v>722</v>
      </c>
      <c r="BA8" s="2359"/>
      <c r="BB8" s="3368" t="s">
        <v>57</v>
      </c>
      <c r="BC8" s="3369"/>
      <c r="BD8" s="3368" t="s">
        <v>58</v>
      </c>
      <c r="BE8" s="3369"/>
      <c r="BF8" s="3370" t="s">
        <v>59</v>
      </c>
      <c r="BG8" s="3371"/>
      <c r="BH8" s="2529"/>
      <c r="BI8" s="2530"/>
      <c r="BJ8" s="2336" t="s">
        <v>60</v>
      </c>
      <c r="BK8" s="2499" t="s">
        <v>136</v>
      </c>
      <c r="BL8" s="2336" t="s">
        <v>137</v>
      </c>
      <c r="BM8" s="2501" t="s">
        <v>63</v>
      </c>
      <c r="BN8" s="2334" t="s">
        <v>64</v>
      </c>
      <c r="BO8" s="2335"/>
      <c r="BP8" s="2336" t="s">
        <v>65</v>
      </c>
      <c r="BQ8" s="2633"/>
      <c r="BR8" s="2633"/>
      <c r="BS8" s="2633"/>
      <c r="BT8" s="2633"/>
      <c r="BU8" s="2381"/>
      <c r="BV8" s="2"/>
      <c r="BW8" s="2"/>
      <c r="BX8" s="2"/>
      <c r="BY8" s="2"/>
      <c r="BZ8" s="2"/>
      <c r="CA8" s="2"/>
      <c r="CB8" s="2"/>
      <c r="CC8" s="2"/>
      <c r="CD8" s="2"/>
      <c r="CE8" s="2"/>
      <c r="CF8" s="2"/>
      <c r="CG8" s="2"/>
      <c r="CH8" s="2"/>
      <c r="CI8" s="2"/>
      <c r="CJ8" s="2"/>
      <c r="CK8" s="2"/>
      <c r="CL8" s="2"/>
      <c r="CM8" s="2"/>
      <c r="CN8" s="2"/>
      <c r="CO8" s="2"/>
    </row>
    <row r="9" spans="1:93" ht="42" customHeight="1" x14ac:dyDescent="0.25">
      <c r="A9" s="2343"/>
      <c r="B9" s="3356"/>
      <c r="C9" s="2343"/>
      <c r="D9" s="3356"/>
      <c r="E9" s="3356"/>
      <c r="F9" s="3356"/>
      <c r="G9" s="3356"/>
      <c r="H9" s="3356"/>
      <c r="I9" s="3356"/>
      <c r="J9" s="3356"/>
      <c r="K9" s="3356"/>
      <c r="L9" s="3356"/>
      <c r="M9" s="3356"/>
      <c r="N9" s="3356"/>
      <c r="O9" s="1014" t="s">
        <v>138</v>
      </c>
      <c r="P9" s="1014" t="s">
        <v>139</v>
      </c>
      <c r="Q9" s="3364"/>
      <c r="R9" s="3364"/>
      <c r="S9" s="3365"/>
      <c r="T9" s="3366"/>
      <c r="U9" s="3356"/>
      <c r="V9" s="3356"/>
      <c r="W9" s="3364"/>
      <c r="X9" s="1046" t="s">
        <v>68</v>
      </c>
      <c r="Y9" s="1046" t="s">
        <v>69</v>
      </c>
      <c r="Z9" s="1047" t="s">
        <v>70</v>
      </c>
      <c r="AA9" s="3356"/>
      <c r="AB9" s="2343"/>
      <c r="AC9" s="3356"/>
      <c r="AD9" s="774" t="s">
        <v>66</v>
      </c>
      <c r="AE9" s="775" t="s">
        <v>67</v>
      </c>
      <c r="AF9" s="775" t="s">
        <v>66</v>
      </c>
      <c r="AG9" s="775" t="s">
        <v>67</v>
      </c>
      <c r="AH9" s="775" t="s">
        <v>66</v>
      </c>
      <c r="AI9" s="775" t="s">
        <v>67</v>
      </c>
      <c r="AJ9" s="775" t="s">
        <v>66</v>
      </c>
      <c r="AK9" s="775" t="s">
        <v>67</v>
      </c>
      <c r="AL9" s="775" t="s">
        <v>66</v>
      </c>
      <c r="AM9" s="775" t="s">
        <v>67</v>
      </c>
      <c r="AN9" s="775" t="s">
        <v>66</v>
      </c>
      <c r="AO9" s="775" t="s">
        <v>67</v>
      </c>
      <c r="AP9" s="775" t="s">
        <v>66</v>
      </c>
      <c r="AQ9" s="775" t="s">
        <v>67</v>
      </c>
      <c r="AR9" s="775" t="s">
        <v>66</v>
      </c>
      <c r="AS9" s="775" t="s">
        <v>67</v>
      </c>
      <c r="AT9" s="775" t="s">
        <v>66</v>
      </c>
      <c r="AU9" s="775" t="s">
        <v>67</v>
      </c>
      <c r="AV9" s="775" t="s">
        <v>66</v>
      </c>
      <c r="AW9" s="775" t="s">
        <v>67</v>
      </c>
      <c r="AX9" s="775" t="s">
        <v>66</v>
      </c>
      <c r="AY9" s="775" t="s">
        <v>67</v>
      </c>
      <c r="AZ9" s="775" t="s">
        <v>66</v>
      </c>
      <c r="BA9" s="775" t="s">
        <v>67</v>
      </c>
      <c r="BB9" s="775" t="s">
        <v>66</v>
      </c>
      <c r="BC9" s="775" t="s">
        <v>67</v>
      </c>
      <c r="BD9" s="775" t="s">
        <v>66</v>
      </c>
      <c r="BE9" s="775" t="s">
        <v>67</v>
      </c>
      <c r="BF9" s="775" t="s">
        <v>66</v>
      </c>
      <c r="BG9" s="775" t="s">
        <v>67</v>
      </c>
      <c r="BH9" s="775" t="s">
        <v>66</v>
      </c>
      <c r="BI9" s="775" t="s">
        <v>67</v>
      </c>
      <c r="BJ9" s="2337"/>
      <c r="BK9" s="2500"/>
      <c r="BL9" s="2337"/>
      <c r="BM9" s="2502"/>
      <c r="BN9" s="15" t="s">
        <v>25</v>
      </c>
      <c r="BO9" s="967" t="s">
        <v>26</v>
      </c>
      <c r="BP9" s="2337"/>
      <c r="BQ9" s="776" t="s">
        <v>66</v>
      </c>
      <c r="BR9" s="777" t="s">
        <v>67</v>
      </c>
      <c r="BS9" s="777" t="s">
        <v>66</v>
      </c>
      <c r="BT9" s="777" t="s">
        <v>67</v>
      </c>
      <c r="BU9" s="3357"/>
      <c r="BV9" s="2"/>
      <c r="BW9" s="2"/>
      <c r="BX9" s="2"/>
      <c r="BY9" s="2"/>
      <c r="BZ9" s="2"/>
      <c r="CA9" s="2"/>
      <c r="CB9" s="2"/>
      <c r="CC9" s="2"/>
      <c r="CD9" s="2"/>
      <c r="CE9" s="2"/>
      <c r="CF9" s="2"/>
      <c r="CG9" s="2"/>
      <c r="CH9" s="2"/>
      <c r="CI9" s="2"/>
      <c r="CJ9" s="2"/>
      <c r="CK9" s="2"/>
      <c r="CL9" s="2"/>
      <c r="CM9" s="2"/>
      <c r="CN9" s="2"/>
      <c r="CO9" s="2"/>
    </row>
    <row r="10" spans="1:93" ht="18.75" customHeight="1" x14ac:dyDescent="0.25">
      <c r="A10" s="1048">
        <v>1</v>
      </c>
      <c r="B10" s="3372" t="s">
        <v>1512</v>
      </c>
      <c r="C10" s="3373"/>
      <c r="D10" s="3373"/>
      <c r="E10" s="3373"/>
      <c r="F10" s="19"/>
      <c r="G10" s="19"/>
      <c r="H10" s="19"/>
      <c r="I10" s="19"/>
      <c r="J10" s="19"/>
      <c r="K10" s="19"/>
      <c r="L10" s="19"/>
      <c r="M10" s="19"/>
      <c r="N10" s="19"/>
      <c r="O10" s="19"/>
      <c r="P10" s="19"/>
      <c r="Q10" s="377"/>
      <c r="R10" s="377"/>
      <c r="S10" s="22"/>
      <c r="T10" s="24"/>
      <c r="U10" s="19"/>
      <c r="V10" s="19"/>
      <c r="W10" s="377"/>
      <c r="X10" s="1049"/>
      <c r="Y10" s="1049"/>
      <c r="Z10" s="1049"/>
      <c r="AA10" s="19"/>
      <c r="AB10" s="25"/>
      <c r="AC10" s="19"/>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703"/>
      <c r="BR10" s="703"/>
      <c r="BS10" s="703"/>
      <c r="BT10" s="703"/>
      <c r="BU10" s="704"/>
      <c r="BV10" s="2"/>
      <c r="BW10" s="2"/>
      <c r="BX10" s="2"/>
      <c r="BY10" s="2"/>
      <c r="BZ10" s="2"/>
      <c r="CA10" s="2"/>
      <c r="CB10" s="2"/>
      <c r="CC10" s="2"/>
      <c r="CD10" s="2"/>
      <c r="CE10" s="2"/>
      <c r="CF10" s="2"/>
      <c r="CG10" s="2"/>
      <c r="CH10" s="2"/>
      <c r="CI10" s="2"/>
      <c r="CJ10" s="2"/>
      <c r="CK10" s="2"/>
      <c r="CL10" s="2"/>
      <c r="CM10" s="2"/>
      <c r="CN10" s="2"/>
      <c r="CO10" s="2"/>
    </row>
    <row r="11" spans="1:93" s="70" customFormat="1" ht="18.75" customHeight="1" x14ac:dyDescent="0.25">
      <c r="A11" s="985"/>
      <c r="B11" s="983"/>
      <c r="C11" s="31">
        <v>33</v>
      </c>
      <c r="D11" s="3374" t="s">
        <v>473</v>
      </c>
      <c r="E11" s="3375"/>
      <c r="F11" s="3375"/>
      <c r="G11" s="3375"/>
      <c r="H11" s="33"/>
      <c r="I11" s="33"/>
      <c r="J11" s="33"/>
      <c r="K11" s="33"/>
      <c r="L11" s="33"/>
      <c r="M11" s="632"/>
      <c r="N11" s="632"/>
      <c r="O11" s="632"/>
      <c r="P11" s="632"/>
      <c r="Q11" s="632"/>
      <c r="R11" s="632"/>
      <c r="S11" s="826"/>
      <c r="T11" s="827"/>
      <c r="U11" s="632"/>
      <c r="V11" s="632"/>
      <c r="W11" s="632"/>
      <c r="X11" s="1050"/>
      <c r="Y11" s="1050"/>
      <c r="Z11" s="1050"/>
      <c r="AA11" s="632"/>
      <c r="AB11" s="631"/>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2"/>
      <c r="BH11" s="632"/>
      <c r="BI11" s="632"/>
      <c r="BJ11" s="632"/>
      <c r="BK11" s="632"/>
      <c r="BL11" s="632"/>
      <c r="BM11" s="632"/>
      <c r="BN11" s="632"/>
      <c r="BO11" s="632"/>
      <c r="BP11" s="632"/>
      <c r="BQ11" s="634"/>
      <c r="BR11" s="634"/>
      <c r="BS11" s="634"/>
      <c r="BT11" s="634"/>
      <c r="BU11" s="635"/>
    </row>
    <row r="12" spans="1:93" s="2" customFormat="1" ht="16.5" customHeight="1" x14ac:dyDescent="0.25">
      <c r="A12" s="981"/>
      <c r="B12" s="982"/>
      <c r="C12" s="979"/>
      <c r="D12" s="980"/>
      <c r="E12" s="1051">
        <v>3301</v>
      </c>
      <c r="F12" s="1052" t="s">
        <v>474</v>
      </c>
      <c r="G12" s="990"/>
      <c r="H12" s="990"/>
      <c r="I12" s="990"/>
      <c r="J12" s="990"/>
      <c r="K12" s="990"/>
      <c r="L12" s="990"/>
      <c r="M12" s="569"/>
      <c r="N12" s="569"/>
      <c r="O12" s="569"/>
      <c r="P12" s="569"/>
      <c r="Q12" s="569"/>
      <c r="R12" s="1053"/>
      <c r="S12" s="1053"/>
      <c r="T12" s="831"/>
      <c r="U12" s="639"/>
      <c r="V12" s="569"/>
      <c r="W12" s="639"/>
      <c r="X12" s="1054"/>
      <c r="Y12" s="1054"/>
      <c r="Z12" s="1054"/>
      <c r="AA12" s="569"/>
      <c r="AB12" s="638"/>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42"/>
      <c r="BR12" s="642"/>
      <c r="BS12" s="642"/>
      <c r="BT12" s="642"/>
      <c r="BU12" s="643"/>
    </row>
    <row r="13" spans="1:93" s="70" customFormat="1" ht="38.25" customHeight="1" x14ac:dyDescent="0.25">
      <c r="A13" s="986"/>
      <c r="B13" s="978"/>
      <c r="C13" s="986"/>
      <c r="D13" s="978"/>
      <c r="E13" s="1012"/>
      <c r="F13" s="3376"/>
      <c r="G13" s="3377">
        <v>3301087</v>
      </c>
      <c r="H13" s="3379" t="s">
        <v>1513</v>
      </c>
      <c r="I13" s="3377">
        <v>3301087</v>
      </c>
      <c r="J13" s="3397" t="s">
        <v>1513</v>
      </c>
      <c r="K13" s="3378">
        <v>330108701</v>
      </c>
      <c r="L13" s="3400" t="s">
        <v>1399</v>
      </c>
      <c r="M13" s="3378">
        <v>330108701</v>
      </c>
      <c r="N13" s="3402" t="s">
        <v>1399</v>
      </c>
      <c r="O13" s="3404">
        <v>5700</v>
      </c>
      <c r="P13" s="3385">
        <v>148</v>
      </c>
      <c r="Q13" s="3386" t="s">
        <v>1514</v>
      </c>
      <c r="R13" s="3388" t="s">
        <v>1515</v>
      </c>
      <c r="S13" s="3390">
        <f>SUM(X13:X15)/T13</f>
        <v>0.18838348955431594</v>
      </c>
      <c r="T13" s="3392">
        <f>SUM(X13:X32)</f>
        <v>1964078703.8999999</v>
      </c>
      <c r="U13" s="3394" t="s">
        <v>1516</v>
      </c>
      <c r="V13" s="3413" t="s">
        <v>1517</v>
      </c>
      <c r="W13" s="3416" t="s">
        <v>1518</v>
      </c>
      <c r="X13" s="998">
        <f>270000000+51600000-80000000</f>
        <v>241600000</v>
      </c>
      <c r="Y13" s="1055">
        <v>57140000</v>
      </c>
      <c r="Z13" s="1056">
        <v>12385000</v>
      </c>
      <c r="AA13" s="1011" t="s">
        <v>1519</v>
      </c>
      <c r="AB13" s="1057">
        <v>20</v>
      </c>
      <c r="AC13" s="991" t="s">
        <v>1520</v>
      </c>
      <c r="AD13" s="3411">
        <v>763.40206894654307</v>
      </c>
      <c r="AE13" s="3411">
        <v>667</v>
      </c>
      <c r="AF13" s="3411">
        <v>736.59793105345693</v>
      </c>
      <c r="AG13" s="3411">
        <v>457</v>
      </c>
      <c r="AH13" s="3411">
        <v>349.61190056951057</v>
      </c>
      <c r="AI13" s="3411">
        <v>28</v>
      </c>
      <c r="AJ13" s="3411">
        <v>114.14456488843646</v>
      </c>
      <c r="AK13" s="3411">
        <v>51</v>
      </c>
      <c r="AL13" s="3411">
        <v>797.38183343879825</v>
      </c>
      <c r="AM13" s="3411">
        <v>360</v>
      </c>
      <c r="AN13" s="3411">
        <v>238.86170110325475</v>
      </c>
      <c r="AO13" s="3411">
        <v>120</v>
      </c>
      <c r="AP13" s="3411">
        <v>5.5326092937518911</v>
      </c>
      <c r="AQ13" s="3411">
        <v>0</v>
      </c>
      <c r="AR13" s="3411">
        <v>32.803601397639419</v>
      </c>
      <c r="AS13" s="3411">
        <v>10</v>
      </c>
      <c r="AT13" s="3411">
        <v>6.7061930833356265E-2</v>
      </c>
      <c r="AU13" s="3411">
        <v>0</v>
      </c>
      <c r="AV13" s="3411">
        <v>9.543428618593007E-2</v>
      </c>
      <c r="AW13" s="3411">
        <v>0</v>
      </c>
      <c r="AX13" s="3411">
        <v>0</v>
      </c>
      <c r="AY13" s="3411">
        <v>0</v>
      </c>
      <c r="AZ13" s="3411">
        <v>0</v>
      </c>
      <c r="BA13" s="3411">
        <v>0</v>
      </c>
      <c r="BB13" s="3411">
        <v>114.39217817151346</v>
      </c>
      <c r="BC13" s="3411">
        <v>120</v>
      </c>
      <c r="BD13" s="3411">
        <v>56.600269623352688</v>
      </c>
      <c r="BE13" s="3411">
        <v>0</v>
      </c>
      <c r="BF13" s="3411">
        <v>195.2198599609321</v>
      </c>
      <c r="BG13" s="3411">
        <v>2</v>
      </c>
      <c r="BH13" s="3411">
        <f>+O13</f>
        <v>5700</v>
      </c>
      <c r="BI13" s="3411">
        <v>1304</v>
      </c>
      <c r="BJ13" s="3411">
        <v>10</v>
      </c>
      <c r="BK13" s="3411">
        <f>SUM(Y13:Y32)</f>
        <v>206930000</v>
      </c>
      <c r="BL13" s="3411">
        <f>SUM(Z13:Z32)</f>
        <v>43525000</v>
      </c>
      <c r="BM13" s="3430">
        <v>0</v>
      </c>
      <c r="BN13" s="3432" t="s">
        <v>1521</v>
      </c>
      <c r="BO13" s="3432" t="s">
        <v>1522</v>
      </c>
      <c r="BP13" s="3432" t="s">
        <v>1523</v>
      </c>
      <c r="BQ13" s="2683">
        <v>44200</v>
      </c>
      <c r="BR13" s="2683">
        <v>44235</v>
      </c>
      <c r="BS13" s="2683">
        <v>44560</v>
      </c>
      <c r="BT13" s="2683">
        <v>44445</v>
      </c>
      <c r="BU13" s="3423" t="s">
        <v>1524</v>
      </c>
    </row>
    <row r="14" spans="1:93" s="70" customFormat="1" ht="38.25" customHeight="1" x14ac:dyDescent="0.25">
      <c r="A14" s="986"/>
      <c r="B14" s="978"/>
      <c r="C14" s="986"/>
      <c r="D14" s="978"/>
      <c r="E14" s="1012"/>
      <c r="F14" s="3376"/>
      <c r="G14" s="3378"/>
      <c r="H14" s="3380"/>
      <c r="I14" s="3378"/>
      <c r="J14" s="3398"/>
      <c r="K14" s="3399"/>
      <c r="L14" s="3401"/>
      <c r="M14" s="3399"/>
      <c r="N14" s="3403"/>
      <c r="O14" s="3405"/>
      <c r="P14" s="3385"/>
      <c r="Q14" s="3387"/>
      <c r="R14" s="3389"/>
      <c r="S14" s="3391"/>
      <c r="T14" s="3393"/>
      <c r="U14" s="3395"/>
      <c r="V14" s="3414"/>
      <c r="W14" s="3417"/>
      <c r="X14" s="1058">
        <v>80000000</v>
      </c>
      <c r="Y14" s="1059">
        <v>0</v>
      </c>
      <c r="Z14" s="1058">
        <v>0</v>
      </c>
      <c r="AA14" s="971" t="s">
        <v>1525</v>
      </c>
      <c r="AB14" s="984">
        <v>88</v>
      </c>
      <c r="AC14" s="993" t="s">
        <v>1526</v>
      </c>
      <c r="AD14" s="3412"/>
      <c r="AE14" s="3412"/>
      <c r="AF14" s="3412"/>
      <c r="AG14" s="3412"/>
      <c r="AH14" s="3412"/>
      <c r="AI14" s="3412"/>
      <c r="AJ14" s="3412"/>
      <c r="AK14" s="3412"/>
      <c r="AL14" s="3412"/>
      <c r="AM14" s="3412"/>
      <c r="AN14" s="3412"/>
      <c r="AO14" s="3412"/>
      <c r="AP14" s="3412"/>
      <c r="AQ14" s="3412"/>
      <c r="AR14" s="3412"/>
      <c r="AS14" s="3412"/>
      <c r="AT14" s="3412"/>
      <c r="AU14" s="3412"/>
      <c r="AV14" s="3412"/>
      <c r="AW14" s="3412"/>
      <c r="AX14" s="3412"/>
      <c r="AY14" s="3412"/>
      <c r="AZ14" s="3412"/>
      <c r="BA14" s="3412"/>
      <c r="BB14" s="3412"/>
      <c r="BC14" s="3412"/>
      <c r="BD14" s="3412"/>
      <c r="BE14" s="3412"/>
      <c r="BF14" s="3412"/>
      <c r="BG14" s="3412"/>
      <c r="BH14" s="3412"/>
      <c r="BI14" s="3412"/>
      <c r="BJ14" s="3412"/>
      <c r="BK14" s="3412"/>
      <c r="BL14" s="3412"/>
      <c r="BM14" s="3431"/>
      <c r="BN14" s="3432"/>
      <c r="BO14" s="3432"/>
      <c r="BP14" s="3432"/>
      <c r="BQ14" s="2684"/>
      <c r="BR14" s="2684"/>
      <c r="BS14" s="2684"/>
      <c r="BT14" s="2684"/>
      <c r="BU14" s="3424"/>
    </row>
    <row r="15" spans="1:93" s="70" customFormat="1" ht="41.25" customHeight="1" x14ac:dyDescent="0.25">
      <c r="A15" s="986"/>
      <c r="B15" s="978"/>
      <c r="C15" s="986"/>
      <c r="D15" s="978"/>
      <c r="E15" s="1012"/>
      <c r="F15" s="3376"/>
      <c r="G15" s="3378"/>
      <c r="H15" s="3380"/>
      <c r="I15" s="3378"/>
      <c r="J15" s="3398"/>
      <c r="K15" s="3399"/>
      <c r="L15" s="3401"/>
      <c r="M15" s="3399"/>
      <c r="N15" s="3403"/>
      <c r="O15" s="3405"/>
      <c r="P15" s="3385"/>
      <c r="Q15" s="3387"/>
      <c r="R15" s="3389"/>
      <c r="S15" s="3391"/>
      <c r="T15" s="3393"/>
      <c r="U15" s="3395"/>
      <c r="V15" s="3415"/>
      <c r="W15" s="1004" t="s">
        <v>1527</v>
      </c>
      <c r="X15" s="1060">
        <f>100000000-51600000</f>
        <v>48400000</v>
      </c>
      <c r="Y15" s="1061">
        <v>0</v>
      </c>
      <c r="Z15" s="998">
        <v>0</v>
      </c>
      <c r="AA15" s="1062" t="s">
        <v>1519</v>
      </c>
      <c r="AB15" s="1057">
        <v>20</v>
      </c>
      <c r="AC15" s="991" t="s">
        <v>1528</v>
      </c>
      <c r="AD15" s="3412"/>
      <c r="AE15" s="3412"/>
      <c r="AF15" s="3412"/>
      <c r="AG15" s="3412"/>
      <c r="AH15" s="3412"/>
      <c r="AI15" s="3412"/>
      <c r="AJ15" s="3412"/>
      <c r="AK15" s="3412"/>
      <c r="AL15" s="3412"/>
      <c r="AM15" s="3412"/>
      <c r="AN15" s="3412"/>
      <c r="AO15" s="3412"/>
      <c r="AP15" s="3412"/>
      <c r="AQ15" s="3412"/>
      <c r="AR15" s="3412"/>
      <c r="AS15" s="3412"/>
      <c r="AT15" s="3412"/>
      <c r="AU15" s="3412"/>
      <c r="AV15" s="3412"/>
      <c r="AW15" s="3412"/>
      <c r="AX15" s="3412"/>
      <c r="AY15" s="3412"/>
      <c r="AZ15" s="3412"/>
      <c r="BA15" s="3412"/>
      <c r="BB15" s="3412"/>
      <c r="BC15" s="3412"/>
      <c r="BD15" s="3412"/>
      <c r="BE15" s="3412"/>
      <c r="BF15" s="3412"/>
      <c r="BG15" s="3412"/>
      <c r="BH15" s="3412"/>
      <c r="BI15" s="3412"/>
      <c r="BJ15" s="3412"/>
      <c r="BK15" s="3412"/>
      <c r="BL15" s="3412"/>
      <c r="BM15" s="3431"/>
      <c r="BN15" s="3432"/>
      <c r="BO15" s="3432"/>
      <c r="BP15" s="3432"/>
      <c r="BQ15" s="2684"/>
      <c r="BR15" s="2684"/>
      <c r="BS15" s="2684"/>
      <c r="BT15" s="2684"/>
      <c r="BU15" s="3424"/>
    </row>
    <row r="16" spans="1:93" s="69" customFormat="1" ht="39.75" customHeight="1" x14ac:dyDescent="0.25">
      <c r="A16" s="977"/>
      <c r="B16" s="978"/>
      <c r="C16" s="977"/>
      <c r="D16" s="978"/>
      <c r="E16" s="1012"/>
      <c r="F16" s="3376"/>
      <c r="G16" s="3426">
        <v>3301073</v>
      </c>
      <c r="H16" s="3427" t="s">
        <v>1529</v>
      </c>
      <c r="I16" s="3428">
        <v>3301073</v>
      </c>
      <c r="J16" s="3427" t="s">
        <v>1529</v>
      </c>
      <c r="K16" s="3428">
        <v>330107301</v>
      </c>
      <c r="L16" s="3429" t="s">
        <v>1530</v>
      </c>
      <c r="M16" s="3381">
        <v>330107301</v>
      </c>
      <c r="N16" s="3082" t="s">
        <v>1530</v>
      </c>
      <c r="O16" s="3406">
        <v>500</v>
      </c>
      <c r="P16" s="3408">
        <v>3</v>
      </c>
      <c r="Q16" s="3387"/>
      <c r="R16" s="3389"/>
      <c r="S16" s="3410">
        <f>SUM(X16:X29)/T13</f>
        <v>0.78137332320372088</v>
      </c>
      <c r="T16" s="3393"/>
      <c r="U16" s="3395"/>
      <c r="V16" s="3421" t="s">
        <v>1531</v>
      </c>
      <c r="W16" s="973" t="s">
        <v>1532</v>
      </c>
      <c r="X16" s="1058">
        <v>85000000</v>
      </c>
      <c r="Y16" s="1058">
        <v>40655000</v>
      </c>
      <c r="Z16" s="1058">
        <v>11200000</v>
      </c>
      <c r="AA16" s="971" t="s">
        <v>1533</v>
      </c>
      <c r="AB16" s="984">
        <v>20</v>
      </c>
      <c r="AC16" s="993" t="s">
        <v>1528</v>
      </c>
      <c r="AD16" s="3412"/>
      <c r="AE16" s="3412"/>
      <c r="AF16" s="3412"/>
      <c r="AG16" s="3412"/>
      <c r="AH16" s="3412"/>
      <c r="AI16" s="3412"/>
      <c r="AJ16" s="3412"/>
      <c r="AK16" s="3412"/>
      <c r="AL16" s="3412"/>
      <c r="AM16" s="3412"/>
      <c r="AN16" s="3412"/>
      <c r="AO16" s="3412"/>
      <c r="AP16" s="3412"/>
      <c r="AQ16" s="3412"/>
      <c r="AR16" s="3412"/>
      <c r="AS16" s="3412"/>
      <c r="AT16" s="3412"/>
      <c r="AU16" s="3412"/>
      <c r="AV16" s="3412"/>
      <c r="AW16" s="3412"/>
      <c r="AX16" s="3412"/>
      <c r="AY16" s="3412"/>
      <c r="AZ16" s="3412"/>
      <c r="BA16" s="3412"/>
      <c r="BB16" s="3412"/>
      <c r="BC16" s="3412"/>
      <c r="BD16" s="3412"/>
      <c r="BE16" s="3412"/>
      <c r="BF16" s="3412"/>
      <c r="BG16" s="3412"/>
      <c r="BH16" s="3412"/>
      <c r="BI16" s="3412"/>
      <c r="BJ16" s="3412"/>
      <c r="BK16" s="3412"/>
      <c r="BL16" s="3412"/>
      <c r="BM16" s="3431"/>
      <c r="BN16" s="3432"/>
      <c r="BO16" s="3432"/>
      <c r="BP16" s="3432"/>
      <c r="BQ16" s="2684"/>
      <c r="BR16" s="2684"/>
      <c r="BS16" s="2684"/>
      <c r="BT16" s="2684"/>
      <c r="BU16" s="3424"/>
    </row>
    <row r="17" spans="1:73" s="69" customFormat="1" ht="39.75" customHeight="1" x14ac:dyDescent="0.25">
      <c r="A17" s="986"/>
      <c r="B17" s="978"/>
      <c r="C17" s="977"/>
      <c r="D17" s="978"/>
      <c r="E17" s="1012"/>
      <c r="F17" s="3376"/>
      <c r="G17" s="3426"/>
      <c r="H17" s="3427"/>
      <c r="I17" s="3428"/>
      <c r="J17" s="3427"/>
      <c r="K17" s="3428"/>
      <c r="L17" s="3429"/>
      <c r="M17" s="3381"/>
      <c r="N17" s="3082"/>
      <c r="O17" s="3406"/>
      <c r="P17" s="3409"/>
      <c r="Q17" s="3387"/>
      <c r="R17" s="3389"/>
      <c r="S17" s="3410"/>
      <c r="T17" s="3393"/>
      <c r="U17" s="3395"/>
      <c r="V17" s="3422"/>
      <c r="W17" s="973" t="s">
        <v>1534</v>
      </c>
      <c r="X17" s="1058">
        <v>15000000</v>
      </c>
      <c r="Y17" s="1058">
        <v>0</v>
      </c>
      <c r="Z17" s="1058">
        <v>0</v>
      </c>
      <c r="AA17" s="971" t="s">
        <v>1533</v>
      </c>
      <c r="AB17" s="984">
        <v>20</v>
      </c>
      <c r="AC17" s="993" t="s">
        <v>1528</v>
      </c>
      <c r="AD17" s="3412"/>
      <c r="AE17" s="3412"/>
      <c r="AF17" s="3412"/>
      <c r="AG17" s="3412"/>
      <c r="AH17" s="3412"/>
      <c r="AI17" s="3412"/>
      <c r="AJ17" s="3412"/>
      <c r="AK17" s="3412"/>
      <c r="AL17" s="3412"/>
      <c r="AM17" s="3412"/>
      <c r="AN17" s="3412"/>
      <c r="AO17" s="3412"/>
      <c r="AP17" s="3412"/>
      <c r="AQ17" s="3412"/>
      <c r="AR17" s="3412"/>
      <c r="AS17" s="3412"/>
      <c r="AT17" s="3412"/>
      <c r="AU17" s="3412"/>
      <c r="AV17" s="3412"/>
      <c r="AW17" s="3412"/>
      <c r="AX17" s="3412"/>
      <c r="AY17" s="3412"/>
      <c r="AZ17" s="3412"/>
      <c r="BA17" s="3412"/>
      <c r="BB17" s="3412"/>
      <c r="BC17" s="3412"/>
      <c r="BD17" s="3412"/>
      <c r="BE17" s="3412"/>
      <c r="BF17" s="3412"/>
      <c r="BG17" s="3412"/>
      <c r="BH17" s="3412"/>
      <c r="BI17" s="3412"/>
      <c r="BJ17" s="3412"/>
      <c r="BK17" s="3412"/>
      <c r="BL17" s="3412"/>
      <c r="BM17" s="3431"/>
      <c r="BN17" s="3432"/>
      <c r="BO17" s="3432"/>
      <c r="BP17" s="3432"/>
      <c r="BQ17" s="2684"/>
      <c r="BR17" s="2684"/>
      <c r="BS17" s="2684"/>
      <c r="BT17" s="2684"/>
      <c r="BU17" s="3424"/>
    </row>
    <row r="18" spans="1:73" s="70" customFormat="1" ht="60.75" customHeight="1" x14ac:dyDescent="0.25">
      <c r="A18" s="986"/>
      <c r="B18" s="978"/>
      <c r="C18" s="986"/>
      <c r="D18" s="978"/>
      <c r="E18" s="1012"/>
      <c r="F18" s="3376"/>
      <c r="G18" s="3426"/>
      <c r="H18" s="3427"/>
      <c r="I18" s="3428"/>
      <c r="J18" s="3427"/>
      <c r="K18" s="3428"/>
      <c r="L18" s="3429"/>
      <c r="M18" s="3381"/>
      <c r="N18" s="3082"/>
      <c r="O18" s="3406"/>
      <c r="P18" s="3409"/>
      <c r="Q18" s="3387"/>
      <c r="R18" s="3389"/>
      <c r="S18" s="3410"/>
      <c r="T18" s="3393"/>
      <c r="U18" s="3395"/>
      <c r="V18" s="3414"/>
      <c r="W18" s="1005" t="s">
        <v>1535</v>
      </c>
      <c r="X18" s="1063">
        <v>50000000</v>
      </c>
      <c r="Y18" s="1064">
        <v>18740000</v>
      </c>
      <c r="Z18" s="999">
        <v>11170000</v>
      </c>
      <c r="AA18" s="1000" t="s">
        <v>1533</v>
      </c>
      <c r="AB18" s="997">
        <v>20</v>
      </c>
      <c r="AC18" s="991" t="s">
        <v>1528</v>
      </c>
      <c r="AD18" s="3412"/>
      <c r="AE18" s="3412"/>
      <c r="AF18" s="3412"/>
      <c r="AG18" s="3412"/>
      <c r="AH18" s="3412"/>
      <c r="AI18" s="3412"/>
      <c r="AJ18" s="3412"/>
      <c r="AK18" s="3412"/>
      <c r="AL18" s="3412"/>
      <c r="AM18" s="3412"/>
      <c r="AN18" s="3412"/>
      <c r="AO18" s="3412"/>
      <c r="AP18" s="3412"/>
      <c r="AQ18" s="3412"/>
      <c r="AR18" s="3412"/>
      <c r="AS18" s="3412"/>
      <c r="AT18" s="3412"/>
      <c r="AU18" s="3412"/>
      <c r="AV18" s="3412"/>
      <c r="AW18" s="3412"/>
      <c r="AX18" s="3412"/>
      <c r="AY18" s="3412"/>
      <c r="AZ18" s="3412"/>
      <c r="BA18" s="3412"/>
      <c r="BB18" s="3412"/>
      <c r="BC18" s="3412"/>
      <c r="BD18" s="3412"/>
      <c r="BE18" s="3412"/>
      <c r="BF18" s="3412"/>
      <c r="BG18" s="3412"/>
      <c r="BH18" s="3412"/>
      <c r="BI18" s="3412"/>
      <c r="BJ18" s="3412"/>
      <c r="BK18" s="3412"/>
      <c r="BL18" s="3412"/>
      <c r="BM18" s="3431"/>
      <c r="BN18" s="3432"/>
      <c r="BO18" s="3432"/>
      <c r="BP18" s="3432"/>
      <c r="BQ18" s="2684"/>
      <c r="BR18" s="2684"/>
      <c r="BS18" s="2684"/>
      <c r="BT18" s="2684"/>
      <c r="BU18" s="3424"/>
    </row>
    <row r="19" spans="1:73" s="70" customFormat="1" ht="60.75" customHeight="1" x14ac:dyDescent="0.25">
      <c r="A19" s="986"/>
      <c r="B19" s="978"/>
      <c r="C19" s="986"/>
      <c r="D19" s="978"/>
      <c r="E19" s="1012"/>
      <c r="F19" s="3376"/>
      <c r="G19" s="3426"/>
      <c r="H19" s="3427"/>
      <c r="I19" s="3428"/>
      <c r="J19" s="3427"/>
      <c r="K19" s="3428"/>
      <c r="L19" s="3429"/>
      <c r="M19" s="3381"/>
      <c r="N19" s="3082"/>
      <c r="O19" s="3406"/>
      <c r="P19" s="3409"/>
      <c r="Q19" s="3387"/>
      <c r="R19" s="3389"/>
      <c r="S19" s="3410"/>
      <c r="T19" s="3393"/>
      <c r="U19" s="3395"/>
      <c r="V19" s="3414"/>
      <c r="W19" s="1065" t="s">
        <v>1536</v>
      </c>
      <c r="X19" s="1058">
        <v>50000000</v>
      </c>
      <c r="Y19" s="1063">
        <v>29195000</v>
      </c>
      <c r="Z19" s="1058">
        <v>5770000</v>
      </c>
      <c r="AA19" s="1001" t="s">
        <v>1537</v>
      </c>
      <c r="AB19" s="660">
        <v>39</v>
      </c>
      <c r="AC19" s="993" t="s">
        <v>1538</v>
      </c>
      <c r="AD19" s="3412"/>
      <c r="AE19" s="3412"/>
      <c r="AF19" s="3412"/>
      <c r="AG19" s="3412"/>
      <c r="AH19" s="3412"/>
      <c r="AI19" s="3412"/>
      <c r="AJ19" s="3412"/>
      <c r="AK19" s="3412"/>
      <c r="AL19" s="3412"/>
      <c r="AM19" s="3412"/>
      <c r="AN19" s="3412"/>
      <c r="AO19" s="3412"/>
      <c r="AP19" s="3412"/>
      <c r="AQ19" s="3412"/>
      <c r="AR19" s="3412"/>
      <c r="AS19" s="3412"/>
      <c r="AT19" s="3412"/>
      <c r="AU19" s="3412"/>
      <c r="AV19" s="3412"/>
      <c r="AW19" s="3412"/>
      <c r="AX19" s="3412"/>
      <c r="AY19" s="3412"/>
      <c r="AZ19" s="3412"/>
      <c r="BA19" s="3412"/>
      <c r="BB19" s="3412"/>
      <c r="BC19" s="3412"/>
      <c r="BD19" s="3412"/>
      <c r="BE19" s="3412"/>
      <c r="BF19" s="3412"/>
      <c r="BG19" s="3412"/>
      <c r="BH19" s="3412"/>
      <c r="BI19" s="3412"/>
      <c r="BJ19" s="3412"/>
      <c r="BK19" s="3412"/>
      <c r="BL19" s="3412"/>
      <c r="BM19" s="3431"/>
      <c r="BN19" s="3432"/>
      <c r="BO19" s="3432"/>
      <c r="BP19" s="3432"/>
      <c r="BQ19" s="2684"/>
      <c r="BR19" s="2684"/>
      <c r="BS19" s="2684"/>
      <c r="BT19" s="2684"/>
      <c r="BU19" s="3424"/>
    </row>
    <row r="20" spans="1:73" s="70" customFormat="1" ht="60.75" customHeight="1" x14ac:dyDescent="0.25">
      <c r="A20" s="986"/>
      <c r="B20" s="978"/>
      <c r="C20" s="986"/>
      <c r="D20" s="978"/>
      <c r="E20" s="1012"/>
      <c r="F20" s="3376"/>
      <c r="G20" s="3426"/>
      <c r="H20" s="3427"/>
      <c r="I20" s="3428"/>
      <c r="J20" s="3427"/>
      <c r="K20" s="3428"/>
      <c r="L20" s="3429"/>
      <c r="M20" s="3381"/>
      <c r="N20" s="3082"/>
      <c r="O20" s="3406"/>
      <c r="P20" s="3409"/>
      <c r="Q20" s="3387"/>
      <c r="R20" s="3389"/>
      <c r="S20" s="3410"/>
      <c r="T20" s="3393"/>
      <c r="U20" s="3395"/>
      <c r="V20" s="3414"/>
      <c r="W20" s="1065" t="s">
        <v>1539</v>
      </c>
      <c r="X20" s="1058">
        <v>28000000</v>
      </c>
      <c r="Y20" s="1066">
        <v>7200000</v>
      </c>
      <c r="Z20" s="1058">
        <v>0</v>
      </c>
      <c r="AA20" s="1001" t="s">
        <v>1537</v>
      </c>
      <c r="AB20" s="660">
        <v>39</v>
      </c>
      <c r="AC20" s="993" t="s">
        <v>1538</v>
      </c>
      <c r="AD20" s="3412"/>
      <c r="AE20" s="3412"/>
      <c r="AF20" s="3412"/>
      <c r="AG20" s="3412"/>
      <c r="AH20" s="3412"/>
      <c r="AI20" s="3412"/>
      <c r="AJ20" s="3412"/>
      <c r="AK20" s="3412"/>
      <c r="AL20" s="3412"/>
      <c r="AM20" s="3412"/>
      <c r="AN20" s="3412"/>
      <c r="AO20" s="3412"/>
      <c r="AP20" s="3412"/>
      <c r="AQ20" s="3412"/>
      <c r="AR20" s="3412"/>
      <c r="AS20" s="3412"/>
      <c r="AT20" s="3412"/>
      <c r="AU20" s="3412"/>
      <c r="AV20" s="3412"/>
      <c r="AW20" s="3412"/>
      <c r="AX20" s="3412"/>
      <c r="AY20" s="3412"/>
      <c r="AZ20" s="3412"/>
      <c r="BA20" s="3412"/>
      <c r="BB20" s="3412"/>
      <c r="BC20" s="3412"/>
      <c r="BD20" s="3412"/>
      <c r="BE20" s="3412"/>
      <c r="BF20" s="3412"/>
      <c r="BG20" s="3412"/>
      <c r="BH20" s="3412"/>
      <c r="BI20" s="3412"/>
      <c r="BJ20" s="3412"/>
      <c r="BK20" s="3412"/>
      <c r="BL20" s="3412"/>
      <c r="BM20" s="3431"/>
      <c r="BN20" s="3432"/>
      <c r="BO20" s="3432"/>
      <c r="BP20" s="3432"/>
      <c r="BQ20" s="2684"/>
      <c r="BR20" s="2684"/>
      <c r="BS20" s="2684"/>
      <c r="BT20" s="2684"/>
      <c r="BU20" s="3424"/>
    </row>
    <row r="21" spans="1:73" s="70" customFormat="1" ht="60.75" customHeight="1" x14ac:dyDescent="0.25">
      <c r="A21" s="986"/>
      <c r="B21" s="978"/>
      <c r="C21" s="986"/>
      <c r="D21" s="978"/>
      <c r="E21" s="1012"/>
      <c r="F21" s="3376"/>
      <c r="G21" s="3426"/>
      <c r="H21" s="3427"/>
      <c r="I21" s="3428"/>
      <c r="J21" s="3427"/>
      <c r="K21" s="3428"/>
      <c r="L21" s="3429"/>
      <c r="M21" s="3381"/>
      <c r="N21" s="3082"/>
      <c r="O21" s="3406"/>
      <c r="P21" s="3409"/>
      <c r="Q21" s="3387"/>
      <c r="R21" s="3389"/>
      <c r="S21" s="3410"/>
      <c r="T21" s="3393"/>
      <c r="U21" s="3395"/>
      <c r="V21" s="3414"/>
      <c r="W21" s="1065" t="s">
        <v>1540</v>
      </c>
      <c r="X21" s="1058">
        <v>36000000</v>
      </c>
      <c r="Y21" s="1066">
        <v>30000000</v>
      </c>
      <c r="Z21" s="1058">
        <v>0</v>
      </c>
      <c r="AA21" s="1001" t="s">
        <v>1537</v>
      </c>
      <c r="AB21" s="660">
        <v>39</v>
      </c>
      <c r="AC21" s="993" t="s">
        <v>1538</v>
      </c>
      <c r="AD21" s="3412"/>
      <c r="AE21" s="3412"/>
      <c r="AF21" s="3412"/>
      <c r="AG21" s="3412"/>
      <c r="AH21" s="3412"/>
      <c r="AI21" s="3412"/>
      <c r="AJ21" s="3412"/>
      <c r="AK21" s="3412"/>
      <c r="AL21" s="3412"/>
      <c r="AM21" s="3412"/>
      <c r="AN21" s="3412"/>
      <c r="AO21" s="3412"/>
      <c r="AP21" s="3412"/>
      <c r="AQ21" s="3412"/>
      <c r="AR21" s="3412"/>
      <c r="AS21" s="3412"/>
      <c r="AT21" s="3412"/>
      <c r="AU21" s="3412"/>
      <c r="AV21" s="3412"/>
      <c r="AW21" s="3412"/>
      <c r="AX21" s="3412"/>
      <c r="AY21" s="3412"/>
      <c r="AZ21" s="3412"/>
      <c r="BA21" s="3412"/>
      <c r="BB21" s="3412"/>
      <c r="BC21" s="3412"/>
      <c r="BD21" s="3412"/>
      <c r="BE21" s="3412"/>
      <c r="BF21" s="3412"/>
      <c r="BG21" s="3412"/>
      <c r="BH21" s="3412"/>
      <c r="BI21" s="3412"/>
      <c r="BJ21" s="3412"/>
      <c r="BK21" s="3412"/>
      <c r="BL21" s="3412"/>
      <c r="BM21" s="3431"/>
      <c r="BN21" s="3432"/>
      <c r="BO21" s="3432"/>
      <c r="BP21" s="3432"/>
      <c r="BQ21" s="2684"/>
      <c r="BR21" s="2684"/>
      <c r="BS21" s="2684"/>
      <c r="BT21" s="2684"/>
      <c r="BU21" s="3424"/>
    </row>
    <row r="22" spans="1:73" s="70" customFormat="1" ht="60.75" customHeight="1" x14ac:dyDescent="0.25">
      <c r="A22" s="986"/>
      <c r="B22" s="978"/>
      <c r="C22" s="986"/>
      <c r="D22" s="978"/>
      <c r="E22" s="1012"/>
      <c r="F22" s="3376"/>
      <c r="G22" s="3426"/>
      <c r="H22" s="3427"/>
      <c r="I22" s="3428"/>
      <c r="J22" s="3427"/>
      <c r="K22" s="3428"/>
      <c r="L22" s="3429"/>
      <c r="M22" s="3381"/>
      <c r="N22" s="3082"/>
      <c r="O22" s="3406"/>
      <c r="P22" s="3409"/>
      <c r="Q22" s="3387"/>
      <c r="R22" s="3389"/>
      <c r="S22" s="3410"/>
      <c r="T22" s="3393"/>
      <c r="U22" s="3395"/>
      <c r="V22" s="3414"/>
      <c r="W22" s="3418" t="s">
        <v>1541</v>
      </c>
      <c r="X22" s="1058">
        <v>805912475</v>
      </c>
      <c r="Y22" s="1066">
        <v>0</v>
      </c>
      <c r="Z22" s="1058">
        <v>0</v>
      </c>
      <c r="AA22" s="1001" t="s">
        <v>1537</v>
      </c>
      <c r="AB22" s="660">
        <v>39</v>
      </c>
      <c r="AC22" s="993" t="s">
        <v>1538</v>
      </c>
      <c r="AD22" s="3412"/>
      <c r="AE22" s="3412"/>
      <c r="AF22" s="3412"/>
      <c r="AG22" s="3412"/>
      <c r="AH22" s="3412"/>
      <c r="AI22" s="3412"/>
      <c r="AJ22" s="3412"/>
      <c r="AK22" s="3412"/>
      <c r="AL22" s="3412"/>
      <c r="AM22" s="3412"/>
      <c r="AN22" s="3412"/>
      <c r="AO22" s="3412"/>
      <c r="AP22" s="3412"/>
      <c r="AQ22" s="3412"/>
      <c r="AR22" s="3412"/>
      <c r="AS22" s="3412"/>
      <c r="AT22" s="3412"/>
      <c r="AU22" s="3412"/>
      <c r="AV22" s="3412"/>
      <c r="AW22" s="3412"/>
      <c r="AX22" s="3412"/>
      <c r="AY22" s="3412"/>
      <c r="AZ22" s="3412"/>
      <c r="BA22" s="3412"/>
      <c r="BB22" s="3412"/>
      <c r="BC22" s="3412"/>
      <c r="BD22" s="3412"/>
      <c r="BE22" s="3412"/>
      <c r="BF22" s="3412"/>
      <c r="BG22" s="3412"/>
      <c r="BH22" s="3412"/>
      <c r="BI22" s="3412"/>
      <c r="BJ22" s="3412"/>
      <c r="BK22" s="3412"/>
      <c r="BL22" s="3412"/>
      <c r="BM22" s="3431"/>
      <c r="BN22" s="3432"/>
      <c r="BO22" s="3432"/>
      <c r="BP22" s="3432"/>
      <c r="BQ22" s="2684"/>
      <c r="BR22" s="2684"/>
      <c r="BS22" s="2684"/>
      <c r="BT22" s="2684"/>
      <c r="BU22" s="3424"/>
    </row>
    <row r="23" spans="1:73" s="70" customFormat="1" ht="60.75" customHeight="1" x14ac:dyDescent="0.25">
      <c r="A23" s="986"/>
      <c r="B23" s="978"/>
      <c r="C23" s="986"/>
      <c r="D23" s="978"/>
      <c r="E23" s="1012"/>
      <c r="F23" s="3376"/>
      <c r="G23" s="3426"/>
      <c r="H23" s="3427"/>
      <c r="I23" s="3428"/>
      <c r="J23" s="3427"/>
      <c r="K23" s="3428"/>
      <c r="L23" s="3429"/>
      <c r="M23" s="3381"/>
      <c r="N23" s="3082"/>
      <c r="O23" s="3406"/>
      <c r="P23" s="3409"/>
      <c r="Q23" s="3387"/>
      <c r="R23" s="3389"/>
      <c r="S23" s="3410"/>
      <c r="T23" s="3393"/>
      <c r="U23" s="3395"/>
      <c r="V23" s="3414"/>
      <c r="W23" s="3419"/>
      <c r="X23" s="1058">
        <v>176183734.30000001</v>
      </c>
      <c r="Y23" s="1066">
        <v>0</v>
      </c>
      <c r="Z23" s="1058">
        <v>0</v>
      </c>
      <c r="AA23" s="1001" t="s">
        <v>1542</v>
      </c>
      <c r="AB23" s="660">
        <v>83</v>
      </c>
      <c r="AC23" s="993" t="s">
        <v>1543</v>
      </c>
      <c r="AD23" s="3412"/>
      <c r="AE23" s="3412"/>
      <c r="AF23" s="3412"/>
      <c r="AG23" s="3412"/>
      <c r="AH23" s="3412"/>
      <c r="AI23" s="3412"/>
      <c r="AJ23" s="3412"/>
      <c r="AK23" s="3412"/>
      <c r="AL23" s="3412"/>
      <c r="AM23" s="3412"/>
      <c r="AN23" s="3412"/>
      <c r="AO23" s="3412"/>
      <c r="AP23" s="3412"/>
      <c r="AQ23" s="3412"/>
      <c r="AR23" s="3412"/>
      <c r="AS23" s="3412"/>
      <c r="AT23" s="3412"/>
      <c r="AU23" s="3412"/>
      <c r="AV23" s="3412"/>
      <c r="AW23" s="3412"/>
      <c r="AX23" s="3412"/>
      <c r="AY23" s="3412"/>
      <c r="AZ23" s="3412"/>
      <c r="BA23" s="3412"/>
      <c r="BB23" s="3412"/>
      <c r="BC23" s="3412"/>
      <c r="BD23" s="3412"/>
      <c r="BE23" s="3412"/>
      <c r="BF23" s="3412"/>
      <c r="BG23" s="3412"/>
      <c r="BH23" s="3412"/>
      <c r="BI23" s="3412"/>
      <c r="BJ23" s="3412"/>
      <c r="BK23" s="3412"/>
      <c r="BL23" s="3412"/>
      <c r="BM23" s="3431"/>
      <c r="BN23" s="3432"/>
      <c r="BO23" s="3432"/>
      <c r="BP23" s="3432"/>
      <c r="BQ23" s="2684"/>
      <c r="BR23" s="2684"/>
      <c r="BS23" s="2684"/>
      <c r="BT23" s="2684"/>
      <c r="BU23" s="3424"/>
    </row>
    <row r="24" spans="1:73" s="70" customFormat="1" ht="60.75" customHeight="1" x14ac:dyDescent="0.25">
      <c r="A24" s="986"/>
      <c r="B24" s="978"/>
      <c r="C24" s="986"/>
      <c r="D24" s="978"/>
      <c r="E24" s="1012"/>
      <c r="F24" s="3376"/>
      <c r="G24" s="3426"/>
      <c r="H24" s="3427"/>
      <c r="I24" s="3428"/>
      <c r="J24" s="3427"/>
      <c r="K24" s="3428"/>
      <c r="L24" s="3429"/>
      <c r="M24" s="3381"/>
      <c r="N24" s="3082"/>
      <c r="O24" s="3406"/>
      <c r="P24" s="3409"/>
      <c r="Q24" s="3387"/>
      <c r="R24" s="3389"/>
      <c r="S24" s="3410"/>
      <c r="T24" s="3393"/>
      <c r="U24" s="3395"/>
      <c r="V24" s="3414"/>
      <c r="W24" s="3420"/>
      <c r="X24" s="1058">
        <v>30000000</v>
      </c>
      <c r="Y24" s="1066">
        <v>0</v>
      </c>
      <c r="Z24" s="1058">
        <v>0</v>
      </c>
      <c r="AA24" s="1001" t="s">
        <v>1533</v>
      </c>
      <c r="AB24" s="660">
        <v>20</v>
      </c>
      <c r="AC24" s="993" t="s">
        <v>1520</v>
      </c>
      <c r="AD24" s="3412"/>
      <c r="AE24" s="3412"/>
      <c r="AF24" s="3412"/>
      <c r="AG24" s="3412"/>
      <c r="AH24" s="3412"/>
      <c r="AI24" s="3412"/>
      <c r="AJ24" s="3412"/>
      <c r="AK24" s="3412"/>
      <c r="AL24" s="3412"/>
      <c r="AM24" s="3412"/>
      <c r="AN24" s="3412"/>
      <c r="AO24" s="3412"/>
      <c r="AP24" s="3412"/>
      <c r="AQ24" s="3412"/>
      <c r="AR24" s="3412"/>
      <c r="AS24" s="3412"/>
      <c r="AT24" s="3412"/>
      <c r="AU24" s="3412"/>
      <c r="AV24" s="3412"/>
      <c r="AW24" s="3412"/>
      <c r="AX24" s="3412"/>
      <c r="AY24" s="3412"/>
      <c r="AZ24" s="3412"/>
      <c r="BA24" s="3412"/>
      <c r="BB24" s="3412"/>
      <c r="BC24" s="3412"/>
      <c r="BD24" s="3412"/>
      <c r="BE24" s="3412"/>
      <c r="BF24" s="3412"/>
      <c r="BG24" s="3412"/>
      <c r="BH24" s="3412"/>
      <c r="BI24" s="3412"/>
      <c r="BJ24" s="3412"/>
      <c r="BK24" s="3412"/>
      <c r="BL24" s="3412"/>
      <c r="BM24" s="3431"/>
      <c r="BN24" s="3432"/>
      <c r="BO24" s="3432"/>
      <c r="BP24" s="3432"/>
      <c r="BQ24" s="2684"/>
      <c r="BR24" s="2684"/>
      <c r="BS24" s="2684"/>
      <c r="BT24" s="2684"/>
      <c r="BU24" s="3424"/>
    </row>
    <row r="25" spans="1:73" s="70" customFormat="1" ht="60.75" customHeight="1" x14ac:dyDescent="0.25">
      <c r="A25" s="986"/>
      <c r="B25" s="978"/>
      <c r="C25" s="986"/>
      <c r="D25" s="978"/>
      <c r="E25" s="1012"/>
      <c r="F25" s="3376"/>
      <c r="G25" s="3426"/>
      <c r="H25" s="3427"/>
      <c r="I25" s="3428"/>
      <c r="J25" s="3427"/>
      <c r="K25" s="3428"/>
      <c r="L25" s="3429"/>
      <c r="M25" s="3381"/>
      <c r="N25" s="3082"/>
      <c r="O25" s="3406"/>
      <c r="P25" s="3409"/>
      <c r="Q25" s="3387"/>
      <c r="R25" s="3389"/>
      <c r="S25" s="3410"/>
      <c r="T25" s="3393"/>
      <c r="U25" s="3395"/>
      <c r="V25" s="3414"/>
      <c r="W25" s="1065" t="s">
        <v>1544</v>
      </c>
      <c r="X25" s="1058">
        <f>40000000-40000000</f>
        <v>0</v>
      </c>
      <c r="Y25" s="1066">
        <v>0</v>
      </c>
      <c r="Z25" s="1058">
        <v>0</v>
      </c>
      <c r="AA25" s="1001" t="s">
        <v>1545</v>
      </c>
      <c r="AB25" s="660">
        <v>41</v>
      </c>
      <c r="AC25" s="993" t="s">
        <v>1546</v>
      </c>
      <c r="AD25" s="3412"/>
      <c r="AE25" s="3412"/>
      <c r="AF25" s="3412"/>
      <c r="AG25" s="3412"/>
      <c r="AH25" s="3412"/>
      <c r="AI25" s="3412"/>
      <c r="AJ25" s="3412"/>
      <c r="AK25" s="3412"/>
      <c r="AL25" s="3412"/>
      <c r="AM25" s="3412"/>
      <c r="AN25" s="3412"/>
      <c r="AO25" s="3412"/>
      <c r="AP25" s="3412"/>
      <c r="AQ25" s="3412"/>
      <c r="AR25" s="3412"/>
      <c r="AS25" s="3412"/>
      <c r="AT25" s="3412"/>
      <c r="AU25" s="3412"/>
      <c r="AV25" s="3412"/>
      <c r="AW25" s="3412"/>
      <c r="AX25" s="3412"/>
      <c r="AY25" s="3412"/>
      <c r="AZ25" s="3412"/>
      <c r="BA25" s="3412"/>
      <c r="BB25" s="3412"/>
      <c r="BC25" s="3412"/>
      <c r="BD25" s="3412"/>
      <c r="BE25" s="3412"/>
      <c r="BF25" s="3412"/>
      <c r="BG25" s="3412"/>
      <c r="BH25" s="3412"/>
      <c r="BI25" s="3412"/>
      <c r="BJ25" s="3412"/>
      <c r="BK25" s="3412"/>
      <c r="BL25" s="3412"/>
      <c r="BM25" s="3431"/>
      <c r="BN25" s="3432"/>
      <c r="BO25" s="3432"/>
      <c r="BP25" s="3432"/>
      <c r="BQ25" s="2684"/>
      <c r="BR25" s="2684"/>
      <c r="BS25" s="2684"/>
      <c r="BT25" s="2684"/>
      <c r="BU25" s="3424"/>
    </row>
    <row r="26" spans="1:73" s="70" customFormat="1" ht="60.75" customHeight="1" x14ac:dyDescent="0.25">
      <c r="A26" s="986"/>
      <c r="B26" s="978"/>
      <c r="C26" s="986"/>
      <c r="D26" s="978"/>
      <c r="E26" s="1012"/>
      <c r="F26" s="3376"/>
      <c r="G26" s="3426"/>
      <c r="H26" s="3427"/>
      <c r="I26" s="3428"/>
      <c r="J26" s="3427"/>
      <c r="K26" s="3428"/>
      <c r="L26" s="3429"/>
      <c r="M26" s="3381"/>
      <c r="N26" s="3082"/>
      <c r="O26" s="3406"/>
      <c r="P26" s="3409"/>
      <c r="Q26" s="3387"/>
      <c r="R26" s="3389"/>
      <c r="S26" s="3410"/>
      <c r="T26" s="3393"/>
      <c r="U26" s="3395"/>
      <c r="V26" s="3414"/>
      <c r="W26" s="1065" t="s">
        <v>1547</v>
      </c>
      <c r="X26" s="1058">
        <f>24000000-10500000</f>
        <v>13500000</v>
      </c>
      <c r="Y26" s="1066">
        <v>4500000</v>
      </c>
      <c r="Z26" s="1058">
        <v>3000000</v>
      </c>
      <c r="AA26" s="1001" t="s">
        <v>1545</v>
      </c>
      <c r="AB26" s="660">
        <v>41</v>
      </c>
      <c r="AC26" s="993" t="s">
        <v>1546</v>
      </c>
      <c r="AD26" s="3412"/>
      <c r="AE26" s="3412"/>
      <c r="AF26" s="3412"/>
      <c r="AG26" s="3412"/>
      <c r="AH26" s="3412"/>
      <c r="AI26" s="3412"/>
      <c r="AJ26" s="3412"/>
      <c r="AK26" s="3412"/>
      <c r="AL26" s="3412"/>
      <c r="AM26" s="3412"/>
      <c r="AN26" s="3412"/>
      <c r="AO26" s="3412"/>
      <c r="AP26" s="3412"/>
      <c r="AQ26" s="3412"/>
      <c r="AR26" s="3412"/>
      <c r="AS26" s="3412"/>
      <c r="AT26" s="3412"/>
      <c r="AU26" s="3412"/>
      <c r="AV26" s="3412"/>
      <c r="AW26" s="3412"/>
      <c r="AX26" s="3412"/>
      <c r="AY26" s="3412"/>
      <c r="AZ26" s="3412"/>
      <c r="BA26" s="3412"/>
      <c r="BB26" s="3412"/>
      <c r="BC26" s="3412"/>
      <c r="BD26" s="3412"/>
      <c r="BE26" s="3412"/>
      <c r="BF26" s="3412"/>
      <c r="BG26" s="3412"/>
      <c r="BH26" s="3412"/>
      <c r="BI26" s="3412"/>
      <c r="BJ26" s="3412"/>
      <c r="BK26" s="3412"/>
      <c r="BL26" s="3412"/>
      <c r="BM26" s="3431"/>
      <c r="BN26" s="3432"/>
      <c r="BO26" s="3432"/>
      <c r="BP26" s="3432"/>
      <c r="BQ26" s="2684"/>
      <c r="BR26" s="2684"/>
      <c r="BS26" s="2684"/>
      <c r="BT26" s="2684"/>
      <c r="BU26" s="3424"/>
    </row>
    <row r="27" spans="1:73" s="70" customFormat="1" ht="57" customHeight="1" x14ac:dyDescent="0.25">
      <c r="A27" s="986"/>
      <c r="B27" s="978"/>
      <c r="C27" s="986"/>
      <c r="D27" s="978"/>
      <c r="E27" s="1012"/>
      <c r="F27" s="3376"/>
      <c r="G27" s="3426"/>
      <c r="H27" s="3427"/>
      <c r="I27" s="3428"/>
      <c r="J27" s="3427"/>
      <c r="K27" s="3428"/>
      <c r="L27" s="3429"/>
      <c r="M27" s="3381"/>
      <c r="N27" s="3082"/>
      <c r="O27" s="3406"/>
      <c r="P27" s="3409"/>
      <c r="Q27" s="3387"/>
      <c r="R27" s="3389"/>
      <c r="S27" s="3410"/>
      <c r="T27" s="3393"/>
      <c r="U27" s="3395"/>
      <c r="V27" s="3414"/>
      <c r="W27" s="1065" t="s">
        <v>1548</v>
      </c>
      <c r="X27" s="1058">
        <v>36000000</v>
      </c>
      <c r="Y27" s="1066">
        <v>19500000</v>
      </c>
      <c r="Z27" s="1058">
        <v>0</v>
      </c>
      <c r="AA27" s="1001" t="s">
        <v>1545</v>
      </c>
      <c r="AB27" s="660">
        <v>41</v>
      </c>
      <c r="AC27" s="993" t="s">
        <v>1546</v>
      </c>
      <c r="AD27" s="3412"/>
      <c r="AE27" s="3412"/>
      <c r="AF27" s="3412"/>
      <c r="AG27" s="3412"/>
      <c r="AH27" s="3412"/>
      <c r="AI27" s="3412"/>
      <c r="AJ27" s="3412"/>
      <c r="AK27" s="3412"/>
      <c r="AL27" s="3412"/>
      <c r="AM27" s="3412"/>
      <c r="AN27" s="3412"/>
      <c r="AO27" s="3412"/>
      <c r="AP27" s="3412"/>
      <c r="AQ27" s="3412"/>
      <c r="AR27" s="3412"/>
      <c r="AS27" s="3412"/>
      <c r="AT27" s="3412"/>
      <c r="AU27" s="3412"/>
      <c r="AV27" s="3412"/>
      <c r="AW27" s="3412"/>
      <c r="AX27" s="3412"/>
      <c r="AY27" s="3412"/>
      <c r="AZ27" s="3412"/>
      <c r="BA27" s="3412"/>
      <c r="BB27" s="3412"/>
      <c r="BC27" s="3412"/>
      <c r="BD27" s="3412"/>
      <c r="BE27" s="3412"/>
      <c r="BF27" s="3412"/>
      <c r="BG27" s="3412"/>
      <c r="BH27" s="3412"/>
      <c r="BI27" s="3412"/>
      <c r="BJ27" s="3412"/>
      <c r="BK27" s="3412"/>
      <c r="BL27" s="3412"/>
      <c r="BM27" s="3431"/>
      <c r="BN27" s="3432"/>
      <c r="BO27" s="3432"/>
      <c r="BP27" s="3432"/>
      <c r="BQ27" s="2684"/>
      <c r="BR27" s="2684"/>
      <c r="BS27" s="2684"/>
      <c r="BT27" s="2684"/>
      <c r="BU27" s="3424"/>
    </row>
    <row r="28" spans="1:73" s="70" customFormat="1" ht="47.25" customHeight="1" x14ac:dyDescent="0.25">
      <c r="A28" s="986"/>
      <c r="B28" s="978"/>
      <c r="C28" s="986"/>
      <c r="D28" s="978"/>
      <c r="E28" s="1012"/>
      <c r="F28" s="3376"/>
      <c r="G28" s="3426"/>
      <c r="H28" s="3427"/>
      <c r="I28" s="3428"/>
      <c r="J28" s="3427"/>
      <c r="K28" s="3428"/>
      <c r="L28" s="3429"/>
      <c r="M28" s="3381"/>
      <c r="N28" s="3082"/>
      <c r="O28" s="3406"/>
      <c r="P28" s="3409"/>
      <c r="Q28" s="3387"/>
      <c r="R28" s="3389"/>
      <c r="S28" s="3410"/>
      <c r="T28" s="3393"/>
      <c r="U28" s="3395"/>
      <c r="V28" s="3414"/>
      <c r="W28" s="3418" t="s">
        <v>1549</v>
      </c>
      <c r="X28" s="1058">
        <f>83982494.6+50500000</f>
        <v>134482494.59999999</v>
      </c>
      <c r="Y28" s="1066">
        <v>0</v>
      </c>
      <c r="Z28" s="1058">
        <v>0</v>
      </c>
      <c r="AA28" s="1001" t="s">
        <v>1545</v>
      </c>
      <c r="AB28" s="660">
        <v>41</v>
      </c>
      <c r="AC28" s="993" t="s">
        <v>1546</v>
      </c>
      <c r="AD28" s="3412"/>
      <c r="AE28" s="3412"/>
      <c r="AF28" s="3412"/>
      <c r="AG28" s="3412"/>
      <c r="AH28" s="3412"/>
      <c r="AI28" s="3412"/>
      <c r="AJ28" s="3412"/>
      <c r="AK28" s="3412"/>
      <c r="AL28" s="3412"/>
      <c r="AM28" s="3412"/>
      <c r="AN28" s="3412"/>
      <c r="AO28" s="3412"/>
      <c r="AP28" s="3412"/>
      <c r="AQ28" s="3412"/>
      <c r="AR28" s="3412"/>
      <c r="AS28" s="3412"/>
      <c r="AT28" s="3412"/>
      <c r="AU28" s="3412"/>
      <c r="AV28" s="3412"/>
      <c r="AW28" s="3412"/>
      <c r="AX28" s="3412"/>
      <c r="AY28" s="3412"/>
      <c r="AZ28" s="3412"/>
      <c r="BA28" s="3412"/>
      <c r="BB28" s="3412"/>
      <c r="BC28" s="3412"/>
      <c r="BD28" s="3412"/>
      <c r="BE28" s="3412"/>
      <c r="BF28" s="3412"/>
      <c r="BG28" s="3412"/>
      <c r="BH28" s="3412"/>
      <c r="BI28" s="3412"/>
      <c r="BJ28" s="3412"/>
      <c r="BK28" s="3412"/>
      <c r="BL28" s="3412"/>
      <c r="BM28" s="3431"/>
      <c r="BN28" s="3432"/>
      <c r="BO28" s="3432"/>
      <c r="BP28" s="3432"/>
      <c r="BQ28" s="2684"/>
      <c r="BR28" s="2684"/>
      <c r="BS28" s="2684"/>
      <c r="BT28" s="2684"/>
      <c r="BU28" s="3424"/>
    </row>
    <row r="29" spans="1:73" s="70" customFormat="1" ht="47.25" customHeight="1" x14ac:dyDescent="0.25">
      <c r="A29" s="986"/>
      <c r="B29" s="978"/>
      <c r="C29" s="986"/>
      <c r="D29" s="978"/>
      <c r="E29" s="1012"/>
      <c r="F29" s="3376"/>
      <c r="G29" s="3426"/>
      <c r="H29" s="3427"/>
      <c r="I29" s="3428"/>
      <c r="J29" s="3427"/>
      <c r="K29" s="3428"/>
      <c r="L29" s="3429"/>
      <c r="M29" s="3381"/>
      <c r="N29" s="3082"/>
      <c r="O29" s="3407"/>
      <c r="P29" s="3409"/>
      <c r="Q29" s="3387"/>
      <c r="R29" s="3389"/>
      <c r="S29" s="3410"/>
      <c r="T29" s="3393"/>
      <c r="U29" s="3395"/>
      <c r="V29" s="3415"/>
      <c r="W29" s="3420"/>
      <c r="X29" s="1058">
        <f>24600000+50000000</f>
        <v>74600000</v>
      </c>
      <c r="Y29" s="1066">
        <v>0</v>
      </c>
      <c r="Z29" s="1058">
        <v>0</v>
      </c>
      <c r="AA29" s="1001" t="s">
        <v>1533</v>
      </c>
      <c r="AB29" s="660">
        <v>20</v>
      </c>
      <c r="AC29" s="993" t="s">
        <v>86</v>
      </c>
      <c r="AD29" s="3412"/>
      <c r="AE29" s="3412"/>
      <c r="AF29" s="3412"/>
      <c r="AG29" s="3412"/>
      <c r="AH29" s="3412"/>
      <c r="AI29" s="3412"/>
      <c r="AJ29" s="3412"/>
      <c r="AK29" s="3412"/>
      <c r="AL29" s="3412"/>
      <c r="AM29" s="3412"/>
      <c r="AN29" s="3412"/>
      <c r="AO29" s="3412"/>
      <c r="AP29" s="3412"/>
      <c r="AQ29" s="3412"/>
      <c r="AR29" s="3412"/>
      <c r="AS29" s="3412"/>
      <c r="AT29" s="3412"/>
      <c r="AU29" s="3412"/>
      <c r="AV29" s="3412"/>
      <c r="AW29" s="3412"/>
      <c r="AX29" s="3412"/>
      <c r="AY29" s="3412"/>
      <c r="AZ29" s="3412"/>
      <c r="BA29" s="3412"/>
      <c r="BB29" s="3412"/>
      <c r="BC29" s="3412"/>
      <c r="BD29" s="3412"/>
      <c r="BE29" s="3412"/>
      <c r="BF29" s="3412"/>
      <c r="BG29" s="3412"/>
      <c r="BH29" s="3412"/>
      <c r="BI29" s="3412"/>
      <c r="BJ29" s="3412"/>
      <c r="BK29" s="3412"/>
      <c r="BL29" s="3412"/>
      <c r="BM29" s="3431"/>
      <c r="BN29" s="3432"/>
      <c r="BO29" s="3432"/>
      <c r="BP29" s="3432"/>
      <c r="BQ29" s="2684"/>
      <c r="BR29" s="2684"/>
      <c r="BS29" s="2684"/>
      <c r="BT29" s="2684"/>
      <c r="BU29" s="3424"/>
    </row>
    <row r="30" spans="1:73" s="70" customFormat="1" ht="55.5" customHeight="1" x14ac:dyDescent="0.25">
      <c r="A30" s="986"/>
      <c r="B30" s="978"/>
      <c r="C30" s="986"/>
      <c r="D30" s="978"/>
      <c r="E30" s="1012"/>
      <c r="F30" s="3376"/>
      <c r="G30" s="724" t="s">
        <v>74</v>
      </c>
      <c r="H30" s="1067" t="s">
        <v>1550</v>
      </c>
      <c r="I30" s="724">
        <v>3301070</v>
      </c>
      <c r="J30" s="1068" t="s">
        <v>1551</v>
      </c>
      <c r="K30" s="968" t="s">
        <v>74</v>
      </c>
      <c r="L30" s="1069" t="s">
        <v>1552</v>
      </c>
      <c r="M30" s="968">
        <v>330107000</v>
      </c>
      <c r="N30" s="970" t="s">
        <v>199</v>
      </c>
      <c r="O30" s="993">
        <v>0.3</v>
      </c>
      <c r="P30" s="993">
        <v>0</v>
      </c>
      <c r="Q30" s="3387"/>
      <c r="R30" s="3389"/>
      <c r="S30" s="1070">
        <f>X30/T13</f>
        <v>1.8329204389068578E-2</v>
      </c>
      <c r="T30" s="3393"/>
      <c r="U30" s="3395"/>
      <c r="V30" s="1071" t="s">
        <v>1553</v>
      </c>
      <c r="W30" s="1065" t="s">
        <v>1554</v>
      </c>
      <c r="X30" s="1058">
        <v>36000000</v>
      </c>
      <c r="Y30" s="1066">
        <v>0</v>
      </c>
      <c r="Z30" s="1058">
        <v>0</v>
      </c>
      <c r="AA30" s="1001" t="s">
        <v>1555</v>
      </c>
      <c r="AB30" s="660">
        <v>20</v>
      </c>
      <c r="AC30" s="993" t="s">
        <v>86</v>
      </c>
      <c r="AD30" s="3412"/>
      <c r="AE30" s="3412"/>
      <c r="AF30" s="3412"/>
      <c r="AG30" s="3412"/>
      <c r="AH30" s="3412"/>
      <c r="AI30" s="3412"/>
      <c r="AJ30" s="3412"/>
      <c r="AK30" s="3412"/>
      <c r="AL30" s="3412"/>
      <c r="AM30" s="3412"/>
      <c r="AN30" s="3412"/>
      <c r="AO30" s="3412"/>
      <c r="AP30" s="3412"/>
      <c r="AQ30" s="3412"/>
      <c r="AR30" s="3412"/>
      <c r="AS30" s="3412"/>
      <c r="AT30" s="3412"/>
      <c r="AU30" s="3412"/>
      <c r="AV30" s="3412"/>
      <c r="AW30" s="3412"/>
      <c r="AX30" s="3412"/>
      <c r="AY30" s="3412"/>
      <c r="AZ30" s="3412"/>
      <c r="BA30" s="3412"/>
      <c r="BB30" s="3412"/>
      <c r="BC30" s="3412"/>
      <c r="BD30" s="3412"/>
      <c r="BE30" s="3412"/>
      <c r="BF30" s="3412"/>
      <c r="BG30" s="3412"/>
      <c r="BH30" s="3412"/>
      <c r="BI30" s="3412"/>
      <c r="BJ30" s="3412"/>
      <c r="BK30" s="3412"/>
      <c r="BL30" s="3412"/>
      <c r="BM30" s="3431"/>
      <c r="BN30" s="3432"/>
      <c r="BO30" s="3432"/>
      <c r="BP30" s="3432"/>
      <c r="BQ30" s="2684"/>
      <c r="BR30" s="2684"/>
      <c r="BS30" s="2684"/>
      <c r="BT30" s="2684"/>
      <c r="BU30" s="3424"/>
    </row>
    <row r="31" spans="1:73" s="70" customFormat="1" ht="63.75" customHeight="1" x14ac:dyDescent="0.25">
      <c r="A31" s="986"/>
      <c r="B31" s="978"/>
      <c r="C31" s="986"/>
      <c r="D31" s="978"/>
      <c r="E31" s="1012"/>
      <c r="F31" s="3376"/>
      <c r="G31" s="989">
        <v>3301099</v>
      </c>
      <c r="H31" s="1072" t="s">
        <v>1556</v>
      </c>
      <c r="I31" s="989">
        <v>3301099</v>
      </c>
      <c r="J31" s="1072" t="s">
        <v>1556</v>
      </c>
      <c r="K31" s="989">
        <v>330109900</v>
      </c>
      <c r="L31" s="1073" t="s">
        <v>1557</v>
      </c>
      <c r="M31" s="989">
        <v>330109900</v>
      </c>
      <c r="N31" s="975" t="s">
        <v>1557</v>
      </c>
      <c r="O31" s="993">
        <v>1</v>
      </c>
      <c r="P31" s="993">
        <v>0</v>
      </c>
      <c r="Q31" s="3387"/>
      <c r="R31" s="3389"/>
      <c r="S31" s="1074">
        <f>X31/T13</f>
        <v>2.7493806583602865E-3</v>
      </c>
      <c r="T31" s="3393"/>
      <c r="U31" s="3395"/>
      <c r="V31" s="1075" t="s">
        <v>1558</v>
      </c>
      <c r="W31" s="1065" t="s">
        <v>1559</v>
      </c>
      <c r="X31" s="1058">
        <f>30000000-24600000</f>
        <v>5400000</v>
      </c>
      <c r="Y31" s="1066">
        <v>0</v>
      </c>
      <c r="Z31" s="1058">
        <v>0</v>
      </c>
      <c r="AA31" s="1001" t="s">
        <v>1560</v>
      </c>
      <c r="AB31" s="660">
        <v>20</v>
      </c>
      <c r="AC31" s="993" t="s">
        <v>1520</v>
      </c>
      <c r="AD31" s="3412"/>
      <c r="AE31" s="3412"/>
      <c r="AF31" s="3412"/>
      <c r="AG31" s="3412"/>
      <c r="AH31" s="3412"/>
      <c r="AI31" s="3412"/>
      <c r="AJ31" s="3412"/>
      <c r="AK31" s="3412"/>
      <c r="AL31" s="3412"/>
      <c r="AM31" s="3412"/>
      <c r="AN31" s="3412"/>
      <c r="AO31" s="3412"/>
      <c r="AP31" s="3412"/>
      <c r="AQ31" s="3412"/>
      <c r="AR31" s="3412"/>
      <c r="AS31" s="3412"/>
      <c r="AT31" s="3412"/>
      <c r="AU31" s="3412"/>
      <c r="AV31" s="3412"/>
      <c r="AW31" s="3412"/>
      <c r="AX31" s="3412"/>
      <c r="AY31" s="3412"/>
      <c r="AZ31" s="3412"/>
      <c r="BA31" s="3412"/>
      <c r="BB31" s="3412"/>
      <c r="BC31" s="3412"/>
      <c r="BD31" s="3412"/>
      <c r="BE31" s="3412"/>
      <c r="BF31" s="3412"/>
      <c r="BG31" s="3412"/>
      <c r="BH31" s="3412"/>
      <c r="BI31" s="3412"/>
      <c r="BJ31" s="3412"/>
      <c r="BK31" s="3412"/>
      <c r="BL31" s="3412"/>
      <c r="BM31" s="3431"/>
      <c r="BN31" s="3432"/>
      <c r="BO31" s="3432"/>
      <c r="BP31" s="3432"/>
      <c r="BQ31" s="2684"/>
      <c r="BR31" s="2684"/>
      <c r="BS31" s="2684"/>
      <c r="BT31" s="2684"/>
      <c r="BU31" s="3424"/>
    </row>
    <row r="32" spans="1:73" s="70" customFormat="1" ht="42" customHeight="1" x14ac:dyDescent="0.25">
      <c r="A32" s="986"/>
      <c r="B32" s="978"/>
      <c r="C32" s="986"/>
      <c r="D32" s="978"/>
      <c r="E32" s="1012"/>
      <c r="F32" s="3376"/>
      <c r="G32" s="1076">
        <v>3301052</v>
      </c>
      <c r="H32" s="1077" t="s">
        <v>1561</v>
      </c>
      <c r="I32" s="1076">
        <v>3301052</v>
      </c>
      <c r="J32" s="1077" t="s">
        <v>1561</v>
      </c>
      <c r="K32" s="1076">
        <v>330105203</v>
      </c>
      <c r="L32" s="1078" t="s">
        <v>1562</v>
      </c>
      <c r="M32" s="1076">
        <v>330105203</v>
      </c>
      <c r="N32" s="976" t="s">
        <v>1562</v>
      </c>
      <c r="O32" s="993">
        <v>135</v>
      </c>
      <c r="P32" s="993">
        <v>0</v>
      </c>
      <c r="Q32" s="3387"/>
      <c r="R32" s="3389"/>
      <c r="S32" s="1079">
        <f>X32/T13</f>
        <v>9.1646021945342888E-3</v>
      </c>
      <c r="T32" s="3393"/>
      <c r="U32" s="3396"/>
      <c r="V32" s="1075" t="s">
        <v>1563</v>
      </c>
      <c r="W32" s="1004" t="s">
        <v>1564</v>
      </c>
      <c r="X32" s="1058">
        <v>18000000</v>
      </c>
      <c r="Y32" s="1066">
        <v>0</v>
      </c>
      <c r="Z32" s="1058">
        <v>0</v>
      </c>
      <c r="AA32" s="1001" t="s">
        <v>1565</v>
      </c>
      <c r="AB32" s="660">
        <v>20</v>
      </c>
      <c r="AC32" s="993" t="s">
        <v>1520</v>
      </c>
      <c r="AD32" s="3412"/>
      <c r="AE32" s="3412"/>
      <c r="AF32" s="3412"/>
      <c r="AG32" s="3412"/>
      <c r="AH32" s="3412"/>
      <c r="AI32" s="3412"/>
      <c r="AJ32" s="3412"/>
      <c r="AK32" s="3412"/>
      <c r="AL32" s="3412"/>
      <c r="AM32" s="3412"/>
      <c r="AN32" s="3412"/>
      <c r="AO32" s="3412"/>
      <c r="AP32" s="3412"/>
      <c r="AQ32" s="3412"/>
      <c r="AR32" s="3412"/>
      <c r="AS32" s="3412"/>
      <c r="AT32" s="3412"/>
      <c r="AU32" s="3412"/>
      <c r="AV32" s="3412"/>
      <c r="AW32" s="3412"/>
      <c r="AX32" s="3412"/>
      <c r="AY32" s="3412"/>
      <c r="AZ32" s="3412"/>
      <c r="BA32" s="3412"/>
      <c r="BB32" s="3412"/>
      <c r="BC32" s="3412"/>
      <c r="BD32" s="3412"/>
      <c r="BE32" s="3412"/>
      <c r="BF32" s="3412"/>
      <c r="BG32" s="3412"/>
      <c r="BH32" s="3412"/>
      <c r="BI32" s="3412"/>
      <c r="BJ32" s="3412"/>
      <c r="BK32" s="3412"/>
      <c r="BL32" s="3412"/>
      <c r="BM32" s="3431"/>
      <c r="BN32" s="3432"/>
      <c r="BO32" s="3432"/>
      <c r="BP32" s="3432"/>
      <c r="BQ32" s="2684"/>
      <c r="BR32" s="2684"/>
      <c r="BS32" s="2684"/>
      <c r="BT32" s="2684"/>
      <c r="BU32" s="3425"/>
    </row>
    <row r="33" spans="1:73" s="70" customFormat="1" ht="62.25" customHeight="1" x14ac:dyDescent="0.25">
      <c r="A33" s="986"/>
      <c r="B33" s="978"/>
      <c r="C33" s="986"/>
      <c r="D33" s="978"/>
      <c r="E33" s="1012"/>
      <c r="F33" s="3376"/>
      <c r="G33" s="3381">
        <v>3301085</v>
      </c>
      <c r="H33" s="3382" t="s">
        <v>1566</v>
      </c>
      <c r="I33" s="3381">
        <v>3301085</v>
      </c>
      <c r="J33" s="3382" t="s">
        <v>1566</v>
      </c>
      <c r="K33" s="3381">
        <v>330108500</v>
      </c>
      <c r="L33" s="3382" t="s">
        <v>1567</v>
      </c>
      <c r="M33" s="3381">
        <v>330108500</v>
      </c>
      <c r="N33" s="3082" t="s">
        <v>1567</v>
      </c>
      <c r="O33" s="3433">
        <v>40000</v>
      </c>
      <c r="P33" s="3433">
        <v>9063</v>
      </c>
      <c r="Q33" s="3377" t="s">
        <v>1568</v>
      </c>
      <c r="R33" s="3434" t="s">
        <v>1569</v>
      </c>
      <c r="S33" s="3435">
        <f>SUM(X33:X40)/T33</f>
        <v>0.51926734418564968</v>
      </c>
      <c r="T33" s="3436">
        <f>SUM(X33:X43)</f>
        <v>337013297.60000002</v>
      </c>
      <c r="U33" s="3437" t="s">
        <v>1570</v>
      </c>
      <c r="V33" s="3441" t="s">
        <v>1571</v>
      </c>
      <c r="W33" s="3434" t="s">
        <v>1572</v>
      </c>
      <c r="X33" s="1080">
        <v>28800000</v>
      </c>
      <c r="Y33" s="1081">
        <f>11540000</f>
        <v>11540000</v>
      </c>
      <c r="Z33" s="1082">
        <v>8655000</v>
      </c>
      <c r="AA33" s="1001" t="s">
        <v>1573</v>
      </c>
      <c r="AB33" s="660">
        <v>34</v>
      </c>
      <c r="AC33" s="995" t="s">
        <v>1574</v>
      </c>
      <c r="AD33" s="3440">
        <v>2035.7388505241149</v>
      </c>
      <c r="AE33" s="3440">
        <v>184</v>
      </c>
      <c r="AF33" s="3440">
        <v>1964.2611494758853</v>
      </c>
      <c r="AG33" s="3440">
        <v>237</v>
      </c>
      <c r="AH33" s="3440">
        <v>932.29840151869485</v>
      </c>
      <c r="AI33" s="3440">
        <v>106</v>
      </c>
      <c r="AJ33" s="3440">
        <v>304.38550636916392</v>
      </c>
      <c r="AK33" s="3440">
        <v>49</v>
      </c>
      <c r="AL33" s="3440">
        <v>2126.3515558367953</v>
      </c>
      <c r="AM33" s="3440">
        <v>27</v>
      </c>
      <c r="AN33" s="3440">
        <v>636.96453627534595</v>
      </c>
      <c r="AO33" s="3440">
        <v>79</v>
      </c>
      <c r="AP33" s="3440">
        <v>14.753624783338378</v>
      </c>
      <c r="AQ33" s="3440">
        <v>0</v>
      </c>
      <c r="AR33" s="3440">
        <v>87.476270393705121</v>
      </c>
      <c r="AS33" s="3440">
        <v>1</v>
      </c>
      <c r="AT33" s="3440">
        <v>0</v>
      </c>
      <c r="AU33" s="3440">
        <v>0</v>
      </c>
      <c r="AV33" s="3440">
        <v>0.25449142982914685</v>
      </c>
      <c r="AW33" s="3440">
        <v>0</v>
      </c>
      <c r="AX33" s="3440">
        <v>0</v>
      </c>
      <c r="AY33" s="3440">
        <v>0</v>
      </c>
      <c r="AZ33" s="3440">
        <v>0</v>
      </c>
      <c r="BA33" s="3440">
        <v>0</v>
      </c>
      <c r="BB33" s="3440">
        <v>305.04580845736922</v>
      </c>
      <c r="BC33" s="3440">
        <v>3</v>
      </c>
      <c r="BD33" s="3440">
        <v>150.93405232894051</v>
      </c>
      <c r="BE33" s="3440">
        <v>0</v>
      </c>
      <c r="BF33" s="3440">
        <v>520.58629322915226</v>
      </c>
      <c r="BG33" s="3440">
        <v>15</v>
      </c>
      <c r="BH33" s="3440">
        <v>4000</v>
      </c>
      <c r="BI33" s="3440">
        <v>701</v>
      </c>
      <c r="BJ33" s="3440">
        <v>2</v>
      </c>
      <c r="BK33" s="3440">
        <f>SUM(Y33:Y43)</f>
        <v>21140000</v>
      </c>
      <c r="BL33" s="3440">
        <f>SUM(Z33:Z43)</f>
        <v>15055000</v>
      </c>
      <c r="BM33" s="3450">
        <v>0</v>
      </c>
      <c r="BN33" s="3440" t="s">
        <v>1575</v>
      </c>
      <c r="BO33" s="3440" t="s">
        <v>1576</v>
      </c>
      <c r="BP33" s="3440" t="s">
        <v>1577</v>
      </c>
      <c r="BQ33" s="3452">
        <v>44200</v>
      </c>
      <c r="BR33" s="3452">
        <v>44264</v>
      </c>
      <c r="BS33" s="3452">
        <v>44560</v>
      </c>
      <c r="BT33" s="3452">
        <v>44448</v>
      </c>
      <c r="BU33" s="3448" t="s">
        <v>1578</v>
      </c>
    </row>
    <row r="34" spans="1:73" s="70" customFormat="1" ht="62.25" customHeight="1" x14ac:dyDescent="0.25">
      <c r="A34" s="986"/>
      <c r="B34" s="978"/>
      <c r="C34" s="986"/>
      <c r="D34" s="978"/>
      <c r="E34" s="1012"/>
      <c r="F34" s="3376"/>
      <c r="G34" s="3381"/>
      <c r="H34" s="3382"/>
      <c r="I34" s="3381"/>
      <c r="J34" s="3382"/>
      <c r="K34" s="3381"/>
      <c r="L34" s="3382"/>
      <c r="M34" s="3381"/>
      <c r="N34" s="3082"/>
      <c r="O34" s="3377"/>
      <c r="P34" s="3377"/>
      <c r="Q34" s="3377"/>
      <c r="R34" s="3434"/>
      <c r="S34" s="3435"/>
      <c r="T34" s="3436"/>
      <c r="U34" s="3438"/>
      <c r="V34" s="3442"/>
      <c r="W34" s="3434"/>
      <c r="X34" s="1080">
        <v>25000000</v>
      </c>
      <c r="Y34" s="1083">
        <v>0</v>
      </c>
      <c r="Z34" s="1082">
        <v>0</v>
      </c>
      <c r="AA34" s="1001" t="s">
        <v>1579</v>
      </c>
      <c r="AB34" s="660">
        <v>83</v>
      </c>
      <c r="AC34" s="995" t="s">
        <v>1580</v>
      </c>
      <c r="AD34" s="3440"/>
      <c r="AE34" s="3440"/>
      <c r="AF34" s="3440"/>
      <c r="AG34" s="3440"/>
      <c r="AH34" s="3440"/>
      <c r="AI34" s="3440"/>
      <c r="AJ34" s="3440"/>
      <c r="AK34" s="3440"/>
      <c r="AL34" s="3440"/>
      <c r="AM34" s="3440"/>
      <c r="AN34" s="3440"/>
      <c r="AO34" s="3440"/>
      <c r="AP34" s="3440"/>
      <c r="AQ34" s="3440"/>
      <c r="AR34" s="3440"/>
      <c r="AS34" s="3440"/>
      <c r="AT34" s="3440"/>
      <c r="AU34" s="3440"/>
      <c r="AV34" s="3440"/>
      <c r="AW34" s="3440"/>
      <c r="AX34" s="3440"/>
      <c r="AY34" s="3440"/>
      <c r="AZ34" s="3440"/>
      <c r="BA34" s="3440"/>
      <c r="BB34" s="3440"/>
      <c r="BC34" s="3440"/>
      <c r="BD34" s="3440"/>
      <c r="BE34" s="3440"/>
      <c r="BF34" s="3440"/>
      <c r="BG34" s="3440"/>
      <c r="BH34" s="3440"/>
      <c r="BI34" s="3440"/>
      <c r="BJ34" s="3440"/>
      <c r="BK34" s="3440"/>
      <c r="BL34" s="3440"/>
      <c r="BM34" s="3451"/>
      <c r="BN34" s="3440"/>
      <c r="BO34" s="3440"/>
      <c r="BP34" s="3440"/>
      <c r="BQ34" s="3452"/>
      <c r="BR34" s="3452"/>
      <c r="BS34" s="3452"/>
      <c r="BT34" s="3452"/>
      <c r="BU34" s="3449"/>
    </row>
    <row r="35" spans="1:73" s="70" customFormat="1" ht="47.25" customHeight="1" x14ac:dyDescent="0.25">
      <c r="A35" s="986"/>
      <c r="B35" s="978"/>
      <c r="C35" s="986"/>
      <c r="D35" s="978"/>
      <c r="E35" s="1012"/>
      <c r="F35" s="3376"/>
      <c r="G35" s="3381"/>
      <c r="H35" s="3382"/>
      <c r="I35" s="3381"/>
      <c r="J35" s="3382"/>
      <c r="K35" s="3381"/>
      <c r="L35" s="3382"/>
      <c r="M35" s="3381"/>
      <c r="N35" s="3082"/>
      <c r="O35" s="3377"/>
      <c r="P35" s="3377"/>
      <c r="Q35" s="3377"/>
      <c r="R35" s="3434"/>
      <c r="S35" s="3435"/>
      <c r="T35" s="3436"/>
      <c r="U35" s="3438"/>
      <c r="V35" s="3442"/>
      <c r="W35" s="3434"/>
      <c r="X35" s="1080">
        <v>4000000</v>
      </c>
      <c r="Y35" s="1083">
        <v>0</v>
      </c>
      <c r="Z35" s="1082">
        <v>0</v>
      </c>
      <c r="AA35" s="1001" t="s">
        <v>1581</v>
      </c>
      <c r="AB35" s="660">
        <v>20</v>
      </c>
      <c r="AC35" s="995" t="s">
        <v>1582</v>
      </c>
      <c r="AD35" s="3440"/>
      <c r="AE35" s="3440"/>
      <c r="AF35" s="3440"/>
      <c r="AG35" s="3440"/>
      <c r="AH35" s="3440"/>
      <c r="AI35" s="3440"/>
      <c r="AJ35" s="3440"/>
      <c r="AK35" s="3440"/>
      <c r="AL35" s="3440"/>
      <c r="AM35" s="3440"/>
      <c r="AN35" s="3440"/>
      <c r="AO35" s="3440"/>
      <c r="AP35" s="3440"/>
      <c r="AQ35" s="3440"/>
      <c r="AR35" s="3440"/>
      <c r="AS35" s="3440"/>
      <c r="AT35" s="3440"/>
      <c r="AU35" s="3440"/>
      <c r="AV35" s="3440"/>
      <c r="AW35" s="3440"/>
      <c r="AX35" s="3440"/>
      <c r="AY35" s="3440"/>
      <c r="AZ35" s="3440"/>
      <c r="BA35" s="3440"/>
      <c r="BB35" s="3440"/>
      <c r="BC35" s="3440"/>
      <c r="BD35" s="3440"/>
      <c r="BE35" s="3440"/>
      <c r="BF35" s="3440"/>
      <c r="BG35" s="3440"/>
      <c r="BH35" s="3440"/>
      <c r="BI35" s="3440"/>
      <c r="BJ35" s="3440"/>
      <c r="BK35" s="3440"/>
      <c r="BL35" s="3440"/>
      <c r="BM35" s="3451"/>
      <c r="BN35" s="3440"/>
      <c r="BO35" s="3440"/>
      <c r="BP35" s="3440"/>
      <c r="BQ35" s="3452"/>
      <c r="BR35" s="3452"/>
      <c r="BS35" s="3452"/>
      <c r="BT35" s="3452"/>
      <c r="BU35" s="3449"/>
    </row>
    <row r="36" spans="1:73" s="70" customFormat="1" ht="67.5" customHeight="1" x14ac:dyDescent="0.25">
      <c r="A36" s="986"/>
      <c r="B36" s="978"/>
      <c r="C36" s="986"/>
      <c r="D36" s="978"/>
      <c r="E36" s="1012"/>
      <c r="F36" s="3376"/>
      <c r="G36" s="3381"/>
      <c r="H36" s="3382"/>
      <c r="I36" s="3381"/>
      <c r="J36" s="3382"/>
      <c r="K36" s="3381"/>
      <c r="L36" s="3382"/>
      <c r="M36" s="3381"/>
      <c r="N36" s="3082"/>
      <c r="O36" s="3377"/>
      <c r="P36" s="3377"/>
      <c r="Q36" s="3377"/>
      <c r="R36" s="3434"/>
      <c r="S36" s="3435"/>
      <c r="T36" s="3436"/>
      <c r="U36" s="3438"/>
      <c r="V36" s="3442"/>
      <c r="W36" s="3434" t="s">
        <v>1583</v>
      </c>
      <c r="X36" s="1080">
        <v>50000000</v>
      </c>
      <c r="Y36" s="1083">
        <v>0</v>
      </c>
      <c r="Z36" s="1082">
        <v>0</v>
      </c>
      <c r="AA36" s="1001" t="s">
        <v>1579</v>
      </c>
      <c r="AB36" s="660">
        <v>83</v>
      </c>
      <c r="AC36" s="995" t="s">
        <v>1580</v>
      </c>
      <c r="AD36" s="3440"/>
      <c r="AE36" s="3440"/>
      <c r="AF36" s="3440"/>
      <c r="AG36" s="3440"/>
      <c r="AH36" s="3440"/>
      <c r="AI36" s="3440"/>
      <c r="AJ36" s="3440"/>
      <c r="AK36" s="3440"/>
      <c r="AL36" s="3440"/>
      <c r="AM36" s="3440"/>
      <c r="AN36" s="3440"/>
      <c r="AO36" s="3440"/>
      <c r="AP36" s="3440"/>
      <c r="AQ36" s="3440"/>
      <c r="AR36" s="3440"/>
      <c r="AS36" s="3440"/>
      <c r="AT36" s="3440"/>
      <c r="AU36" s="3440"/>
      <c r="AV36" s="3440"/>
      <c r="AW36" s="3440"/>
      <c r="AX36" s="3440"/>
      <c r="AY36" s="3440"/>
      <c r="AZ36" s="3440"/>
      <c r="BA36" s="3440"/>
      <c r="BB36" s="3440"/>
      <c r="BC36" s="3440"/>
      <c r="BD36" s="3440"/>
      <c r="BE36" s="3440"/>
      <c r="BF36" s="3440"/>
      <c r="BG36" s="3440"/>
      <c r="BH36" s="3440"/>
      <c r="BI36" s="3440"/>
      <c r="BJ36" s="3440"/>
      <c r="BK36" s="3440"/>
      <c r="BL36" s="3440"/>
      <c r="BM36" s="3451"/>
      <c r="BN36" s="3440"/>
      <c r="BO36" s="3440"/>
      <c r="BP36" s="3440"/>
      <c r="BQ36" s="3452"/>
      <c r="BR36" s="3452"/>
      <c r="BS36" s="3452"/>
      <c r="BT36" s="3452"/>
      <c r="BU36" s="3449"/>
    </row>
    <row r="37" spans="1:73" s="70" customFormat="1" ht="47.25" customHeight="1" x14ac:dyDescent="0.25">
      <c r="A37" s="986"/>
      <c r="B37" s="978"/>
      <c r="C37" s="986"/>
      <c r="D37" s="978"/>
      <c r="E37" s="1012"/>
      <c r="F37" s="3376"/>
      <c r="G37" s="3381"/>
      <c r="H37" s="3382"/>
      <c r="I37" s="3381"/>
      <c r="J37" s="3382"/>
      <c r="K37" s="3381"/>
      <c r="L37" s="3382"/>
      <c r="M37" s="3381"/>
      <c r="N37" s="3082"/>
      <c r="O37" s="3377"/>
      <c r="P37" s="3377"/>
      <c r="Q37" s="3377"/>
      <c r="R37" s="3434"/>
      <c r="S37" s="3435"/>
      <c r="T37" s="3436"/>
      <c r="U37" s="3438"/>
      <c r="V37" s="3442"/>
      <c r="W37" s="3434"/>
      <c r="X37" s="1080">
        <v>16000000</v>
      </c>
      <c r="Y37" s="1083">
        <v>0</v>
      </c>
      <c r="Z37" s="1082">
        <v>0</v>
      </c>
      <c r="AA37" s="1001" t="s">
        <v>1581</v>
      </c>
      <c r="AB37" s="660">
        <v>20</v>
      </c>
      <c r="AC37" s="995" t="s">
        <v>1582</v>
      </c>
      <c r="AD37" s="3440"/>
      <c r="AE37" s="3440"/>
      <c r="AF37" s="3440"/>
      <c r="AG37" s="3440"/>
      <c r="AH37" s="3440"/>
      <c r="AI37" s="3440"/>
      <c r="AJ37" s="3440"/>
      <c r="AK37" s="3440"/>
      <c r="AL37" s="3440"/>
      <c r="AM37" s="3440"/>
      <c r="AN37" s="3440"/>
      <c r="AO37" s="3440"/>
      <c r="AP37" s="3440"/>
      <c r="AQ37" s="3440"/>
      <c r="AR37" s="3440"/>
      <c r="AS37" s="3440"/>
      <c r="AT37" s="3440"/>
      <c r="AU37" s="3440"/>
      <c r="AV37" s="3440"/>
      <c r="AW37" s="3440"/>
      <c r="AX37" s="3440"/>
      <c r="AY37" s="3440"/>
      <c r="AZ37" s="3440"/>
      <c r="BA37" s="3440"/>
      <c r="BB37" s="3440"/>
      <c r="BC37" s="3440"/>
      <c r="BD37" s="3440"/>
      <c r="BE37" s="3440"/>
      <c r="BF37" s="3440"/>
      <c r="BG37" s="3440"/>
      <c r="BH37" s="3440"/>
      <c r="BI37" s="3440"/>
      <c r="BJ37" s="3440"/>
      <c r="BK37" s="3440"/>
      <c r="BL37" s="3440"/>
      <c r="BM37" s="3451"/>
      <c r="BN37" s="3440"/>
      <c r="BO37" s="3440"/>
      <c r="BP37" s="3440"/>
      <c r="BQ37" s="3452"/>
      <c r="BR37" s="3452"/>
      <c r="BS37" s="3452"/>
      <c r="BT37" s="3452"/>
      <c r="BU37" s="3449"/>
    </row>
    <row r="38" spans="1:73" s="70" customFormat="1" ht="47.25" customHeight="1" x14ac:dyDescent="0.25">
      <c r="A38" s="986"/>
      <c r="B38" s="978"/>
      <c r="C38" s="986"/>
      <c r="D38" s="978"/>
      <c r="E38" s="1012"/>
      <c r="F38" s="3376"/>
      <c r="G38" s="3381"/>
      <c r="H38" s="3382"/>
      <c r="I38" s="3381"/>
      <c r="J38" s="3382"/>
      <c r="K38" s="3381"/>
      <c r="L38" s="3382"/>
      <c r="M38" s="3381"/>
      <c r="N38" s="3082"/>
      <c r="O38" s="3377"/>
      <c r="P38" s="3377"/>
      <c r="Q38" s="3377"/>
      <c r="R38" s="3434"/>
      <c r="S38" s="3435"/>
      <c r="T38" s="3436"/>
      <c r="U38" s="3438"/>
      <c r="V38" s="3442"/>
      <c r="W38" s="3434"/>
      <c r="X38" s="1080">
        <v>22400000</v>
      </c>
      <c r="Y38" s="1083">
        <v>0</v>
      </c>
      <c r="Z38" s="1082">
        <v>0</v>
      </c>
      <c r="AA38" s="1001" t="s">
        <v>1573</v>
      </c>
      <c r="AB38" s="660">
        <v>34</v>
      </c>
      <c r="AC38" s="995" t="s">
        <v>1574</v>
      </c>
      <c r="AD38" s="3440"/>
      <c r="AE38" s="3440"/>
      <c r="AF38" s="3440"/>
      <c r="AG38" s="3440"/>
      <c r="AH38" s="3440"/>
      <c r="AI38" s="3440"/>
      <c r="AJ38" s="3440"/>
      <c r="AK38" s="3440"/>
      <c r="AL38" s="3440"/>
      <c r="AM38" s="3440"/>
      <c r="AN38" s="3440"/>
      <c r="AO38" s="3440"/>
      <c r="AP38" s="3440"/>
      <c r="AQ38" s="3440"/>
      <c r="AR38" s="3440"/>
      <c r="AS38" s="3440"/>
      <c r="AT38" s="3440"/>
      <c r="AU38" s="3440"/>
      <c r="AV38" s="3440"/>
      <c r="AW38" s="3440"/>
      <c r="AX38" s="3440"/>
      <c r="AY38" s="3440"/>
      <c r="AZ38" s="3440"/>
      <c r="BA38" s="3440"/>
      <c r="BB38" s="3440"/>
      <c r="BC38" s="3440"/>
      <c r="BD38" s="3440"/>
      <c r="BE38" s="3440"/>
      <c r="BF38" s="3440"/>
      <c r="BG38" s="3440"/>
      <c r="BH38" s="3440"/>
      <c r="BI38" s="3440"/>
      <c r="BJ38" s="3440"/>
      <c r="BK38" s="3440"/>
      <c r="BL38" s="3440"/>
      <c r="BM38" s="3451"/>
      <c r="BN38" s="3440"/>
      <c r="BO38" s="3440"/>
      <c r="BP38" s="3440"/>
      <c r="BQ38" s="3452"/>
      <c r="BR38" s="3452"/>
      <c r="BS38" s="3452"/>
      <c r="BT38" s="3452"/>
      <c r="BU38" s="3449"/>
    </row>
    <row r="39" spans="1:73" s="70" customFormat="1" ht="46.5" customHeight="1" x14ac:dyDescent="0.25">
      <c r="A39" s="986"/>
      <c r="B39" s="978"/>
      <c r="C39" s="986"/>
      <c r="D39" s="978"/>
      <c r="E39" s="1012"/>
      <c r="F39" s="3376"/>
      <c r="G39" s="3381"/>
      <c r="H39" s="3382"/>
      <c r="I39" s="3381"/>
      <c r="J39" s="3382"/>
      <c r="K39" s="3381"/>
      <c r="L39" s="3382"/>
      <c r="M39" s="3381"/>
      <c r="N39" s="3082"/>
      <c r="O39" s="3377"/>
      <c r="P39" s="3377"/>
      <c r="Q39" s="3377"/>
      <c r="R39" s="3434"/>
      <c r="S39" s="3435"/>
      <c r="T39" s="3436"/>
      <c r="U39" s="3438"/>
      <c r="V39" s="3442"/>
      <c r="W39" s="1003" t="s">
        <v>1584</v>
      </c>
      <c r="X39" s="1080">
        <f>51200000-22400000</f>
        <v>28800000</v>
      </c>
      <c r="Y39" s="1083">
        <v>9600000</v>
      </c>
      <c r="Z39" s="1082">
        <v>6400000</v>
      </c>
      <c r="AA39" s="1001" t="s">
        <v>1573</v>
      </c>
      <c r="AB39" s="660">
        <v>34</v>
      </c>
      <c r="AC39" s="995" t="s">
        <v>1574</v>
      </c>
      <c r="AD39" s="3440"/>
      <c r="AE39" s="3440"/>
      <c r="AF39" s="3440"/>
      <c r="AG39" s="3440"/>
      <c r="AH39" s="3440"/>
      <c r="AI39" s="3440"/>
      <c r="AJ39" s="3440"/>
      <c r="AK39" s="3440"/>
      <c r="AL39" s="3440"/>
      <c r="AM39" s="3440"/>
      <c r="AN39" s="3440"/>
      <c r="AO39" s="3440"/>
      <c r="AP39" s="3440"/>
      <c r="AQ39" s="3440"/>
      <c r="AR39" s="3440"/>
      <c r="AS39" s="3440"/>
      <c r="AT39" s="3440"/>
      <c r="AU39" s="3440"/>
      <c r="AV39" s="3440"/>
      <c r="AW39" s="3440"/>
      <c r="AX39" s="3440"/>
      <c r="AY39" s="3440"/>
      <c r="AZ39" s="3440"/>
      <c r="BA39" s="3440"/>
      <c r="BB39" s="3440"/>
      <c r="BC39" s="3440"/>
      <c r="BD39" s="3440"/>
      <c r="BE39" s="3440"/>
      <c r="BF39" s="3440"/>
      <c r="BG39" s="3440"/>
      <c r="BH39" s="3440"/>
      <c r="BI39" s="3440"/>
      <c r="BJ39" s="3440"/>
      <c r="BK39" s="3440"/>
      <c r="BL39" s="3440"/>
      <c r="BM39" s="3451"/>
      <c r="BN39" s="3440"/>
      <c r="BO39" s="3440"/>
      <c r="BP39" s="3440"/>
      <c r="BQ39" s="3452"/>
      <c r="BR39" s="3452"/>
      <c r="BS39" s="3452"/>
      <c r="BT39" s="3452"/>
      <c r="BU39" s="3449"/>
    </row>
    <row r="40" spans="1:73" s="70" customFormat="1" ht="49.5" customHeight="1" x14ac:dyDescent="0.25">
      <c r="A40" s="986"/>
      <c r="B40" s="978"/>
      <c r="C40" s="986"/>
      <c r="D40" s="978"/>
      <c r="E40" s="1012"/>
      <c r="F40" s="3376"/>
      <c r="G40" s="3381"/>
      <c r="H40" s="3382"/>
      <c r="I40" s="3381"/>
      <c r="J40" s="3382"/>
      <c r="K40" s="3381"/>
      <c r="L40" s="3382"/>
      <c r="M40" s="3381"/>
      <c r="N40" s="3082"/>
      <c r="O40" s="3377"/>
      <c r="P40" s="3377"/>
      <c r="Q40" s="3377"/>
      <c r="R40" s="3434"/>
      <c r="S40" s="3435"/>
      <c r="T40" s="3436"/>
      <c r="U40" s="3438"/>
      <c r="V40" s="3443"/>
      <c r="W40" s="1009" t="s">
        <v>1584</v>
      </c>
      <c r="X40" s="1080">
        <f>20000000-20000000</f>
        <v>0</v>
      </c>
      <c r="Y40" s="1083">
        <v>0</v>
      </c>
      <c r="Z40" s="1082">
        <v>0</v>
      </c>
      <c r="AA40" s="1001" t="s">
        <v>1581</v>
      </c>
      <c r="AB40" s="660">
        <v>20</v>
      </c>
      <c r="AC40" s="995" t="s">
        <v>1582</v>
      </c>
      <c r="AD40" s="3440"/>
      <c r="AE40" s="3440"/>
      <c r="AF40" s="3440"/>
      <c r="AG40" s="3440"/>
      <c r="AH40" s="3440"/>
      <c r="AI40" s="3440"/>
      <c r="AJ40" s="3440"/>
      <c r="AK40" s="3440"/>
      <c r="AL40" s="3440"/>
      <c r="AM40" s="3440"/>
      <c r="AN40" s="3440"/>
      <c r="AO40" s="3440"/>
      <c r="AP40" s="3440"/>
      <c r="AQ40" s="3440"/>
      <c r="AR40" s="3440"/>
      <c r="AS40" s="3440"/>
      <c r="AT40" s="3440"/>
      <c r="AU40" s="3440"/>
      <c r="AV40" s="3440"/>
      <c r="AW40" s="3440"/>
      <c r="AX40" s="3440"/>
      <c r="AY40" s="3440"/>
      <c r="AZ40" s="3440"/>
      <c r="BA40" s="3440"/>
      <c r="BB40" s="3440"/>
      <c r="BC40" s="3440"/>
      <c r="BD40" s="3440"/>
      <c r="BE40" s="3440"/>
      <c r="BF40" s="3440"/>
      <c r="BG40" s="3440"/>
      <c r="BH40" s="3440"/>
      <c r="BI40" s="3440"/>
      <c r="BJ40" s="3440"/>
      <c r="BK40" s="3440"/>
      <c r="BL40" s="3440"/>
      <c r="BM40" s="3451"/>
      <c r="BN40" s="3440"/>
      <c r="BO40" s="3440"/>
      <c r="BP40" s="3440"/>
      <c r="BQ40" s="3452"/>
      <c r="BR40" s="3452"/>
      <c r="BS40" s="3452"/>
      <c r="BT40" s="3452"/>
      <c r="BU40" s="3449"/>
    </row>
    <row r="41" spans="1:73" s="70" customFormat="1" ht="69" customHeight="1" x14ac:dyDescent="0.25">
      <c r="A41" s="986"/>
      <c r="B41" s="978"/>
      <c r="C41" s="986"/>
      <c r="D41" s="978"/>
      <c r="E41" s="1012"/>
      <c r="F41" s="3376"/>
      <c r="G41" s="3447">
        <v>3301100</v>
      </c>
      <c r="H41" s="3382" t="s">
        <v>1585</v>
      </c>
      <c r="I41" s="3447">
        <v>3301100</v>
      </c>
      <c r="J41" s="3382" t="s">
        <v>1585</v>
      </c>
      <c r="K41" s="3447" t="s">
        <v>1586</v>
      </c>
      <c r="L41" s="3382" t="s">
        <v>1587</v>
      </c>
      <c r="M41" s="3447" t="s">
        <v>1586</v>
      </c>
      <c r="N41" s="3082" t="s">
        <v>1587</v>
      </c>
      <c r="O41" s="3377">
        <v>10</v>
      </c>
      <c r="P41" s="3377">
        <v>0</v>
      </c>
      <c r="Q41" s="3377"/>
      <c r="R41" s="3434"/>
      <c r="S41" s="3435">
        <f>SUM(X41:X43)/T33</f>
        <v>0.48073265581435021</v>
      </c>
      <c r="T41" s="3436"/>
      <c r="U41" s="3438"/>
      <c r="V41" s="3444" t="s">
        <v>1588</v>
      </c>
      <c r="W41" s="3434" t="s">
        <v>1589</v>
      </c>
      <c r="X41" s="1084">
        <v>103982494.59999999</v>
      </c>
      <c r="Y41" s="1085">
        <v>0</v>
      </c>
      <c r="Z41" s="1086">
        <v>0</v>
      </c>
      <c r="AA41" s="1001" t="s">
        <v>1590</v>
      </c>
      <c r="AB41" s="660">
        <v>34</v>
      </c>
      <c r="AC41" s="995" t="s">
        <v>1574</v>
      </c>
      <c r="AD41" s="3440"/>
      <c r="AE41" s="3440"/>
      <c r="AF41" s="3440"/>
      <c r="AG41" s="3440"/>
      <c r="AH41" s="3440"/>
      <c r="AI41" s="3440"/>
      <c r="AJ41" s="3440"/>
      <c r="AK41" s="3440"/>
      <c r="AL41" s="3440"/>
      <c r="AM41" s="3440"/>
      <c r="AN41" s="3440"/>
      <c r="AO41" s="3440"/>
      <c r="AP41" s="3440"/>
      <c r="AQ41" s="3440"/>
      <c r="AR41" s="3440"/>
      <c r="AS41" s="3440"/>
      <c r="AT41" s="3440"/>
      <c r="AU41" s="3440"/>
      <c r="AV41" s="3440"/>
      <c r="AW41" s="3440"/>
      <c r="AX41" s="3440"/>
      <c r="AY41" s="3440"/>
      <c r="AZ41" s="3440"/>
      <c r="BA41" s="3440"/>
      <c r="BB41" s="3440"/>
      <c r="BC41" s="3440"/>
      <c r="BD41" s="3440"/>
      <c r="BE41" s="3440"/>
      <c r="BF41" s="3440"/>
      <c r="BG41" s="3440"/>
      <c r="BH41" s="3440"/>
      <c r="BI41" s="3440"/>
      <c r="BJ41" s="3440"/>
      <c r="BK41" s="3440"/>
      <c r="BL41" s="3440"/>
      <c r="BM41" s="3451"/>
      <c r="BN41" s="3440"/>
      <c r="BO41" s="3440"/>
      <c r="BP41" s="3440"/>
      <c r="BQ41" s="3452"/>
      <c r="BR41" s="3452"/>
      <c r="BS41" s="3452"/>
      <c r="BT41" s="3452"/>
      <c r="BU41" s="3449"/>
    </row>
    <row r="42" spans="1:73" s="70" customFormat="1" ht="33.75" customHeight="1" x14ac:dyDescent="0.25">
      <c r="A42" s="986"/>
      <c r="B42" s="978"/>
      <c r="C42" s="986"/>
      <c r="D42" s="978"/>
      <c r="E42" s="1012"/>
      <c r="F42" s="3376"/>
      <c r="G42" s="3447"/>
      <c r="H42" s="3382"/>
      <c r="I42" s="3447"/>
      <c r="J42" s="3382"/>
      <c r="K42" s="3447"/>
      <c r="L42" s="3382"/>
      <c r="M42" s="3447"/>
      <c r="N42" s="3082"/>
      <c r="O42" s="3377"/>
      <c r="P42" s="3377"/>
      <c r="Q42" s="3377"/>
      <c r="R42" s="3434"/>
      <c r="S42" s="3435"/>
      <c r="T42" s="3436"/>
      <c r="U42" s="3438"/>
      <c r="V42" s="3445"/>
      <c r="W42" s="3434"/>
      <c r="X42" s="1087">
        <v>18000000</v>
      </c>
      <c r="Y42" s="1088">
        <v>0</v>
      </c>
      <c r="Z42" s="1089">
        <v>0</v>
      </c>
      <c r="AA42" s="1001" t="s">
        <v>1591</v>
      </c>
      <c r="AB42" s="996">
        <v>20</v>
      </c>
      <c r="AC42" s="994" t="s">
        <v>1582</v>
      </c>
      <c r="AD42" s="3440"/>
      <c r="AE42" s="3440"/>
      <c r="AF42" s="3440"/>
      <c r="AG42" s="3440"/>
      <c r="AH42" s="3440"/>
      <c r="AI42" s="3440"/>
      <c r="AJ42" s="3440"/>
      <c r="AK42" s="3440"/>
      <c r="AL42" s="3440"/>
      <c r="AM42" s="3440"/>
      <c r="AN42" s="3440"/>
      <c r="AO42" s="3440"/>
      <c r="AP42" s="3440"/>
      <c r="AQ42" s="3440"/>
      <c r="AR42" s="3440"/>
      <c r="AS42" s="3440"/>
      <c r="AT42" s="3440"/>
      <c r="AU42" s="3440"/>
      <c r="AV42" s="3440"/>
      <c r="AW42" s="3440"/>
      <c r="AX42" s="3440"/>
      <c r="AY42" s="3440"/>
      <c r="AZ42" s="3440"/>
      <c r="BA42" s="3440"/>
      <c r="BB42" s="3440"/>
      <c r="BC42" s="3440"/>
      <c r="BD42" s="3440"/>
      <c r="BE42" s="3440"/>
      <c r="BF42" s="3440"/>
      <c r="BG42" s="3440"/>
      <c r="BH42" s="3440"/>
      <c r="BI42" s="3440"/>
      <c r="BJ42" s="3440"/>
      <c r="BK42" s="3440"/>
      <c r="BL42" s="3440"/>
      <c r="BM42" s="3451"/>
      <c r="BN42" s="3440"/>
      <c r="BO42" s="3440"/>
      <c r="BP42" s="3440"/>
      <c r="BQ42" s="3452"/>
      <c r="BR42" s="3452"/>
      <c r="BS42" s="3452"/>
      <c r="BT42" s="3452"/>
      <c r="BU42" s="3449"/>
    </row>
    <row r="43" spans="1:73" s="70" customFormat="1" ht="80.25" customHeight="1" x14ac:dyDescent="0.25">
      <c r="A43" s="986"/>
      <c r="B43" s="978"/>
      <c r="C43" s="986"/>
      <c r="D43" s="978"/>
      <c r="E43" s="1012"/>
      <c r="F43" s="3376"/>
      <c r="G43" s="3447"/>
      <c r="H43" s="3382"/>
      <c r="I43" s="3447"/>
      <c r="J43" s="3382"/>
      <c r="K43" s="3447"/>
      <c r="L43" s="3382"/>
      <c r="M43" s="3447"/>
      <c r="N43" s="3082"/>
      <c r="O43" s="3377"/>
      <c r="P43" s="3377"/>
      <c r="Q43" s="3377"/>
      <c r="R43" s="3434"/>
      <c r="S43" s="3435"/>
      <c r="T43" s="3436"/>
      <c r="U43" s="3439"/>
      <c r="V43" s="3446"/>
      <c r="W43" s="3434"/>
      <c r="X43" s="1087">
        <v>40030803</v>
      </c>
      <c r="Y43" s="1088">
        <v>0</v>
      </c>
      <c r="Z43" s="1089">
        <v>0</v>
      </c>
      <c r="AA43" s="1001" t="s">
        <v>1592</v>
      </c>
      <c r="AB43" s="660">
        <v>83</v>
      </c>
      <c r="AC43" s="995" t="s">
        <v>1580</v>
      </c>
      <c r="AD43" s="3440"/>
      <c r="AE43" s="3440"/>
      <c r="AF43" s="3440"/>
      <c r="AG43" s="3440"/>
      <c r="AH43" s="3440"/>
      <c r="AI43" s="3440"/>
      <c r="AJ43" s="3440"/>
      <c r="AK43" s="3440"/>
      <c r="AL43" s="3440"/>
      <c r="AM43" s="3440"/>
      <c r="AN43" s="3440"/>
      <c r="AO43" s="3440"/>
      <c r="AP43" s="3440"/>
      <c r="AQ43" s="3440"/>
      <c r="AR43" s="3440"/>
      <c r="AS43" s="3440"/>
      <c r="AT43" s="3440"/>
      <c r="AU43" s="3440"/>
      <c r="AV43" s="3440"/>
      <c r="AW43" s="3440"/>
      <c r="AX43" s="3440"/>
      <c r="AY43" s="3440"/>
      <c r="AZ43" s="3440"/>
      <c r="BA43" s="3440"/>
      <c r="BB43" s="3440"/>
      <c r="BC43" s="3440"/>
      <c r="BD43" s="3440"/>
      <c r="BE43" s="3440"/>
      <c r="BF43" s="3440"/>
      <c r="BG43" s="3440"/>
      <c r="BH43" s="3440"/>
      <c r="BI43" s="3440"/>
      <c r="BJ43" s="3440"/>
      <c r="BK43" s="3440"/>
      <c r="BL43" s="3440"/>
      <c r="BM43" s="3451"/>
      <c r="BN43" s="3440"/>
      <c r="BO43" s="3440"/>
      <c r="BP43" s="3440"/>
      <c r="BQ43" s="3452"/>
      <c r="BR43" s="3452"/>
      <c r="BS43" s="3452"/>
      <c r="BT43" s="3452"/>
      <c r="BU43" s="3449"/>
    </row>
    <row r="44" spans="1:73" s="70" customFormat="1" ht="63.75" customHeight="1" x14ac:dyDescent="0.25">
      <c r="A44" s="986"/>
      <c r="B44" s="978"/>
      <c r="C44" s="986"/>
      <c r="D44" s="978"/>
      <c r="E44" s="1012"/>
      <c r="F44" s="3376"/>
      <c r="G44" s="3383">
        <v>3301095</v>
      </c>
      <c r="H44" s="3455" t="s">
        <v>1593</v>
      </c>
      <c r="I44" s="3383">
        <v>3301095</v>
      </c>
      <c r="J44" s="3455" t="s">
        <v>1593</v>
      </c>
      <c r="K44" s="3383">
        <v>330109500</v>
      </c>
      <c r="L44" s="3455" t="s">
        <v>1594</v>
      </c>
      <c r="M44" s="3383">
        <v>330109500</v>
      </c>
      <c r="N44" s="3106" t="s">
        <v>1594</v>
      </c>
      <c r="O44" s="3433">
        <v>150</v>
      </c>
      <c r="P44" s="3433">
        <v>0</v>
      </c>
      <c r="Q44" s="3433" t="s">
        <v>1595</v>
      </c>
      <c r="R44" s="3453" t="s">
        <v>1596</v>
      </c>
      <c r="S44" s="3454">
        <f>SUM(X44:X46)/T44</f>
        <v>1</v>
      </c>
      <c r="T44" s="3459">
        <f>SUM(X44:X46)</f>
        <v>1421227081.52</v>
      </c>
      <c r="U44" s="3402" t="s">
        <v>1597</v>
      </c>
      <c r="V44" s="3421" t="s">
        <v>1598</v>
      </c>
      <c r="W44" s="3434" t="s">
        <v>1599</v>
      </c>
      <c r="X44" s="1090">
        <v>183982494.59999999</v>
      </c>
      <c r="Y44" s="1091">
        <v>0</v>
      </c>
      <c r="Z44" s="1092">
        <v>0</v>
      </c>
      <c r="AA44" s="1001" t="s">
        <v>1600</v>
      </c>
      <c r="AB44" s="1093">
        <v>33</v>
      </c>
      <c r="AC44" s="1002" t="s">
        <v>1601</v>
      </c>
      <c r="AD44" s="3457">
        <v>15.268041378930862</v>
      </c>
      <c r="AE44" s="3457"/>
      <c r="AF44" s="3457">
        <v>14.73195862106914</v>
      </c>
      <c r="AG44" s="3457"/>
      <c r="AH44" s="3457">
        <v>6.9922380113902109</v>
      </c>
      <c r="AI44" s="3457"/>
      <c r="AJ44" s="3457">
        <v>2.282891297768729</v>
      </c>
      <c r="AK44" s="3457"/>
      <c r="AL44" s="3457">
        <v>15.947636668775965</v>
      </c>
      <c r="AM44" s="3457"/>
      <c r="AN44" s="3457">
        <v>4.7772340220650902</v>
      </c>
      <c r="AO44" s="3457">
        <v>50</v>
      </c>
      <c r="AP44" s="3457">
        <v>0.11065218587503782</v>
      </c>
      <c r="AQ44" s="3457"/>
      <c r="AR44" s="3457">
        <v>0.65607202795278841</v>
      </c>
      <c r="AS44" s="3457"/>
      <c r="AT44" s="3457">
        <v>1.3412386166671252E-3</v>
      </c>
      <c r="AU44" s="3457"/>
      <c r="AV44" s="3457">
        <v>1.9086857237186013E-3</v>
      </c>
      <c r="AW44" s="3457"/>
      <c r="AX44" s="3457">
        <v>0</v>
      </c>
      <c r="AY44" s="3457"/>
      <c r="AZ44" s="3457">
        <v>0</v>
      </c>
      <c r="BA44" s="3457"/>
      <c r="BB44" s="3457">
        <v>2.2878435634302692</v>
      </c>
      <c r="BC44" s="3457"/>
      <c r="BD44" s="3457">
        <v>1.1320053924670537</v>
      </c>
      <c r="BE44" s="3457"/>
      <c r="BF44" s="3457">
        <v>3.9043971992186419</v>
      </c>
      <c r="BG44" s="3457"/>
      <c r="BH44" s="3457">
        <v>30</v>
      </c>
      <c r="BI44" s="3457">
        <v>50</v>
      </c>
      <c r="BJ44" s="3457">
        <v>1</v>
      </c>
      <c r="BK44" s="3457">
        <f>SUM(Y44:Y46)</f>
        <v>1144764638</v>
      </c>
      <c r="BL44" s="3457">
        <f>SUM(Z44:Z46)</f>
        <v>1144764638</v>
      </c>
      <c r="BM44" s="3454">
        <f>BK44/BL44</f>
        <v>1</v>
      </c>
      <c r="BN44" s="3457">
        <v>83</v>
      </c>
      <c r="BO44" s="3457" t="s">
        <v>1602</v>
      </c>
      <c r="BP44" s="3457" t="s">
        <v>1577</v>
      </c>
      <c r="BQ44" s="3461">
        <v>44200</v>
      </c>
      <c r="BR44" s="3461">
        <v>44368</v>
      </c>
      <c r="BS44" s="3461">
        <v>44560</v>
      </c>
      <c r="BT44" s="3461">
        <v>44542</v>
      </c>
      <c r="BU44" s="3448" t="s">
        <v>1524</v>
      </c>
    </row>
    <row r="45" spans="1:73" s="70" customFormat="1" ht="71.25" customHeight="1" x14ac:dyDescent="0.25">
      <c r="A45" s="986"/>
      <c r="B45" s="978"/>
      <c r="C45" s="986"/>
      <c r="D45" s="978"/>
      <c r="E45" s="1012"/>
      <c r="F45" s="3376"/>
      <c r="G45" s="3383"/>
      <c r="H45" s="3455"/>
      <c r="I45" s="3383"/>
      <c r="J45" s="3455"/>
      <c r="K45" s="3383"/>
      <c r="L45" s="3455"/>
      <c r="M45" s="3383"/>
      <c r="N45" s="3106"/>
      <c r="O45" s="3433"/>
      <c r="P45" s="3433"/>
      <c r="Q45" s="3433"/>
      <c r="R45" s="3453"/>
      <c r="S45" s="3454"/>
      <c r="T45" s="3459"/>
      <c r="U45" s="3403"/>
      <c r="V45" s="3422"/>
      <c r="W45" s="3434"/>
      <c r="X45" s="1094">
        <v>20000000</v>
      </c>
      <c r="Y45" s="1095">
        <v>0</v>
      </c>
      <c r="Z45" s="1096">
        <v>0</v>
      </c>
      <c r="AA45" s="1011" t="s">
        <v>1603</v>
      </c>
      <c r="AB45" s="1010">
        <v>20</v>
      </c>
      <c r="AC45" s="1006" t="s">
        <v>1582</v>
      </c>
      <c r="AD45" s="3457"/>
      <c r="AE45" s="3457"/>
      <c r="AF45" s="3457"/>
      <c r="AG45" s="3457"/>
      <c r="AH45" s="3457"/>
      <c r="AI45" s="3457"/>
      <c r="AJ45" s="3457"/>
      <c r="AK45" s="3457"/>
      <c r="AL45" s="3457"/>
      <c r="AM45" s="3457"/>
      <c r="AN45" s="3457"/>
      <c r="AO45" s="3457"/>
      <c r="AP45" s="3457"/>
      <c r="AQ45" s="3457"/>
      <c r="AR45" s="3457"/>
      <c r="AS45" s="3457"/>
      <c r="AT45" s="3457"/>
      <c r="AU45" s="3457"/>
      <c r="AV45" s="3457"/>
      <c r="AW45" s="3457"/>
      <c r="AX45" s="3457"/>
      <c r="AY45" s="3457"/>
      <c r="AZ45" s="3457"/>
      <c r="BA45" s="3457"/>
      <c r="BB45" s="3457"/>
      <c r="BC45" s="3457"/>
      <c r="BD45" s="3457"/>
      <c r="BE45" s="3457"/>
      <c r="BF45" s="3457"/>
      <c r="BG45" s="3457"/>
      <c r="BH45" s="3457"/>
      <c r="BI45" s="3457"/>
      <c r="BJ45" s="3457"/>
      <c r="BK45" s="3457"/>
      <c r="BL45" s="3457"/>
      <c r="BM45" s="3454"/>
      <c r="BN45" s="3457"/>
      <c r="BO45" s="3457"/>
      <c r="BP45" s="3457"/>
      <c r="BQ45" s="3461"/>
      <c r="BR45" s="3461"/>
      <c r="BS45" s="3461"/>
      <c r="BT45" s="3461"/>
      <c r="BU45" s="3448"/>
    </row>
    <row r="46" spans="1:73" s="70" customFormat="1" ht="61.5" customHeight="1" x14ac:dyDescent="0.25">
      <c r="A46" s="986"/>
      <c r="B46" s="978"/>
      <c r="C46" s="986"/>
      <c r="D46" s="978"/>
      <c r="E46" s="1012"/>
      <c r="F46" s="3376"/>
      <c r="G46" s="3384"/>
      <c r="H46" s="3456"/>
      <c r="I46" s="3384"/>
      <c r="J46" s="3456"/>
      <c r="K46" s="3384"/>
      <c r="L46" s="3456"/>
      <c r="M46" s="3381"/>
      <c r="N46" s="3082"/>
      <c r="O46" s="3377"/>
      <c r="P46" s="3377"/>
      <c r="Q46" s="3377"/>
      <c r="R46" s="3434"/>
      <c r="S46" s="3435"/>
      <c r="T46" s="3436"/>
      <c r="U46" s="3453"/>
      <c r="V46" s="3460"/>
      <c r="W46" s="3434"/>
      <c r="X46" s="1097">
        <v>1217244586.9200001</v>
      </c>
      <c r="Y46" s="1098">
        <v>1144764638</v>
      </c>
      <c r="Z46" s="1099">
        <v>1144764638</v>
      </c>
      <c r="AA46" s="1001" t="s">
        <v>1604</v>
      </c>
      <c r="AB46" s="514">
        <v>83</v>
      </c>
      <c r="AC46" s="1002" t="s">
        <v>1602</v>
      </c>
      <c r="AD46" s="3458"/>
      <c r="AE46" s="3458"/>
      <c r="AF46" s="3440"/>
      <c r="AG46" s="3458"/>
      <c r="AH46" s="3440"/>
      <c r="AI46" s="3458"/>
      <c r="AJ46" s="3440"/>
      <c r="AK46" s="3458"/>
      <c r="AL46" s="3440"/>
      <c r="AM46" s="3458"/>
      <c r="AN46" s="3440"/>
      <c r="AO46" s="3458"/>
      <c r="AP46" s="3440"/>
      <c r="AQ46" s="3458"/>
      <c r="AR46" s="3440"/>
      <c r="AS46" s="3458"/>
      <c r="AT46" s="3440"/>
      <c r="AU46" s="3458"/>
      <c r="AV46" s="3440"/>
      <c r="AW46" s="3458"/>
      <c r="AX46" s="3440"/>
      <c r="AY46" s="3458"/>
      <c r="AZ46" s="3440"/>
      <c r="BA46" s="3458"/>
      <c r="BB46" s="3440"/>
      <c r="BC46" s="3458"/>
      <c r="BD46" s="3440"/>
      <c r="BE46" s="3458"/>
      <c r="BF46" s="3440"/>
      <c r="BG46" s="3458"/>
      <c r="BH46" s="3440"/>
      <c r="BI46" s="3458"/>
      <c r="BJ46" s="3458"/>
      <c r="BK46" s="3458"/>
      <c r="BL46" s="3458"/>
      <c r="BM46" s="3462"/>
      <c r="BN46" s="3458"/>
      <c r="BO46" s="3458"/>
      <c r="BP46" s="3458"/>
      <c r="BQ46" s="3452"/>
      <c r="BR46" s="3452"/>
      <c r="BS46" s="3452"/>
      <c r="BT46" s="3452"/>
      <c r="BU46" s="3449"/>
    </row>
    <row r="47" spans="1:73" s="2" customFormat="1" ht="25.5" customHeight="1" x14ac:dyDescent="0.25">
      <c r="A47" s="981"/>
      <c r="B47" s="982"/>
      <c r="C47" s="981"/>
      <c r="D47" s="982"/>
      <c r="E47" s="1100">
        <v>3302</v>
      </c>
      <c r="F47" s="1052" t="s">
        <v>1605</v>
      </c>
      <c r="G47" s="990"/>
      <c r="H47" s="881"/>
      <c r="I47" s="868"/>
      <c r="J47" s="881"/>
      <c r="K47" s="1101"/>
      <c r="L47" s="1102"/>
      <c r="M47" s="1103"/>
      <c r="N47" s="1104"/>
      <c r="O47" s="1103"/>
      <c r="P47" s="1103"/>
      <c r="Q47" s="1103"/>
      <c r="R47" s="1104"/>
      <c r="S47" s="1103"/>
      <c r="T47" s="1103"/>
      <c r="U47" s="1103"/>
      <c r="V47" s="1103"/>
      <c r="W47" s="1103"/>
      <c r="X47" s="1105"/>
      <c r="Y47" s="1105"/>
      <c r="Z47" s="1106"/>
      <c r="AA47" s="1107"/>
      <c r="AB47" s="1103"/>
      <c r="AC47" s="1103"/>
      <c r="AD47" s="1108"/>
      <c r="AE47" s="1103"/>
      <c r="AF47" s="1103"/>
      <c r="AG47" s="1103"/>
      <c r="AH47" s="1103"/>
      <c r="AI47" s="1103"/>
      <c r="AJ47" s="1103"/>
      <c r="AK47" s="1103"/>
      <c r="AL47" s="1103"/>
      <c r="AM47" s="1103"/>
      <c r="AN47" s="1103"/>
      <c r="AO47" s="1103"/>
      <c r="AP47" s="1103"/>
      <c r="AQ47" s="1103"/>
      <c r="AR47" s="1109"/>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9"/>
    </row>
    <row r="48" spans="1:73" s="70" customFormat="1" ht="182.25" customHeight="1" x14ac:dyDescent="0.25">
      <c r="A48" s="986"/>
      <c r="B48" s="978"/>
      <c r="C48" s="986"/>
      <c r="D48" s="978"/>
      <c r="E48" s="1012"/>
      <c r="F48" s="1012"/>
      <c r="G48" s="724">
        <v>3302042</v>
      </c>
      <c r="H48" s="1110" t="s">
        <v>1606</v>
      </c>
      <c r="I48" s="724">
        <v>3302042</v>
      </c>
      <c r="J48" s="1110" t="s">
        <v>1606</v>
      </c>
      <c r="K48" s="1111">
        <v>330204200</v>
      </c>
      <c r="L48" s="1112" t="s">
        <v>1607</v>
      </c>
      <c r="M48" s="1111">
        <v>330204200</v>
      </c>
      <c r="N48" s="969" t="s">
        <v>1607</v>
      </c>
      <c r="O48" s="1007">
        <v>12</v>
      </c>
      <c r="P48" s="1007">
        <v>2</v>
      </c>
      <c r="Q48" s="3399" t="s">
        <v>1608</v>
      </c>
      <c r="R48" s="3419" t="s">
        <v>1609</v>
      </c>
      <c r="S48" s="974">
        <f>X48/T48</f>
        <v>0.16789852200605013</v>
      </c>
      <c r="T48" s="3465">
        <f>SUM(X48:X52)</f>
        <v>396072575.30000001</v>
      </c>
      <c r="U48" s="3467" t="s">
        <v>1610</v>
      </c>
      <c r="V48" s="1071" t="s">
        <v>1611</v>
      </c>
      <c r="W48" s="1005" t="s">
        <v>1612</v>
      </c>
      <c r="X48" s="999">
        <v>66500000</v>
      </c>
      <c r="Y48" s="1063">
        <v>21855000</v>
      </c>
      <c r="Z48" s="999">
        <v>5770000</v>
      </c>
      <c r="AA48" s="1001" t="s">
        <v>1613</v>
      </c>
      <c r="AB48" s="997">
        <v>20</v>
      </c>
      <c r="AC48" s="992" t="s">
        <v>1582</v>
      </c>
      <c r="AD48" s="3463">
        <v>295972</v>
      </c>
      <c r="AE48" s="3463">
        <v>100</v>
      </c>
      <c r="AF48" s="3463">
        <v>285580</v>
      </c>
      <c r="AG48" s="3463">
        <v>100</v>
      </c>
      <c r="AH48" s="3463">
        <v>135545</v>
      </c>
      <c r="AI48" s="3463">
        <v>10</v>
      </c>
      <c r="AJ48" s="3463">
        <v>44254</v>
      </c>
      <c r="AK48" s="3463">
        <v>10</v>
      </c>
      <c r="AL48" s="3463">
        <v>309146</v>
      </c>
      <c r="AM48" s="3463">
        <v>10</v>
      </c>
      <c r="AN48" s="3463">
        <v>92607</v>
      </c>
      <c r="AO48" s="3463">
        <v>10</v>
      </c>
      <c r="AP48" s="3463">
        <v>2145</v>
      </c>
      <c r="AQ48" s="3463">
        <v>10</v>
      </c>
      <c r="AR48" s="3463">
        <v>12718</v>
      </c>
      <c r="AS48" s="3463">
        <v>10</v>
      </c>
      <c r="AT48" s="3463">
        <v>26</v>
      </c>
      <c r="AU48" s="3463">
        <v>1</v>
      </c>
      <c r="AV48" s="3463">
        <v>37</v>
      </c>
      <c r="AW48" s="3463">
        <v>1</v>
      </c>
      <c r="AX48" s="3463">
        <v>0</v>
      </c>
      <c r="AY48" s="3463">
        <v>1</v>
      </c>
      <c r="AZ48" s="3463">
        <v>0</v>
      </c>
      <c r="BA48" s="3463">
        <v>1</v>
      </c>
      <c r="BB48" s="3463">
        <v>44350</v>
      </c>
      <c r="BC48" s="3463"/>
      <c r="BD48" s="3463">
        <v>21944</v>
      </c>
      <c r="BE48" s="3463"/>
      <c r="BF48" s="3463">
        <v>75686.999999999985</v>
      </c>
      <c r="BG48" s="3463"/>
      <c r="BH48" s="3463">
        <v>581552</v>
      </c>
      <c r="BI48" s="3463">
        <v>264</v>
      </c>
      <c r="BJ48" s="3463">
        <v>4</v>
      </c>
      <c r="BK48" s="3463">
        <f>SUM(Y48:Y52)</f>
        <v>41515000</v>
      </c>
      <c r="BL48" s="3463">
        <f>SUM(Z48:Z52)</f>
        <v>18570000</v>
      </c>
      <c r="BM48" s="2463">
        <f>BL48/BK48</f>
        <v>0.44730820185475129</v>
      </c>
      <c r="BN48" s="3463">
        <v>20</v>
      </c>
      <c r="BO48" s="3463" t="s">
        <v>1614</v>
      </c>
      <c r="BP48" s="3463" t="s">
        <v>1615</v>
      </c>
      <c r="BQ48" s="2684">
        <v>44200</v>
      </c>
      <c r="BR48" s="2684">
        <v>44259</v>
      </c>
      <c r="BS48" s="2684">
        <v>44560</v>
      </c>
      <c r="BT48" s="2684">
        <v>44443</v>
      </c>
      <c r="BU48" s="3424" t="s">
        <v>1616</v>
      </c>
    </row>
    <row r="49" spans="1:73" s="70" customFormat="1" ht="76.5" customHeight="1" x14ac:dyDescent="0.25">
      <c r="A49" s="986"/>
      <c r="B49" s="978"/>
      <c r="C49" s="986"/>
      <c r="D49" s="978"/>
      <c r="E49" s="1012"/>
      <c r="F49" s="1012"/>
      <c r="G49" s="3447">
        <v>3302070</v>
      </c>
      <c r="H49" s="3475" t="s">
        <v>1617</v>
      </c>
      <c r="I49" s="3447">
        <v>3302070</v>
      </c>
      <c r="J49" s="3475" t="s">
        <v>1617</v>
      </c>
      <c r="K49" s="3468" t="s">
        <v>1618</v>
      </c>
      <c r="L49" s="3478" t="s">
        <v>1587</v>
      </c>
      <c r="M49" s="3468" t="s">
        <v>1618</v>
      </c>
      <c r="N49" s="3471" t="s">
        <v>1587</v>
      </c>
      <c r="O49" s="3378">
        <v>4</v>
      </c>
      <c r="P49" s="3378">
        <v>0</v>
      </c>
      <c r="Q49" s="3399"/>
      <c r="R49" s="3419"/>
      <c r="S49" s="3474">
        <f>SUM(X49:X52)/T48</f>
        <v>0.83210147799394985</v>
      </c>
      <c r="T49" s="3465"/>
      <c r="U49" s="3395"/>
      <c r="V49" s="3413" t="s">
        <v>1619</v>
      </c>
      <c r="W49" s="3418" t="s">
        <v>1617</v>
      </c>
      <c r="X49" s="1058">
        <v>66500000</v>
      </c>
      <c r="Y49" s="1066">
        <f>8460000+11200000</f>
        <v>19660000</v>
      </c>
      <c r="Z49" s="1058">
        <v>12800000</v>
      </c>
      <c r="AA49" s="1001" t="s">
        <v>1620</v>
      </c>
      <c r="AB49" s="660">
        <v>20</v>
      </c>
      <c r="AC49" s="993" t="s">
        <v>1582</v>
      </c>
      <c r="AD49" s="3463"/>
      <c r="AE49" s="3463"/>
      <c r="AF49" s="3463"/>
      <c r="AG49" s="3463"/>
      <c r="AH49" s="3463"/>
      <c r="AI49" s="3463"/>
      <c r="AJ49" s="3463"/>
      <c r="AK49" s="3463"/>
      <c r="AL49" s="3463"/>
      <c r="AM49" s="3463"/>
      <c r="AN49" s="3463"/>
      <c r="AO49" s="3463"/>
      <c r="AP49" s="3463"/>
      <c r="AQ49" s="3463"/>
      <c r="AR49" s="3463"/>
      <c r="AS49" s="3463"/>
      <c r="AT49" s="3463"/>
      <c r="AU49" s="3463"/>
      <c r="AV49" s="3463"/>
      <c r="AW49" s="3463"/>
      <c r="AX49" s="3463"/>
      <c r="AY49" s="3463"/>
      <c r="AZ49" s="3463"/>
      <c r="BA49" s="3463"/>
      <c r="BB49" s="3463"/>
      <c r="BC49" s="3463"/>
      <c r="BD49" s="3463"/>
      <c r="BE49" s="3463"/>
      <c r="BF49" s="3463"/>
      <c r="BG49" s="3463"/>
      <c r="BH49" s="3463"/>
      <c r="BI49" s="3463"/>
      <c r="BJ49" s="3463"/>
      <c r="BK49" s="3463"/>
      <c r="BL49" s="3463"/>
      <c r="BM49" s="2463"/>
      <c r="BN49" s="3463"/>
      <c r="BO49" s="3463"/>
      <c r="BP49" s="3463"/>
      <c r="BQ49" s="2684"/>
      <c r="BR49" s="2684"/>
      <c r="BS49" s="2684"/>
      <c r="BT49" s="2684"/>
      <c r="BU49" s="3424"/>
    </row>
    <row r="50" spans="1:73" s="70" customFormat="1" ht="76.5" customHeight="1" x14ac:dyDescent="0.25">
      <c r="A50" s="986"/>
      <c r="B50" s="978"/>
      <c r="C50" s="986"/>
      <c r="D50" s="978"/>
      <c r="E50" s="1012"/>
      <c r="F50" s="1012"/>
      <c r="G50" s="3447"/>
      <c r="H50" s="3476"/>
      <c r="I50" s="3447"/>
      <c r="J50" s="3476"/>
      <c r="K50" s="3469"/>
      <c r="L50" s="3479"/>
      <c r="M50" s="3469"/>
      <c r="N50" s="3472"/>
      <c r="O50" s="3399"/>
      <c r="P50" s="3399"/>
      <c r="Q50" s="3399"/>
      <c r="R50" s="3419"/>
      <c r="S50" s="2463"/>
      <c r="T50" s="3465"/>
      <c r="U50" s="3395"/>
      <c r="V50" s="3414"/>
      <c r="W50" s="3419"/>
      <c r="X50" s="1058">
        <v>121874339</v>
      </c>
      <c r="Y50" s="1066"/>
      <c r="Z50" s="1058"/>
      <c r="AA50" s="1001" t="s">
        <v>1621</v>
      </c>
      <c r="AB50" s="660">
        <v>47</v>
      </c>
      <c r="AC50" s="993" t="s">
        <v>1622</v>
      </c>
      <c r="AD50" s="3463"/>
      <c r="AE50" s="3463"/>
      <c r="AF50" s="3463"/>
      <c r="AG50" s="3463"/>
      <c r="AH50" s="3463"/>
      <c r="AI50" s="3463"/>
      <c r="AJ50" s="3463"/>
      <c r="AK50" s="3463"/>
      <c r="AL50" s="3463"/>
      <c r="AM50" s="3463"/>
      <c r="AN50" s="3463"/>
      <c r="AO50" s="3463"/>
      <c r="AP50" s="3463"/>
      <c r="AQ50" s="3463"/>
      <c r="AR50" s="3463"/>
      <c r="AS50" s="3463"/>
      <c r="AT50" s="3463"/>
      <c r="AU50" s="3463"/>
      <c r="AV50" s="3463"/>
      <c r="AW50" s="3463"/>
      <c r="AX50" s="3463"/>
      <c r="AY50" s="3463"/>
      <c r="AZ50" s="3463"/>
      <c r="BA50" s="3463"/>
      <c r="BB50" s="3463"/>
      <c r="BC50" s="3463"/>
      <c r="BD50" s="3463"/>
      <c r="BE50" s="3463"/>
      <c r="BF50" s="3463"/>
      <c r="BG50" s="3463"/>
      <c r="BH50" s="3463"/>
      <c r="BI50" s="3463"/>
      <c r="BJ50" s="3463"/>
      <c r="BK50" s="3463"/>
      <c r="BL50" s="3463"/>
      <c r="BM50" s="2463"/>
      <c r="BN50" s="3463"/>
      <c r="BO50" s="3463"/>
      <c r="BP50" s="3463"/>
      <c r="BQ50" s="2684"/>
      <c r="BR50" s="2684"/>
      <c r="BS50" s="2684"/>
      <c r="BT50" s="2684"/>
      <c r="BU50" s="3424"/>
    </row>
    <row r="51" spans="1:73" s="70" customFormat="1" ht="76.5" customHeight="1" x14ac:dyDescent="0.25">
      <c r="A51" s="986"/>
      <c r="B51" s="978"/>
      <c r="C51" s="986"/>
      <c r="D51" s="978"/>
      <c r="E51" s="1012"/>
      <c r="F51" s="1012"/>
      <c r="G51" s="3447"/>
      <c r="H51" s="3476"/>
      <c r="I51" s="3447"/>
      <c r="J51" s="3476"/>
      <c r="K51" s="3469"/>
      <c r="L51" s="3479"/>
      <c r="M51" s="3469"/>
      <c r="N51" s="3472"/>
      <c r="O51" s="3399"/>
      <c r="P51" s="3399"/>
      <c r="Q51" s="3399"/>
      <c r="R51" s="3419"/>
      <c r="S51" s="2463"/>
      <c r="T51" s="3465"/>
      <c r="U51" s="3395"/>
      <c r="V51" s="3414"/>
      <c r="W51" s="3419"/>
      <c r="X51" s="1058">
        <v>141163803</v>
      </c>
      <c r="Y51" s="1066"/>
      <c r="Z51" s="1058"/>
      <c r="AA51" s="1001" t="s">
        <v>1623</v>
      </c>
      <c r="AB51" s="660">
        <v>47</v>
      </c>
      <c r="AC51" s="993" t="s">
        <v>1622</v>
      </c>
      <c r="AD51" s="3463"/>
      <c r="AE51" s="3463"/>
      <c r="AF51" s="3463"/>
      <c r="AG51" s="3463"/>
      <c r="AH51" s="3463"/>
      <c r="AI51" s="3463"/>
      <c r="AJ51" s="3463"/>
      <c r="AK51" s="3463"/>
      <c r="AL51" s="3463"/>
      <c r="AM51" s="3463"/>
      <c r="AN51" s="3463"/>
      <c r="AO51" s="3463"/>
      <c r="AP51" s="3463"/>
      <c r="AQ51" s="3463"/>
      <c r="AR51" s="3463"/>
      <c r="AS51" s="3463"/>
      <c r="AT51" s="3463"/>
      <c r="AU51" s="3463"/>
      <c r="AV51" s="3463"/>
      <c r="AW51" s="3463"/>
      <c r="AX51" s="3463"/>
      <c r="AY51" s="3463"/>
      <c r="AZ51" s="3463"/>
      <c r="BA51" s="3463"/>
      <c r="BB51" s="3463"/>
      <c r="BC51" s="3463"/>
      <c r="BD51" s="3463"/>
      <c r="BE51" s="3463"/>
      <c r="BF51" s="3463"/>
      <c r="BG51" s="3463"/>
      <c r="BH51" s="3463"/>
      <c r="BI51" s="3463"/>
      <c r="BJ51" s="3463"/>
      <c r="BK51" s="3463"/>
      <c r="BL51" s="3463"/>
      <c r="BM51" s="2463"/>
      <c r="BN51" s="3463"/>
      <c r="BO51" s="3463"/>
      <c r="BP51" s="3463"/>
      <c r="BQ51" s="2684"/>
      <c r="BR51" s="2684"/>
      <c r="BS51" s="2684"/>
      <c r="BT51" s="2684"/>
      <c r="BU51" s="3424"/>
    </row>
    <row r="52" spans="1:73" s="70" customFormat="1" ht="90.75" customHeight="1" x14ac:dyDescent="0.25">
      <c r="A52" s="987"/>
      <c r="B52" s="988"/>
      <c r="C52" s="987"/>
      <c r="D52" s="988"/>
      <c r="E52" s="1008"/>
      <c r="F52" s="1008"/>
      <c r="G52" s="3447"/>
      <c r="H52" s="3477"/>
      <c r="I52" s="3447"/>
      <c r="J52" s="3477"/>
      <c r="K52" s="3470"/>
      <c r="L52" s="3480"/>
      <c r="M52" s="3470"/>
      <c r="N52" s="3473"/>
      <c r="O52" s="3433"/>
      <c r="P52" s="3433"/>
      <c r="Q52" s="3433"/>
      <c r="R52" s="3420"/>
      <c r="S52" s="2464"/>
      <c r="T52" s="3466"/>
      <c r="U52" s="3396"/>
      <c r="V52" s="3415"/>
      <c r="W52" s="3420"/>
      <c r="X52" s="1058">
        <v>34433.300000000003</v>
      </c>
      <c r="Y52" s="1066">
        <v>0</v>
      </c>
      <c r="Z52" s="1058">
        <v>0</v>
      </c>
      <c r="AA52" s="1001" t="s">
        <v>1624</v>
      </c>
      <c r="AB52" s="660">
        <v>93</v>
      </c>
      <c r="AC52" s="993" t="s">
        <v>1625</v>
      </c>
      <c r="AD52" s="3464"/>
      <c r="AE52" s="3464"/>
      <c r="AF52" s="3464"/>
      <c r="AG52" s="3464"/>
      <c r="AH52" s="3464"/>
      <c r="AI52" s="3464"/>
      <c r="AJ52" s="3464"/>
      <c r="AK52" s="3464"/>
      <c r="AL52" s="3464"/>
      <c r="AM52" s="3464"/>
      <c r="AN52" s="3464"/>
      <c r="AO52" s="3464"/>
      <c r="AP52" s="3464"/>
      <c r="AQ52" s="3464"/>
      <c r="AR52" s="3464"/>
      <c r="AS52" s="3464"/>
      <c r="AT52" s="3464"/>
      <c r="AU52" s="3464"/>
      <c r="AV52" s="3464"/>
      <c r="AW52" s="3464"/>
      <c r="AX52" s="3464"/>
      <c r="AY52" s="3464"/>
      <c r="AZ52" s="3464"/>
      <c r="BA52" s="3464"/>
      <c r="BB52" s="3464"/>
      <c r="BC52" s="3464"/>
      <c r="BD52" s="3464"/>
      <c r="BE52" s="3464"/>
      <c r="BF52" s="3464"/>
      <c r="BG52" s="3464"/>
      <c r="BH52" s="3464"/>
      <c r="BI52" s="3464"/>
      <c r="BJ52" s="3464"/>
      <c r="BK52" s="3464"/>
      <c r="BL52" s="3464"/>
      <c r="BM52" s="2464"/>
      <c r="BN52" s="3464"/>
      <c r="BO52" s="3464"/>
      <c r="BP52" s="3464"/>
      <c r="BQ52" s="2685"/>
      <c r="BR52" s="2685"/>
      <c r="BS52" s="2685"/>
      <c r="BT52" s="2685"/>
      <c r="BU52" s="3425"/>
    </row>
    <row r="53" spans="1:73" s="2" customFormat="1" ht="27" customHeight="1" x14ac:dyDescent="0.25">
      <c r="A53" s="1113"/>
      <c r="B53" s="1113"/>
      <c r="C53" s="1113"/>
      <c r="D53" s="1113"/>
      <c r="E53" s="1113"/>
      <c r="F53" s="1113"/>
      <c r="G53" s="1113"/>
      <c r="H53" s="1113"/>
      <c r="I53" s="1113"/>
      <c r="J53" s="1113"/>
      <c r="K53" s="1113"/>
      <c r="L53" s="1113"/>
      <c r="M53" s="1113"/>
      <c r="N53" s="1113"/>
      <c r="O53" s="1113"/>
      <c r="P53" s="1113"/>
      <c r="Q53" s="1113"/>
      <c r="R53" s="1113"/>
      <c r="S53" s="1114"/>
      <c r="T53" s="1115">
        <f>SUM(T10:T52)</f>
        <v>4118391658.3200002</v>
      </c>
      <c r="U53" s="1113"/>
      <c r="V53" s="1113"/>
      <c r="W53" s="1113" t="s">
        <v>127</v>
      </c>
      <c r="X53" s="952">
        <f>SUM(X10:X52)</f>
        <v>4118391658.3200002</v>
      </c>
      <c r="Y53" s="952">
        <f t="shared" ref="Y53:Z53" si="0">SUM(Y10:Y52)</f>
        <v>1414349638</v>
      </c>
      <c r="Z53" s="952">
        <f t="shared" si="0"/>
        <v>1221914638</v>
      </c>
      <c r="AA53" s="1113"/>
      <c r="AB53" s="1116"/>
      <c r="AC53" s="1113"/>
      <c r="AD53" s="1113"/>
      <c r="AE53" s="1113"/>
      <c r="AF53" s="1113"/>
      <c r="AG53" s="1113"/>
      <c r="AH53" s="1113"/>
      <c r="AI53" s="1113"/>
      <c r="AJ53" s="1113"/>
      <c r="AK53" s="1113"/>
      <c r="AL53" s="1113"/>
      <c r="AM53" s="1113"/>
      <c r="AN53" s="1113"/>
      <c r="AO53" s="1113"/>
      <c r="AP53" s="1113"/>
      <c r="AQ53" s="1113"/>
      <c r="AR53" s="1113"/>
      <c r="AS53" s="1113"/>
      <c r="AT53" s="1113"/>
      <c r="AU53" s="1113"/>
      <c r="AV53" s="1113"/>
      <c r="AW53" s="1113"/>
      <c r="AX53" s="1113"/>
      <c r="AY53" s="1113"/>
      <c r="AZ53" s="1113"/>
      <c r="BA53" s="1113"/>
      <c r="BB53" s="1113"/>
      <c r="BC53" s="1113"/>
      <c r="BD53" s="1113"/>
      <c r="BE53" s="1113"/>
      <c r="BF53" s="1113"/>
      <c r="BG53" s="1113"/>
      <c r="BH53" s="1113"/>
      <c r="BI53" s="1113"/>
      <c r="BJ53" s="1113"/>
      <c r="BK53" s="952">
        <f t="shared" ref="BK53:BL53" si="1">SUM(BK10:BK52)</f>
        <v>1414349638</v>
      </c>
      <c r="BL53" s="952">
        <f t="shared" si="1"/>
        <v>1221914638</v>
      </c>
      <c r="BM53" s="955">
        <f>BL53/BK53</f>
        <v>0.86394099815932501</v>
      </c>
      <c r="BN53" s="1113"/>
      <c r="BO53" s="1113"/>
      <c r="BP53" s="1113"/>
      <c r="BQ53" s="1117"/>
      <c r="BR53" s="1117"/>
      <c r="BS53" s="1117"/>
      <c r="BT53" s="1117"/>
      <c r="BU53" s="1118"/>
    </row>
    <row r="54" spans="1:73" ht="27" customHeight="1" x14ac:dyDescent="0.25">
      <c r="W54" s="972"/>
    </row>
    <row r="55" spans="1:73" ht="27" customHeight="1" x14ac:dyDescent="0.25">
      <c r="W55" s="972"/>
    </row>
  </sheetData>
  <sheetProtection algorithmName="SHA-512" hashValue="ffoezU4XtsIGVtjMzgm1um0EfHViVV3WQGQSUmhqlPEtuekSCTonzpU6POrjfm8l3wRqk5Eh89hF9t2zuRbYGQ==" saltValue="BFcJT4BKAsDBj8bopRsIIg==" spinCount="100000" sheet="1" objects="1" scenarios="1"/>
  <autoFilter ref="AA1:AA55"/>
  <mergeCells count="341">
    <mergeCell ref="M49:M52"/>
    <mergeCell ref="N49:N52"/>
    <mergeCell ref="O49:O52"/>
    <mergeCell ref="P49:P52"/>
    <mergeCell ref="S49:S52"/>
    <mergeCell ref="V49:V52"/>
    <mergeCell ref="G49:G52"/>
    <mergeCell ref="H49:H52"/>
    <mergeCell ref="I49:I52"/>
    <mergeCell ref="J49:J52"/>
    <mergeCell ref="K49:K52"/>
    <mergeCell ref="L49:L52"/>
    <mergeCell ref="BP48:BP52"/>
    <mergeCell ref="BQ48:BQ52"/>
    <mergeCell ref="BR48:BR52"/>
    <mergeCell ref="BS48:BS52"/>
    <mergeCell ref="BT48:BT52"/>
    <mergeCell ref="BU48:BU52"/>
    <mergeCell ref="BJ48:BJ52"/>
    <mergeCell ref="BK48:BK52"/>
    <mergeCell ref="BL48:BL52"/>
    <mergeCell ref="BM48:BM52"/>
    <mergeCell ref="BN48:BN52"/>
    <mergeCell ref="BO48:BO52"/>
    <mergeCell ref="BD48:BD52"/>
    <mergeCell ref="BE48:BE52"/>
    <mergeCell ref="BF48:BF52"/>
    <mergeCell ref="BG48:BG52"/>
    <mergeCell ref="BH48:BH52"/>
    <mergeCell ref="BI48:BI52"/>
    <mergeCell ref="AX48:AX52"/>
    <mergeCell ref="AY48:AY52"/>
    <mergeCell ref="AZ48:AZ52"/>
    <mergeCell ref="BA48:BA52"/>
    <mergeCell ref="BB48:BB52"/>
    <mergeCell ref="BC48:BC52"/>
    <mergeCell ref="AR48:AR52"/>
    <mergeCell ref="AS48:AS52"/>
    <mergeCell ref="AT48:AT52"/>
    <mergeCell ref="AU48:AU52"/>
    <mergeCell ref="AV48:AV52"/>
    <mergeCell ref="AW48:AW52"/>
    <mergeCell ref="AL48:AL52"/>
    <mergeCell ref="AM48:AM52"/>
    <mergeCell ref="AN48:AN52"/>
    <mergeCell ref="AO48:AO52"/>
    <mergeCell ref="AP48:AP52"/>
    <mergeCell ref="AQ48:AQ52"/>
    <mergeCell ref="AF48:AF52"/>
    <mergeCell ref="AG48:AG52"/>
    <mergeCell ref="AH48:AH52"/>
    <mergeCell ref="AI48:AI52"/>
    <mergeCell ref="AJ48:AJ52"/>
    <mergeCell ref="AK48:AK52"/>
    <mergeCell ref="Q48:Q52"/>
    <mergeCell ref="R48:R52"/>
    <mergeCell ref="T48:T52"/>
    <mergeCell ref="U48:U52"/>
    <mergeCell ref="AD48:AD52"/>
    <mergeCell ref="AE48:AE52"/>
    <mergeCell ref="W49:W52"/>
    <mergeCell ref="BP44:BP46"/>
    <mergeCell ref="BQ44:BQ46"/>
    <mergeCell ref="BR44:BR46"/>
    <mergeCell ref="BS44:BS46"/>
    <mergeCell ref="BT44:BT46"/>
    <mergeCell ref="BU44:BU46"/>
    <mergeCell ref="BJ44:BJ46"/>
    <mergeCell ref="BK44:BK46"/>
    <mergeCell ref="BL44:BL46"/>
    <mergeCell ref="BM44:BM46"/>
    <mergeCell ref="BN44:BN46"/>
    <mergeCell ref="BO44:BO46"/>
    <mergeCell ref="BD44:BD46"/>
    <mergeCell ref="BE44:BE46"/>
    <mergeCell ref="BF44:BF46"/>
    <mergeCell ref="BG44:BG46"/>
    <mergeCell ref="BH44:BH46"/>
    <mergeCell ref="BI44:BI46"/>
    <mergeCell ref="AX44:AX46"/>
    <mergeCell ref="AY44:AY46"/>
    <mergeCell ref="AZ44:AZ46"/>
    <mergeCell ref="BA44:BA46"/>
    <mergeCell ref="BB44:BB46"/>
    <mergeCell ref="BC44:BC46"/>
    <mergeCell ref="AR44:AR46"/>
    <mergeCell ref="AS44:AS46"/>
    <mergeCell ref="AT44:AT46"/>
    <mergeCell ref="AU44:AU46"/>
    <mergeCell ref="AV44:AV46"/>
    <mergeCell ref="AW44:AW46"/>
    <mergeCell ref="AL44:AL46"/>
    <mergeCell ref="AM44:AM46"/>
    <mergeCell ref="AN44:AN46"/>
    <mergeCell ref="AO44:AO46"/>
    <mergeCell ref="AP44:AP46"/>
    <mergeCell ref="AQ44:AQ46"/>
    <mergeCell ref="AF44:AF46"/>
    <mergeCell ref="AG44:AG46"/>
    <mergeCell ref="AH44:AH46"/>
    <mergeCell ref="AI44:AI46"/>
    <mergeCell ref="AJ44:AJ46"/>
    <mergeCell ref="AK44:AK46"/>
    <mergeCell ref="T44:T46"/>
    <mergeCell ref="U44:U46"/>
    <mergeCell ref="V44:V46"/>
    <mergeCell ref="W44:W46"/>
    <mergeCell ref="AD44:AD46"/>
    <mergeCell ref="AE44:AE46"/>
    <mergeCell ref="N44:N46"/>
    <mergeCell ref="O44:O46"/>
    <mergeCell ref="P44:P46"/>
    <mergeCell ref="Q44:Q46"/>
    <mergeCell ref="R44:R46"/>
    <mergeCell ref="S44:S46"/>
    <mergeCell ref="H44:H46"/>
    <mergeCell ref="I44:I46"/>
    <mergeCell ref="J44:J46"/>
    <mergeCell ref="K44:K46"/>
    <mergeCell ref="L44:L46"/>
    <mergeCell ref="M44:M46"/>
    <mergeCell ref="BR33:BR43"/>
    <mergeCell ref="BS33:BS43"/>
    <mergeCell ref="BT33:BT43"/>
    <mergeCell ref="BE33:BE43"/>
    <mergeCell ref="AT33:AT43"/>
    <mergeCell ref="AU33:AU43"/>
    <mergeCell ref="AV33:AV43"/>
    <mergeCell ref="AW33:AW43"/>
    <mergeCell ref="AX33:AX43"/>
    <mergeCell ref="AY33:AY43"/>
    <mergeCell ref="BU33:BU43"/>
    <mergeCell ref="W36:W38"/>
    <mergeCell ref="G41:G43"/>
    <mergeCell ref="H41:H43"/>
    <mergeCell ref="I41:I43"/>
    <mergeCell ref="J41:J43"/>
    <mergeCell ref="K41:K43"/>
    <mergeCell ref="BL33:BL43"/>
    <mergeCell ref="BM33:BM43"/>
    <mergeCell ref="BN33:BN43"/>
    <mergeCell ref="BO33:BO43"/>
    <mergeCell ref="BP33:BP43"/>
    <mergeCell ref="BQ33:BQ43"/>
    <mergeCell ref="BF33:BF43"/>
    <mergeCell ref="BG33:BG43"/>
    <mergeCell ref="BH33:BH43"/>
    <mergeCell ref="BI33:BI43"/>
    <mergeCell ref="BJ33:BJ43"/>
    <mergeCell ref="BK33:BK43"/>
    <mergeCell ref="AZ33:AZ43"/>
    <mergeCell ref="BA33:BA43"/>
    <mergeCell ref="BB33:BB43"/>
    <mergeCell ref="BC33:BC43"/>
    <mergeCell ref="BD33:BD43"/>
    <mergeCell ref="J33:J40"/>
    <mergeCell ref="K33:K40"/>
    <mergeCell ref="L33:L40"/>
    <mergeCell ref="M33:M40"/>
    <mergeCell ref="N33:N40"/>
    <mergeCell ref="O33:O40"/>
    <mergeCell ref="AJ33:AJ43"/>
    <mergeCell ref="AK33:AK43"/>
    <mergeCell ref="AL33:AL43"/>
    <mergeCell ref="V33:V40"/>
    <mergeCell ref="W33:W35"/>
    <mergeCell ref="AD33:AD43"/>
    <mergeCell ref="AE33:AE43"/>
    <mergeCell ref="AF33:AF43"/>
    <mergeCell ref="AG33:AG43"/>
    <mergeCell ref="V41:V43"/>
    <mergeCell ref="W41:W43"/>
    <mergeCell ref="L41:L43"/>
    <mergeCell ref="M41:M43"/>
    <mergeCell ref="N41:N43"/>
    <mergeCell ref="O41:O43"/>
    <mergeCell ref="P41:P43"/>
    <mergeCell ref="S41:S43"/>
    <mergeCell ref="AH33:AH43"/>
    <mergeCell ref="AN13:AN32"/>
    <mergeCell ref="AO13:AO32"/>
    <mergeCell ref="AP13:AP32"/>
    <mergeCell ref="AQ13:AQ32"/>
    <mergeCell ref="AR13:AR32"/>
    <mergeCell ref="AS13:AS32"/>
    <mergeCell ref="AH13:AH32"/>
    <mergeCell ref="AI13:AI32"/>
    <mergeCell ref="P33:P40"/>
    <mergeCell ref="Q33:Q43"/>
    <mergeCell ref="R33:R43"/>
    <mergeCell ref="S33:S40"/>
    <mergeCell ref="T33:T43"/>
    <mergeCell ref="U33:U43"/>
    <mergeCell ref="AM33:AM43"/>
    <mergeCell ref="AN33:AN43"/>
    <mergeCell ref="AO33:AO43"/>
    <mergeCell ref="AP33:AP43"/>
    <mergeCell ref="AQ33:AQ43"/>
    <mergeCell ref="AR33:AR43"/>
    <mergeCell ref="AS33:AS43"/>
    <mergeCell ref="AI33:AI43"/>
    <mergeCell ref="AJ13:AJ32"/>
    <mergeCell ref="AK13:AK32"/>
    <mergeCell ref="BR13:BR32"/>
    <mergeCell ref="BS13:BS32"/>
    <mergeCell ref="BT13:BT32"/>
    <mergeCell ref="BE13:BE32"/>
    <mergeCell ref="AT13:AT32"/>
    <mergeCell ref="AU13:AU32"/>
    <mergeCell ref="AV13:AV32"/>
    <mergeCell ref="AW13:AW32"/>
    <mergeCell ref="AX13:AX32"/>
    <mergeCell ref="AY13:AY32"/>
    <mergeCell ref="BU13:BU32"/>
    <mergeCell ref="G16:G29"/>
    <mergeCell ref="H16:H29"/>
    <mergeCell ref="I16:I29"/>
    <mergeCell ref="J16:J29"/>
    <mergeCell ref="K16:K29"/>
    <mergeCell ref="L16:L29"/>
    <mergeCell ref="BL13:BL32"/>
    <mergeCell ref="BM13:BM32"/>
    <mergeCell ref="BN13:BN32"/>
    <mergeCell ref="BO13:BO32"/>
    <mergeCell ref="BP13:BP32"/>
    <mergeCell ref="BQ13:BQ32"/>
    <mergeCell ref="BF13:BF32"/>
    <mergeCell ref="BG13:BG32"/>
    <mergeCell ref="BH13:BH32"/>
    <mergeCell ref="BI13:BI32"/>
    <mergeCell ref="BJ13:BJ32"/>
    <mergeCell ref="BK13:BK32"/>
    <mergeCell ref="AZ13:AZ32"/>
    <mergeCell ref="BA13:BA32"/>
    <mergeCell ref="BB13:BB32"/>
    <mergeCell ref="BC13:BC32"/>
    <mergeCell ref="BD13:BD32"/>
    <mergeCell ref="AL13:AL32"/>
    <mergeCell ref="AM13:AM32"/>
    <mergeCell ref="V13:V15"/>
    <mergeCell ref="W13:W14"/>
    <mergeCell ref="AD13:AD32"/>
    <mergeCell ref="AE13:AE32"/>
    <mergeCell ref="AF13:AF32"/>
    <mergeCell ref="AG13:AG32"/>
    <mergeCell ref="W22:W24"/>
    <mergeCell ref="W28:W29"/>
    <mergeCell ref="V16:V29"/>
    <mergeCell ref="P13:P15"/>
    <mergeCell ref="Q13:Q32"/>
    <mergeCell ref="R13:R32"/>
    <mergeCell ref="S13:S15"/>
    <mergeCell ref="T13:T32"/>
    <mergeCell ref="U13:U32"/>
    <mergeCell ref="J13:J15"/>
    <mergeCell ref="K13:K15"/>
    <mergeCell ref="L13:L15"/>
    <mergeCell ref="M13:M15"/>
    <mergeCell ref="N13:N15"/>
    <mergeCell ref="O13:O15"/>
    <mergeCell ref="M16:M29"/>
    <mergeCell ref="N16:N29"/>
    <mergeCell ref="O16:O29"/>
    <mergeCell ref="P16:P29"/>
    <mergeCell ref="S16:S29"/>
    <mergeCell ref="B10:E10"/>
    <mergeCell ref="D11:G11"/>
    <mergeCell ref="F13:F46"/>
    <mergeCell ref="G13:G15"/>
    <mergeCell ref="H13:H15"/>
    <mergeCell ref="I13:I15"/>
    <mergeCell ref="G33:G40"/>
    <mergeCell ref="H33:H40"/>
    <mergeCell ref="I33:I40"/>
    <mergeCell ref="G44:G46"/>
    <mergeCell ref="BM8:BM9"/>
    <mergeCell ref="BN8:BO8"/>
    <mergeCell ref="BP8:BP9"/>
    <mergeCell ref="AV8:AW8"/>
    <mergeCell ref="AX8:AY8"/>
    <mergeCell ref="AZ8:BA8"/>
    <mergeCell ref="BB8:BC8"/>
    <mergeCell ref="BD8:BE8"/>
    <mergeCell ref="BF8:BG8"/>
    <mergeCell ref="U8:U9"/>
    <mergeCell ref="V8:V9"/>
    <mergeCell ref="W8:W9"/>
    <mergeCell ref="X8:Z8"/>
    <mergeCell ref="AA8:AA9"/>
    <mergeCell ref="AB8:AB9"/>
    <mergeCell ref="BJ8:BJ9"/>
    <mergeCell ref="BK8:BK9"/>
    <mergeCell ref="BL8:BL9"/>
    <mergeCell ref="BU7:BU9"/>
    <mergeCell ref="A8:A9"/>
    <mergeCell ref="B8:B9"/>
    <mergeCell ref="C8:C9"/>
    <mergeCell ref="D8:D9"/>
    <mergeCell ref="E8:E9"/>
    <mergeCell ref="F8:F9"/>
    <mergeCell ref="G8:G9"/>
    <mergeCell ref="AD7:AG7"/>
    <mergeCell ref="AH7:AM7"/>
    <mergeCell ref="AN7:BA7"/>
    <mergeCell ref="BB7:BG7"/>
    <mergeCell ref="BH7:BI8"/>
    <mergeCell ref="BJ7:BP7"/>
    <mergeCell ref="AN8:AO8"/>
    <mergeCell ref="AP8:AQ8"/>
    <mergeCell ref="AR8:AS8"/>
    <mergeCell ref="AT8:AU8"/>
    <mergeCell ref="N8:N9"/>
    <mergeCell ref="O8:P8"/>
    <mergeCell ref="Q8:Q9"/>
    <mergeCell ref="R8:R9"/>
    <mergeCell ref="S8:S9"/>
    <mergeCell ref="T8:T9"/>
    <mergeCell ref="A1:BS4"/>
    <mergeCell ref="A5:P6"/>
    <mergeCell ref="AD5:BI6"/>
    <mergeCell ref="A7:B7"/>
    <mergeCell ref="C7:D7"/>
    <mergeCell ref="E7:F7"/>
    <mergeCell ref="G7:J7"/>
    <mergeCell ref="K7:N7"/>
    <mergeCell ref="O7:Z7"/>
    <mergeCell ref="AA7:AC7"/>
    <mergeCell ref="BQ7:BR8"/>
    <mergeCell ref="BS7:BT8"/>
    <mergeCell ref="H8:H9"/>
    <mergeCell ref="I8:I9"/>
    <mergeCell ref="J8:J9"/>
    <mergeCell ref="K8:K9"/>
    <mergeCell ref="L8:L9"/>
    <mergeCell ref="M8:M9"/>
    <mergeCell ref="AC8:AC9"/>
    <mergeCell ref="AD8:AE8"/>
    <mergeCell ref="AF8:AG8"/>
    <mergeCell ref="AH8:AI8"/>
    <mergeCell ref="AJ8:AK8"/>
    <mergeCell ref="AL8:AM8"/>
  </mergeCells>
  <conditionalFormatting sqref="K41:K42">
    <cfRule type="duplicateValues" dxfId="58" priority="4"/>
  </conditionalFormatting>
  <conditionalFormatting sqref="G41:G42">
    <cfRule type="duplicateValues" dxfId="57" priority="3"/>
  </conditionalFormatting>
  <conditionalFormatting sqref="I41:I42">
    <cfRule type="duplicateValues" dxfId="56" priority="2"/>
  </conditionalFormatting>
  <conditionalFormatting sqref="M41:M42">
    <cfRule type="duplicateValues" dxfId="55"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52"/>
  <sheetViews>
    <sheetView showGridLines="0" zoomScale="70" zoomScaleNormal="70" workbookViewId="0">
      <selection sqref="A1:BS4"/>
    </sheetView>
  </sheetViews>
  <sheetFormatPr baseColWidth="10" defaultColWidth="11.42578125" defaultRowHeight="27" customHeight="1" x14ac:dyDescent="0.25"/>
  <cols>
    <col min="1" max="1" width="9.7109375" style="117" customWidth="1"/>
    <col min="2" max="2" width="11.5703125" style="3" customWidth="1"/>
    <col min="3" max="3" width="11.7109375" style="3" customWidth="1"/>
    <col min="4" max="4" width="11.28515625" style="3" customWidth="1"/>
    <col min="5" max="5" width="10" style="3" customWidth="1"/>
    <col min="6" max="6" width="10.7109375" style="3" customWidth="1"/>
    <col min="7" max="7" width="12.7109375" style="3" customWidth="1"/>
    <col min="8" max="8" width="24.42578125" style="279" customWidth="1"/>
    <col min="9" max="9" width="19" style="2" customWidth="1"/>
    <col min="10" max="10" width="27.7109375" style="279" customWidth="1"/>
    <col min="11" max="11" width="16.28515625" style="2" customWidth="1"/>
    <col min="12" max="12" width="25.28515625" style="279" customWidth="1"/>
    <col min="13" max="13" width="23.28515625" style="2" customWidth="1"/>
    <col min="14" max="14" width="27.140625" style="279" customWidth="1"/>
    <col min="15" max="15" width="20.85546875" style="2" customWidth="1"/>
    <col min="16" max="16" width="21" style="2" customWidth="1"/>
    <col min="17" max="17" width="25.42578125" style="2" customWidth="1"/>
    <col min="18" max="18" width="31.140625" style="279" customWidth="1"/>
    <col min="19" max="19" width="16" style="121" customWidth="1"/>
    <col min="20" max="20" width="26.7109375" style="130" customWidth="1"/>
    <col min="21" max="21" width="40.42578125" style="279" customWidth="1"/>
    <col min="22" max="22" width="49.85546875" style="279" customWidth="1"/>
    <col min="23" max="23" width="41.28515625" style="279" customWidth="1"/>
    <col min="24" max="26" width="27.85546875" style="130" customWidth="1"/>
    <col min="27" max="27" width="55.7109375" style="130" customWidth="1"/>
    <col min="28" max="28" width="18" style="124" customWidth="1"/>
    <col min="29" max="29" width="24.85546875" style="2" customWidth="1"/>
    <col min="30" max="32" width="8.140625" style="3" customWidth="1"/>
    <col min="33" max="33" width="9.42578125" style="3" customWidth="1"/>
    <col min="34" max="34" width="8.140625" style="3" customWidth="1"/>
    <col min="35" max="35" width="9.42578125" style="3" customWidth="1"/>
    <col min="36" max="36" width="10" style="3" customWidth="1"/>
    <col min="37" max="37" width="8.140625" style="3" customWidth="1"/>
    <col min="38" max="38" width="8.28515625" style="3" customWidth="1"/>
    <col min="39" max="39" width="10.140625" style="3" customWidth="1"/>
    <col min="40" max="40" width="9.140625" style="3" customWidth="1"/>
    <col min="41" max="41" width="11" style="3" customWidth="1"/>
    <col min="42" max="59" width="8.140625" style="3" customWidth="1"/>
    <col min="60" max="60" width="9.5703125" style="3" customWidth="1"/>
    <col min="61" max="61" width="10.7109375" style="3" customWidth="1"/>
    <col min="62" max="62" width="17.85546875" style="3" customWidth="1"/>
    <col min="63" max="63" width="23.5703125" style="3" customWidth="1"/>
    <col min="64" max="64" width="24" style="3" customWidth="1"/>
    <col min="65" max="65" width="19.28515625" style="3" customWidth="1"/>
    <col min="66" max="66" width="20" style="3" customWidth="1"/>
    <col min="67" max="67" width="25" style="3" customWidth="1"/>
    <col min="68" max="68" width="26.28515625" style="3" customWidth="1"/>
    <col min="69" max="69" width="23.85546875" style="126" customWidth="1"/>
    <col min="70" max="70" width="22.5703125" style="126" customWidth="1"/>
    <col min="71" max="71" width="21.85546875" style="126" customWidth="1"/>
    <col min="72" max="72" width="23.42578125" style="126" customWidth="1"/>
    <col min="73" max="73" width="29" style="3" customWidth="1"/>
    <col min="74" max="16384" width="11.42578125" style="3"/>
  </cols>
  <sheetData>
    <row r="1" spans="1:93" ht="27.75" customHeight="1" x14ac:dyDescent="0.25">
      <c r="A1" s="2518" t="s">
        <v>1869</v>
      </c>
      <c r="B1" s="2518"/>
      <c r="C1" s="2518"/>
      <c r="D1" s="2518"/>
      <c r="E1" s="2518"/>
      <c r="F1" s="2518"/>
      <c r="G1" s="2518"/>
      <c r="H1" s="2518"/>
      <c r="I1" s="2518"/>
      <c r="J1" s="2518"/>
      <c r="K1" s="2518"/>
      <c r="L1" s="2518"/>
      <c r="M1" s="2518"/>
      <c r="N1" s="2518"/>
      <c r="O1" s="2518"/>
      <c r="P1" s="2518"/>
      <c r="Q1" s="2518"/>
      <c r="R1" s="2518"/>
      <c r="S1" s="2518"/>
      <c r="T1" s="2518"/>
      <c r="U1" s="2518"/>
      <c r="V1" s="2518"/>
      <c r="W1" s="2518"/>
      <c r="X1" s="2518"/>
      <c r="Y1" s="2518"/>
      <c r="Z1" s="2518"/>
      <c r="AA1" s="2518"/>
      <c r="AB1" s="2518"/>
      <c r="AC1" s="2518"/>
      <c r="AD1" s="2518"/>
      <c r="AE1" s="2518"/>
      <c r="AF1" s="2518"/>
      <c r="AG1" s="2518"/>
      <c r="AH1" s="2518"/>
      <c r="AI1" s="2518"/>
      <c r="AJ1" s="2518"/>
      <c r="AK1" s="2518"/>
      <c r="AL1" s="2518"/>
      <c r="AM1" s="2518"/>
      <c r="AN1" s="2518"/>
      <c r="AO1" s="2518"/>
      <c r="AP1" s="2518"/>
      <c r="AQ1" s="2518"/>
      <c r="AR1" s="2518"/>
      <c r="AS1" s="2518"/>
      <c r="AT1" s="2518"/>
      <c r="AU1" s="2518"/>
      <c r="AV1" s="2518"/>
      <c r="AW1" s="2518"/>
      <c r="AX1" s="2518"/>
      <c r="AY1" s="2518"/>
      <c r="AZ1" s="2518"/>
      <c r="BA1" s="2518"/>
      <c r="BB1" s="2518"/>
      <c r="BC1" s="2518"/>
      <c r="BD1" s="2518"/>
      <c r="BE1" s="2518"/>
      <c r="BF1" s="2518"/>
      <c r="BG1" s="2518"/>
      <c r="BH1" s="2518"/>
      <c r="BI1" s="2518"/>
      <c r="BJ1" s="2518"/>
      <c r="BK1" s="2518"/>
      <c r="BL1" s="2518"/>
      <c r="BM1" s="2518"/>
      <c r="BN1" s="2518"/>
      <c r="BO1" s="2518"/>
      <c r="BP1" s="2518"/>
      <c r="BQ1" s="2518"/>
      <c r="BR1" s="2518"/>
      <c r="BS1" s="2733"/>
      <c r="BT1" s="1326" t="s">
        <v>0</v>
      </c>
      <c r="BU1" s="1326" t="s">
        <v>1703</v>
      </c>
      <c r="BV1" s="2"/>
      <c r="BW1" s="2"/>
      <c r="BX1" s="2"/>
      <c r="BY1" s="2"/>
      <c r="BZ1" s="2"/>
      <c r="CA1" s="2"/>
      <c r="CB1" s="2"/>
      <c r="CC1" s="2"/>
      <c r="CD1" s="2"/>
      <c r="CE1" s="2"/>
      <c r="CF1" s="2"/>
      <c r="CG1" s="2"/>
      <c r="CH1" s="2"/>
      <c r="CI1" s="2"/>
      <c r="CJ1" s="2"/>
      <c r="CK1" s="2"/>
      <c r="CL1" s="2"/>
      <c r="CM1" s="2"/>
      <c r="CN1" s="2"/>
      <c r="CO1" s="2"/>
    </row>
    <row r="2" spans="1:93" ht="27.75" customHeight="1" x14ac:dyDescent="0.25">
      <c r="A2" s="2518"/>
      <c r="B2" s="2518"/>
      <c r="C2" s="2518"/>
      <c r="D2" s="2518"/>
      <c r="E2" s="2518"/>
      <c r="F2" s="2518"/>
      <c r="G2" s="2518"/>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2518"/>
      <c r="BC2" s="2518"/>
      <c r="BD2" s="2518"/>
      <c r="BE2" s="2518"/>
      <c r="BF2" s="2518"/>
      <c r="BG2" s="2518"/>
      <c r="BH2" s="2518"/>
      <c r="BI2" s="2518"/>
      <c r="BJ2" s="2518"/>
      <c r="BK2" s="2518"/>
      <c r="BL2" s="2518"/>
      <c r="BM2" s="2518"/>
      <c r="BN2" s="2518"/>
      <c r="BO2" s="2518"/>
      <c r="BP2" s="2518"/>
      <c r="BQ2" s="2518"/>
      <c r="BR2" s="2518"/>
      <c r="BS2" s="2733"/>
      <c r="BT2" s="1326" t="s">
        <v>2</v>
      </c>
      <c r="BU2" s="817" t="s">
        <v>1073</v>
      </c>
      <c r="BV2" s="2"/>
      <c r="BW2" s="2"/>
      <c r="BX2" s="2"/>
      <c r="BY2" s="2"/>
      <c r="BZ2" s="2"/>
      <c r="CA2" s="2"/>
      <c r="CB2" s="2"/>
      <c r="CC2" s="2"/>
      <c r="CD2" s="2"/>
      <c r="CE2" s="2"/>
      <c r="CF2" s="2"/>
      <c r="CG2" s="2"/>
      <c r="CH2" s="2"/>
      <c r="CI2" s="2"/>
      <c r="CJ2" s="2"/>
      <c r="CK2" s="2"/>
      <c r="CL2" s="2"/>
      <c r="CM2" s="2"/>
      <c r="CN2" s="2"/>
      <c r="CO2" s="2"/>
    </row>
    <row r="3" spans="1:93" ht="27.75" customHeight="1" x14ac:dyDescent="0.25">
      <c r="A3" s="2518"/>
      <c r="B3" s="2518"/>
      <c r="C3" s="2518"/>
      <c r="D3" s="2518"/>
      <c r="E3" s="2518"/>
      <c r="F3" s="2518"/>
      <c r="G3" s="2518"/>
      <c r="H3" s="2518"/>
      <c r="I3" s="2518"/>
      <c r="J3" s="2518"/>
      <c r="K3" s="2518"/>
      <c r="L3" s="2518"/>
      <c r="M3" s="2518"/>
      <c r="N3" s="2518"/>
      <c r="O3" s="2518"/>
      <c r="P3" s="2518"/>
      <c r="Q3" s="2518"/>
      <c r="R3" s="2518"/>
      <c r="S3" s="2518"/>
      <c r="T3" s="2518"/>
      <c r="U3" s="2518"/>
      <c r="V3" s="2518"/>
      <c r="W3" s="2518"/>
      <c r="X3" s="2518"/>
      <c r="Y3" s="2518"/>
      <c r="Z3" s="2518"/>
      <c r="AA3" s="2518"/>
      <c r="AB3" s="2518"/>
      <c r="AC3" s="2518"/>
      <c r="AD3" s="2518"/>
      <c r="AE3" s="2518"/>
      <c r="AF3" s="2518"/>
      <c r="AG3" s="2518"/>
      <c r="AH3" s="2518"/>
      <c r="AI3" s="2518"/>
      <c r="AJ3" s="2518"/>
      <c r="AK3" s="2518"/>
      <c r="AL3" s="2518"/>
      <c r="AM3" s="2518"/>
      <c r="AN3" s="2518"/>
      <c r="AO3" s="2518"/>
      <c r="AP3" s="2518"/>
      <c r="AQ3" s="2518"/>
      <c r="AR3" s="2518"/>
      <c r="AS3" s="2518"/>
      <c r="AT3" s="2518"/>
      <c r="AU3" s="2518"/>
      <c r="AV3" s="2518"/>
      <c r="AW3" s="2518"/>
      <c r="AX3" s="2518"/>
      <c r="AY3" s="2518"/>
      <c r="AZ3" s="2518"/>
      <c r="BA3" s="2518"/>
      <c r="BB3" s="2518"/>
      <c r="BC3" s="2518"/>
      <c r="BD3" s="2518"/>
      <c r="BE3" s="2518"/>
      <c r="BF3" s="2518"/>
      <c r="BG3" s="2518"/>
      <c r="BH3" s="2518"/>
      <c r="BI3" s="2518"/>
      <c r="BJ3" s="2518"/>
      <c r="BK3" s="2518"/>
      <c r="BL3" s="2518"/>
      <c r="BM3" s="2518"/>
      <c r="BN3" s="2518"/>
      <c r="BO3" s="2518"/>
      <c r="BP3" s="2518"/>
      <c r="BQ3" s="2518"/>
      <c r="BR3" s="2518"/>
      <c r="BS3" s="2733"/>
      <c r="BT3" s="1326" t="s">
        <v>4</v>
      </c>
      <c r="BU3" s="818">
        <v>44266</v>
      </c>
      <c r="BV3" s="2"/>
      <c r="BW3" s="2"/>
      <c r="BX3" s="2"/>
      <c r="BY3" s="2"/>
      <c r="BZ3" s="2"/>
      <c r="CA3" s="2"/>
      <c r="CB3" s="2"/>
      <c r="CC3" s="2"/>
      <c r="CD3" s="2"/>
      <c r="CE3" s="2"/>
      <c r="CF3" s="2"/>
      <c r="CG3" s="2"/>
      <c r="CH3" s="2"/>
      <c r="CI3" s="2"/>
      <c r="CJ3" s="2"/>
      <c r="CK3" s="2"/>
      <c r="CL3" s="2"/>
      <c r="CM3" s="2"/>
      <c r="CN3" s="2"/>
      <c r="CO3" s="2"/>
    </row>
    <row r="4" spans="1:93" ht="27.75" customHeight="1" x14ac:dyDescent="0.25">
      <c r="A4" s="3585"/>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2734"/>
      <c r="BT4" s="1326" t="s">
        <v>5</v>
      </c>
      <c r="BU4" s="773" t="s">
        <v>6</v>
      </c>
      <c r="BV4" s="2"/>
      <c r="BW4" s="2"/>
      <c r="BX4" s="2"/>
      <c r="BY4" s="2"/>
      <c r="BZ4" s="2"/>
      <c r="CA4" s="2"/>
      <c r="CB4" s="2"/>
      <c r="CC4" s="2"/>
      <c r="CD4" s="2"/>
      <c r="CE4" s="2"/>
      <c r="CF4" s="2"/>
      <c r="CG4" s="2"/>
      <c r="CH4" s="2"/>
      <c r="CI4" s="2"/>
      <c r="CJ4" s="2"/>
      <c r="CK4" s="2"/>
      <c r="CL4" s="2"/>
      <c r="CM4" s="2"/>
      <c r="CN4" s="2"/>
      <c r="CO4" s="2"/>
    </row>
    <row r="5" spans="1:93" ht="40.5" customHeight="1" x14ac:dyDescent="0.25">
      <c r="A5" s="2363" t="s">
        <v>1870</v>
      </c>
      <c r="B5" s="2363"/>
      <c r="C5" s="2363"/>
      <c r="D5" s="2363"/>
      <c r="E5" s="2363"/>
      <c r="F5" s="2363"/>
      <c r="G5" s="2363"/>
      <c r="H5" s="2363"/>
      <c r="I5" s="2363"/>
      <c r="J5" s="2363"/>
      <c r="K5" s="2363"/>
      <c r="L5" s="2363"/>
      <c r="M5" s="2363"/>
      <c r="N5" s="2363"/>
      <c r="O5" s="2363"/>
      <c r="P5" s="1323"/>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c r="CO5" s="2"/>
    </row>
    <row r="6" spans="1:93" ht="27" customHeight="1" x14ac:dyDescent="0.25">
      <c r="A6" s="2365"/>
      <c r="B6" s="2365"/>
      <c r="C6" s="2365"/>
      <c r="D6" s="2365"/>
      <c r="E6" s="2365"/>
      <c r="F6" s="2365"/>
      <c r="G6" s="2365"/>
      <c r="H6" s="2365"/>
      <c r="I6" s="2365"/>
      <c r="J6" s="2365"/>
      <c r="K6" s="2365"/>
      <c r="L6" s="2365"/>
      <c r="M6" s="2365"/>
      <c r="N6" s="2365"/>
      <c r="O6" s="2365"/>
      <c r="P6" s="1324"/>
      <c r="Q6" s="1324"/>
      <c r="R6" s="143"/>
      <c r="S6" s="1324"/>
      <c r="T6" s="1324"/>
      <c r="U6" s="143"/>
      <c r="V6" s="143"/>
      <c r="W6" s="143"/>
      <c r="X6" s="1324"/>
      <c r="Y6" s="1324"/>
      <c r="Z6" s="1324"/>
      <c r="AA6" s="1324"/>
      <c r="AB6" s="1324"/>
      <c r="AC6" s="1324"/>
      <c r="AD6" s="3586" t="s">
        <v>8</v>
      </c>
      <c r="AE6" s="3587"/>
      <c r="AF6" s="3587"/>
      <c r="AG6" s="3587"/>
      <c r="AH6" s="3587"/>
      <c r="AI6" s="3587"/>
      <c r="AJ6" s="3587"/>
      <c r="AK6" s="3587"/>
      <c r="AL6" s="3587"/>
      <c r="AM6" s="3587"/>
      <c r="AN6" s="3587"/>
      <c r="AO6" s="3587"/>
      <c r="AP6" s="3587"/>
      <c r="AQ6" s="3587"/>
      <c r="AR6" s="3587"/>
      <c r="AS6" s="3587"/>
      <c r="AT6" s="3587"/>
      <c r="AU6" s="3587"/>
      <c r="AV6" s="3587"/>
      <c r="AW6" s="3587"/>
      <c r="AX6" s="3587"/>
      <c r="AY6" s="3587"/>
      <c r="AZ6" s="3587"/>
      <c r="BA6" s="3587"/>
      <c r="BB6" s="3587"/>
      <c r="BC6" s="3587"/>
      <c r="BD6" s="3587"/>
      <c r="BE6" s="3587"/>
      <c r="BF6" s="3587"/>
      <c r="BG6" s="3587"/>
      <c r="BH6" s="3587"/>
      <c r="BI6" s="3587"/>
      <c r="BJ6" s="1324"/>
      <c r="BK6" s="1324"/>
      <c r="BL6" s="1324"/>
      <c r="BM6" s="1324"/>
      <c r="BN6" s="1324"/>
      <c r="BO6" s="1324"/>
      <c r="BP6" s="1324"/>
      <c r="BQ6" s="1324"/>
      <c r="BR6" s="1324"/>
      <c r="BS6" s="1324"/>
      <c r="BT6" s="1324"/>
      <c r="BU6" s="1325"/>
      <c r="BV6" s="2"/>
      <c r="BW6" s="2"/>
      <c r="BX6" s="2"/>
      <c r="BY6" s="2"/>
      <c r="BZ6" s="2"/>
      <c r="CA6" s="2"/>
      <c r="CB6" s="2"/>
      <c r="CC6" s="2"/>
      <c r="CD6" s="2"/>
      <c r="CE6" s="2"/>
      <c r="CF6" s="2"/>
      <c r="CG6" s="2"/>
      <c r="CH6" s="2"/>
      <c r="CI6" s="2"/>
      <c r="CJ6" s="2"/>
      <c r="CK6" s="2"/>
      <c r="CL6" s="2"/>
      <c r="CM6" s="2"/>
      <c r="CN6" s="2"/>
      <c r="CO6" s="2"/>
    </row>
    <row r="7" spans="1:93" ht="54" customHeight="1" x14ac:dyDescent="0.25">
      <c r="A7" s="2520" t="s">
        <v>9</v>
      </c>
      <c r="B7" s="2521"/>
      <c r="C7" s="2522" t="s">
        <v>10</v>
      </c>
      <c r="D7" s="2520"/>
      <c r="E7" s="2520" t="s">
        <v>11</v>
      </c>
      <c r="F7" s="2521"/>
      <c r="G7" s="2522" t="s">
        <v>12</v>
      </c>
      <c r="H7" s="2520"/>
      <c r="I7" s="2520"/>
      <c r="J7" s="2520"/>
      <c r="K7" s="2522" t="s">
        <v>13</v>
      </c>
      <c r="L7" s="2520"/>
      <c r="M7" s="2520"/>
      <c r="N7" s="2521"/>
      <c r="O7" s="3353" t="s">
        <v>14</v>
      </c>
      <c r="P7" s="3354"/>
      <c r="Q7" s="3354"/>
      <c r="R7" s="3354"/>
      <c r="S7" s="3354"/>
      <c r="T7" s="3354"/>
      <c r="U7" s="3354"/>
      <c r="V7" s="3354"/>
      <c r="W7" s="3354"/>
      <c r="X7" s="3354"/>
      <c r="Y7" s="1347"/>
      <c r="Z7" s="1347"/>
      <c r="AA7" s="2523" t="s">
        <v>15</v>
      </c>
      <c r="AB7" s="3355"/>
      <c r="AC7" s="2524"/>
      <c r="AD7" s="2349" t="s">
        <v>16</v>
      </c>
      <c r="AE7" s="2350"/>
      <c r="AF7" s="2350"/>
      <c r="AG7" s="2351"/>
      <c r="AH7" s="2352" t="s">
        <v>17</v>
      </c>
      <c r="AI7" s="2353"/>
      <c r="AJ7" s="2353"/>
      <c r="AK7" s="2353"/>
      <c r="AL7" s="2353"/>
      <c r="AM7" s="2353"/>
      <c r="AN7" s="2353"/>
      <c r="AO7" s="2354"/>
      <c r="AP7" s="2360" t="s">
        <v>18</v>
      </c>
      <c r="AQ7" s="2507"/>
      <c r="AR7" s="2507"/>
      <c r="AS7" s="2507"/>
      <c r="AT7" s="2507"/>
      <c r="AU7" s="2507"/>
      <c r="AV7" s="3588"/>
      <c r="AW7" s="3588"/>
      <c r="AX7" s="3588"/>
      <c r="AY7" s="3588"/>
      <c r="AZ7" s="3588"/>
      <c r="BA7" s="3589"/>
      <c r="BB7" s="2352" t="s">
        <v>19</v>
      </c>
      <c r="BC7" s="2353"/>
      <c r="BD7" s="2353"/>
      <c r="BE7" s="2353"/>
      <c r="BF7" s="2353"/>
      <c r="BG7" s="2354"/>
      <c r="BH7" s="2527" t="s">
        <v>20</v>
      </c>
      <c r="BI7" s="2528"/>
      <c r="BJ7" s="2356" t="s">
        <v>1705</v>
      </c>
      <c r="BK7" s="2356"/>
      <c r="BL7" s="2356"/>
      <c r="BM7" s="2356"/>
      <c r="BN7" s="2356"/>
      <c r="BO7" s="2356"/>
      <c r="BP7" s="2356"/>
      <c r="BQ7" s="2376" t="s">
        <v>22</v>
      </c>
      <c r="BR7" s="2377"/>
      <c r="BS7" s="2376" t="s">
        <v>23</v>
      </c>
      <c r="BT7" s="2377"/>
      <c r="BU7" s="2380" t="s">
        <v>24</v>
      </c>
      <c r="BV7" s="2"/>
      <c r="BW7" s="2"/>
      <c r="BX7" s="2"/>
      <c r="BY7" s="2"/>
      <c r="BZ7" s="2"/>
      <c r="CA7" s="2"/>
      <c r="CB7" s="2"/>
      <c r="CC7" s="2"/>
      <c r="CD7" s="2"/>
      <c r="CE7" s="2"/>
      <c r="CF7" s="2"/>
      <c r="CG7" s="2"/>
      <c r="CH7" s="2"/>
      <c r="CI7" s="2"/>
      <c r="CJ7" s="2"/>
      <c r="CK7" s="2"/>
      <c r="CL7" s="2"/>
      <c r="CM7" s="2"/>
      <c r="CN7" s="2"/>
      <c r="CO7" s="2"/>
    </row>
    <row r="8" spans="1:93" ht="81" customHeight="1" x14ac:dyDescent="0.25">
      <c r="A8" s="2343" t="s">
        <v>25</v>
      </c>
      <c r="B8" s="3356" t="s">
        <v>26</v>
      </c>
      <c r="C8" s="2343" t="s">
        <v>25</v>
      </c>
      <c r="D8" s="3356" t="s">
        <v>26</v>
      </c>
      <c r="E8" s="3356" t="s">
        <v>25</v>
      </c>
      <c r="F8" s="3356" t="s">
        <v>26</v>
      </c>
      <c r="G8" s="3356" t="s">
        <v>27</v>
      </c>
      <c r="H8" s="3356" t="s">
        <v>28</v>
      </c>
      <c r="I8" s="3356" t="s">
        <v>29</v>
      </c>
      <c r="J8" s="3356" t="s">
        <v>131</v>
      </c>
      <c r="K8" s="3356" t="s">
        <v>27</v>
      </c>
      <c r="L8" s="3356" t="s">
        <v>31</v>
      </c>
      <c r="M8" s="3356" t="s">
        <v>32</v>
      </c>
      <c r="N8" s="3356" t="s">
        <v>33</v>
      </c>
      <c r="O8" s="3356" t="s">
        <v>130</v>
      </c>
      <c r="P8" s="3356"/>
      <c r="Q8" s="3356" t="s">
        <v>35</v>
      </c>
      <c r="R8" s="3356" t="s">
        <v>36</v>
      </c>
      <c r="S8" s="3356" t="s">
        <v>37</v>
      </c>
      <c r="T8" s="3366" t="s">
        <v>38</v>
      </c>
      <c r="U8" s="3356" t="s">
        <v>39</v>
      </c>
      <c r="V8" s="3356" t="s">
        <v>40</v>
      </c>
      <c r="W8" s="3356" t="s">
        <v>41</v>
      </c>
      <c r="X8" s="3579" t="s">
        <v>38</v>
      </c>
      <c r="Y8" s="3580"/>
      <c r="Z8" s="3581"/>
      <c r="AA8" s="3356" t="s">
        <v>43</v>
      </c>
      <c r="AB8" s="2343" t="s">
        <v>44</v>
      </c>
      <c r="AC8" s="3356" t="s">
        <v>26</v>
      </c>
      <c r="AD8" s="2637" t="s">
        <v>45</v>
      </c>
      <c r="AE8" s="2637"/>
      <c r="AF8" s="2340" t="s">
        <v>46</v>
      </c>
      <c r="AG8" s="2340"/>
      <c r="AH8" s="2637" t="s">
        <v>47</v>
      </c>
      <c r="AI8" s="2637"/>
      <c r="AJ8" s="3582" t="s">
        <v>48</v>
      </c>
      <c r="AK8" s="3583"/>
      <c r="AL8" s="2637" t="s">
        <v>134</v>
      </c>
      <c r="AM8" s="2637"/>
      <c r="AN8" s="2358" t="s">
        <v>50</v>
      </c>
      <c r="AO8" s="2359"/>
      <c r="AP8" s="2637" t="s">
        <v>51</v>
      </c>
      <c r="AQ8" s="2637"/>
      <c r="AR8" s="2637" t="s">
        <v>52</v>
      </c>
      <c r="AS8" s="2637"/>
      <c r="AT8" s="2637" t="s">
        <v>53</v>
      </c>
      <c r="AU8" s="2637"/>
      <c r="AV8" s="2358" t="s">
        <v>135</v>
      </c>
      <c r="AW8" s="2359"/>
      <c r="AX8" s="2358" t="s">
        <v>55</v>
      </c>
      <c r="AY8" s="2359"/>
      <c r="AZ8" s="2358" t="s">
        <v>56</v>
      </c>
      <c r="BA8" s="2359"/>
      <c r="BB8" s="2358" t="s">
        <v>57</v>
      </c>
      <c r="BC8" s="2359"/>
      <c r="BD8" s="2358" t="s">
        <v>58</v>
      </c>
      <c r="BE8" s="2359"/>
      <c r="BF8" s="2358" t="s">
        <v>59</v>
      </c>
      <c r="BG8" s="2359"/>
      <c r="BH8" s="3584"/>
      <c r="BI8" s="2530"/>
      <c r="BJ8" s="2926" t="s">
        <v>1706</v>
      </c>
      <c r="BK8" s="2926" t="s">
        <v>136</v>
      </c>
      <c r="BL8" s="2926" t="s">
        <v>137</v>
      </c>
      <c r="BM8" s="3577" t="s">
        <v>63</v>
      </c>
      <c r="BN8" s="2932" t="s">
        <v>1707</v>
      </c>
      <c r="BO8" s="2933"/>
      <c r="BP8" s="3572" t="s">
        <v>65</v>
      </c>
      <c r="BQ8" s="2378"/>
      <c r="BR8" s="2379"/>
      <c r="BS8" s="2378"/>
      <c r="BT8" s="2379"/>
      <c r="BU8" s="2382"/>
      <c r="BV8" s="2"/>
      <c r="BW8" s="2"/>
      <c r="BX8" s="2"/>
      <c r="BY8" s="2"/>
      <c r="BZ8" s="2"/>
      <c r="CA8" s="2"/>
      <c r="CB8" s="2"/>
      <c r="CC8" s="2"/>
      <c r="CD8" s="2"/>
      <c r="CE8" s="2"/>
      <c r="CF8" s="2"/>
      <c r="CG8" s="2"/>
      <c r="CH8" s="2"/>
      <c r="CI8" s="2"/>
      <c r="CJ8" s="2"/>
      <c r="CK8" s="2"/>
      <c r="CL8" s="2"/>
      <c r="CM8" s="2"/>
      <c r="CN8" s="2"/>
      <c r="CO8" s="2"/>
    </row>
    <row r="9" spans="1:93" ht="50.25" customHeight="1" x14ac:dyDescent="0.25">
      <c r="A9" s="2343"/>
      <c r="B9" s="3356"/>
      <c r="C9" s="2343"/>
      <c r="D9" s="3356"/>
      <c r="E9" s="3356"/>
      <c r="F9" s="3356"/>
      <c r="G9" s="3356"/>
      <c r="H9" s="3356"/>
      <c r="I9" s="3356"/>
      <c r="J9" s="3356"/>
      <c r="K9" s="3356"/>
      <c r="L9" s="3356"/>
      <c r="M9" s="3356"/>
      <c r="N9" s="3356"/>
      <c r="O9" s="1348" t="s">
        <v>66</v>
      </c>
      <c r="P9" s="1348" t="s">
        <v>67</v>
      </c>
      <c r="Q9" s="3356"/>
      <c r="R9" s="3356"/>
      <c r="S9" s="3356"/>
      <c r="T9" s="3366"/>
      <c r="U9" s="3356"/>
      <c r="V9" s="3356"/>
      <c r="W9" s="3356"/>
      <c r="X9" s="775" t="s">
        <v>68</v>
      </c>
      <c r="Y9" s="775" t="s">
        <v>69</v>
      </c>
      <c r="Z9" s="775" t="s">
        <v>70</v>
      </c>
      <c r="AA9" s="3356"/>
      <c r="AB9" s="2343"/>
      <c r="AC9" s="3356"/>
      <c r="AD9" s="1348" t="s">
        <v>66</v>
      </c>
      <c r="AE9" s="1348" t="s">
        <v>67</v>
      </c>
      <c r="AF9" s="1348" t="s">
        <v>66</v>
      </c>
      <c r="AG9" s="1348" t="s">
        <v>67</v>
      </c>
      <c r="AH9" s="1348" t="s">
        <v>66</v>
      </c>
      <c r="AI9" s="1348" t="s">
        <v>67</v>
      </c>
      <c r="AJ9" s="1348" t="s">
        <v>66</v>
      </c>
      <c r="AK9" s="1348" t="s">
        <v>67</v>
      </c>
      <c r="AL9" s="1348" t="s">
        <v>66</v>
      </c>
      <c r="AM9" s="1348" t="s">
        <v>67</v>
      </c>
      <c r="AN9" s="1348" t="s">
        <v>66</v>
      </c>
      <c r="AO9" s="1348" t="s">
        <v>67</v>
      </c>
      <c r="AP9" s="1348" t="s">
        <v>66</v>
      </c>
      <c r="AQ9" s="1348" t="s">
        <v>67</v>
      </c>
      <c r="AR9" s="1348" t="s">
        <v>66</v>
      </c>
      <c r="AS9" s="1348" t="s">
        <v>67</v>
      </c>
      <c r="AT9" s="1348" t="s">
        <v>66</v>
      </c>
      <c r="AU9" s="1348" t="s">
        <v>67</v>
      </c>
      <c r="AV9" s="1348" t="s">
        <v>66</v>
      </c>
      <c r="AW9" s="1348" t="s">
        <v>67</v>
      </c>
      <c r="AX9" s="1348" t="s">
        <v>66</v>
      </c>
      <c r="AY9" s="1348" t="s">
        <v>67</v>
      </c>
      <c r="AZ9" s="1348" t="s">
        <v>66</v>
      </c>
      <c r="BA9" s="1348" t="s">
        <v>67</v>
      </c>
      <c r="BB9" s="1348" t="s">
        <v>66</v>
      </c>
      <c r="BC9" s="1348" t="s">
        <v>67</v>
      </c>
      <c r="BD9" s="1348" t="s">
        <v>66</v>
      </c>
      <c r="BE9" s="1348" t="s">
        <v>67</v>
      </c>
      <c r="BF9" s="1348" t="s">
        <v>66</v>
      </c>
      <c r="BG9" s="1348" t="s">
        <v>67</v>
      </c>
      <c r="BH9" s="1348" t="s">
        <v>66</v>
      </c>
      <c r="BI9" s="1348" t="s">
        <v>67</v>
      </c>
      <c r="BJ9" s="2927"/>
      <c r="BK9" s="2927"/>
      <c r="BL9" s="2927"/>
      <c r="BM9" s="3578"/>
      <c r="BN9" s="1484" t="s">
        <v>1708</v>
      </c>
      <c r="BO9" s="1484" t="s">
        <v>1075</v>
      </c>
      <c r="BP9" s="3573"/>
      <c r="BQ9" s="1334" t="s">
        <v>66</v>
      </c>
      <c r="BR9" s="1334" t="s">
        <v>67</v>
      </c>
      <c r="BS9" s="1334" t="s">
        <v>66</v>
      </c>
      <c r="BT9" s="1334" t="s">
        <v>67</v>
      </c>
      <c r="BU9" s="1335"/>
      <c r="BV9" s="2"/>
      <c r="BW9" s="2"/>
      <c r="BX9" s="2"/>
      <c r="BY9" s="2"/>
      <c r="BZ9" s="2"/>
      <c r="CA9" s="2"/>
      <c r="CB9" s="2"/>
      <c r="CC9" s="2"/>
      <c r="CD9" s="2"/>
      <c r="CE9" s="2"/>
      <c r="CF9" s="2"/>
      <c r="CG9" s="2"/>
      <c r="CH9" s="2"/>
      <c r="CI9" s="2"/>
      <c r="CJ9" s="2"/>
      <c r="CK9" s="2"/>
      <c r="CL9" s="2"/>
      <c r="CM9" s="2"/>
      <c r="CN9" s="2"/>
      <c r="CO9" s="2"/>
    </row>
    <row r="10" spans="1:93" ht="27" customHeight="1" x14ac:dyDescent="0.25">
      <c r="A10" s="1048">
        <v>2</v>
      </c>
      <c r="B10" s="3372" t="s">
        <v>723</v>
      </c>
      <c r="C10" s="3373"/>
      <c r="D10" s="3373"/>
      <c r="E10" s="3373"/>
      <c r="F10" s="3373"/>
      <c r="G10" s="19"/>
      <c r="H10" s="1357"/>
      <c r="I10" s="19"/>
      <c r="J10" s="1357"/>
      <c r="K10" s="19"/>
      <c r="L10" s="1357"/>
      <c r="M10" s="19"/>
      <c r="N10" s="1357"/>
      <c r="O10" s="19"/>
      <c r="P10" s="19"/>
      <c r="Q10" s="19"/>
      <c r="R10" s="1357"/>
      <c r="S10" s="378"/>
      <c r="T10" s="24"/>
      <c r="U10" s="1357"/>
      <c r="V10" s="1357"/>
      <c r="W10" s="1357"/>
      <c r="X10" s="24"/>
      <c r="Y10" s="24"/>
      <c r="Z10" s="24"/>
      <c r="AA10" s="19"/>
      <c r="AB10" s="25"/>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26"/>
      <c r="BR10" s="26"/>
      <c r="BS10" s="26"/>
      <c r="BT10" s="26"/>
      <c r="BU10" s="382"/>
      <c r="BV10" s="2"/>
      <c r="BW10" s="2"/>
      <c r="BX10" s="2"/>
      <c r="BY10" s="2"/>
      <c r="BZ10" s="2"/>
      <c r="CA10" s="2"/>
      <c r="CB10" s="2"/>
      <c r="CC10" s="2"/>
      <c r="CD10" s="2"/>
      <c r="CE10" s="2"/>
      <c r="CF10" s="2"/>
      <c r="CG10" s="2"/>
      <c r="CH10" s="2"/>
      <c r="CI10" s="2"/>
      <c r="CJ10" s="2"/>
      <c r="CK10" s="2"/>
      <c r="CL10" s="2"/>
      <c r="CM10" s="2"/>
      <c r="CN10" s="2"/>
      <c r="CO10" s="2"/>
    </row>
    <row r="11" spans="1:93" ht="27" customHeight="1" x14ac:dyDescent="0.25">
      <c r="A11" s="911"/>
      <c r="B11" s="1346"/>
      <c r="C11" s="31">
        <v>35</v>
      </c>
      <c r="D11" s="2323" t="s">
        <v>896</v>
      </c>
      <c r="E11" s="3198"/>
      <c r="F11" s="3198"/>
      <c r="G11" s="3198"/>
      <c r="H11" s="3198"/>
      <c r="I11" s="33"/>
      <c r="J11" s="1397"/>
      <c r="K11" s="33"/>
      <c r="L11" s="1397"/>
      <c r="M11" s="33"/>
      <c r="N11" s="1397"/>
      <c r="O11" s="33"/>
      <c r="P11" s="33"/>
      <c r="Q11" s="33"/>
      <c r="R11" s="1397"/>
      <c r="S11" s="35"/>
      <c r="T11" s="37"/>
      <c r="U11" s="1397"/>
      <c r="V11" s="1397"/>
      <c r="W11" s="1397"/>
      <c r="X11" s="37"/>
      <c r="Y11" s="37"/>
      <c r="Z11" s="37"/>
      <c r="AA11" s="33"/>
      <c r="AB11" s="38"/>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9"/>
      <c r="BR11" s="39"/>
      <c r="BS11" s="39"/>
      <c r="BT11" s="39"/>
      <c r="BU11" s="386"/>
    </row>
    <row r="12" spans="1:93" s="2" customFormat="1" ht="27" customHeight="1" x14ac:dyDescent="0.25">
      <c r="A12" s="1343"/>
      <c r="B12" s="1344"/>
      <c r="C12" s="1341"/>
      <c r="D12" s="1342"/>
      <c r="E12" s="854">
        <v>3502</v>
      </c>
      <c r="F12" s="3501" t="s">
        <v>897</v>
      </c>
      <c r="G12" s="3502"/>
      <c r="H12" s="3502"/>
      <c r="I12" s="3502"/>
      <c r="J12" s="3502"/>
      <c r="K12" s="3502"/>
      <c r="L12" s="3502"/>
      <c r="M12" s="3502"/>
      <c r="N12" s="3502"/>
      <c r="O12" s="3502"/>
      <c r="P12" s="3502"/>
      <c r="Q12" s="3502"/>
      <c r="R12" s="1485"/>
      <c r="S12" s="849"/>
      <c r="T12" s="1486"/>
      <c r="U12" s="54"/>
      <c r="V12" s="54"/>
      <c r="W12" s="54"/>
      <c r="X12" s="1486"/>
      <c r="Y12" s="56"/>
      <c r="Z12" s="56"/>
      <c r="AA12" s="57"/>
      <c r="AB12" s="852"/>
      <c r="AC12" s="848"/>
      <c r="AD12" s="848"/>
      <c r="AE12" s="848"/>
      <c r="AF12" s="848"/>
      <c r="AG12" s="848"/>
      <c r="AH12" s="848"/>
      <c r="AI12" s="848"/>
      <c r="AJ12" s="848"/>
      <c r="AK12" s="848"/>
      <c r="AL12" s="848"/>
      <c r="AM12" s="848"/>
      <c r="AN12" s="848"/>
      <c r="AO12" s="848"/>
      <c r="AP12" s="848"/>
      <c r="AQ12" s="848"/>
      <c r="AR12" s="848"/>
      <c r="AS12" s="848"/>
      <c r="AT12" s="848"/>
      <c r="AU12" s="848"/>
      <c r="AV12" s="848"/>
      <c r="AW12" s="848"/>
      <c r="AX12" s="848"/>
      <c r="AY12" s="848"/>
      <c r="AZ12" s="848"/>
      <c r="BA12" s="848"/>
      <c r="BB12" s="848"/>
      <c r="BC12" s="848"/>
      <c r="BD12" s="848"/>
      <c r="BE12" s="848"/>
      <c r="BF12" s="848"/>
      <c r="BG12" s="848"/>
      <c r="BH12" s="848"/>
      <c r="BI12" s="848"/>
      <c r="BJ12" s="848"/>
      <c r="BK12" s="848"/>
      <c r="BL12" s="848"/>
      <c r="BM12" s="848"/>
      <c r="BN12" s="848"/>
      <c r="BO12" s="848"/>
      <c r="BP12" s="848"/>
      <c r="BQ12" s="853"/>
      <c r="BR12" s="853"/>
      <c r="BS12" s="853"/>
      <c r="BT12" s="853"/>
      <c r="BU12" s="854"/>
    </row>
    <row r="13" spans="1:93" s="2" customFormat="1" ht="147" customHeight="1" x14ac:dyDescent="0.25">
      <c r="A13" s="1343"/>
      <c r="B13" s="1344"/>
      <c r="C13" s="1343"/>
      <c r="D13" s="1344"/>
      <c r="E13" s="120"/>
      <c r="F13" s="120"/>
      <c r="G13" s="1487">
        <v>3502006</v>
      </c>
      <c r="H13" s="1488" t="s">
        <v>1871</v>
      </c>
      <c r="I13" s="1487">
        <v>3502006</v>
      </c>
      <c r="J13" s="1488" t="s">
        <v>1871</v>
      </c>
      <c r="K13" s="1333" t="s">
        <v>1872</v>
      </c>
      <c r="L13" s="1489" t="s">
        <v>1873</v>
      </c>
      <c r="M13" s="1333" t="s">
        <v>1872</v>
      </c>
      <c r="N13" s="1489" t="s">
        <v>1873</v>
      </c>
      <c r="O13" s="723">
        <v>1</v>
      </c>
      <c r="P13" s="723">
        <v>0.49</v>
      </c>
      <c r="Q13" s="2273" t="s">
        <v>1874</v>
      </c>
      <c r="R13" s="3574" t="s">
        <v>1875</v>
      </c>
      <c r="S13" s="1490">
        <f>X13/T13</f>
        <v>0.35064935064935066</v>
      </c>
      <c r="T13" s="3575">
        <f>SUM(X13:X16)</f>
        <v>77000000</v>
      </c>
      <c r="U13" s="3129" t="s">
        <v>1876</v>
      </c>
      <c r="V13" s="1338" t="s">
        <v>1877</v>
      </c>
      <c r="W13" s="1336" t="s">
        <v>1878</v>
      </c>
      <c r="X13" s="1491">
        <v>27000000</v>
      </c>
      <c r="Y13" s="1491">
        <v>13200000</v>
      </c>
      <c r="Z13" s="1491">
        <v>9900000</v>
      </c>
      <c r="AA13" s="1492" t="s">
        <v>1879</v>
      </c>
      <c r="AB13" s="1493">
        <v>20</v>
      </c>
      <c r="AC13" s="1332" t="s">
        <v>187</v>
      </c>
      <c r="AD13" s="2742">
        <v>765</v>
      </c>
      <c r="AE13" s="2742">
        <v>122</v>
      </c>
      <c r="AF13" s="2742">
        <v>735</v>
      </c>
      <c r="AG13" s="2742">
        <v>90</v>
      </c>
      <c r="AH13" s="2742"/>
      <c r="AI13" s="2742"/>
      <c r="AJ13" s="2742"/>
      <c r="AK13" s="2742"/>
      <c r="AL13" s="2742">
        <f>+AD13+AF13</f>
        <v>1500</v>
      </c>
      <c r="AM13" s="2742">
        <v>212</v>
      </c>
      <c r="AN13" s="2742"/>
      <c r="AO13" s="2742"/>
      <c r="AP13" s="2742"/>
      <c r="AQ13" s="2742"/>
      <c r="AR13" s="2742"/>
      <c r="AS13" s="2742"/>
      <c r="AT13" s="2742"/>
      <c r="AU13" s="2742"/>
      <c r="AV13" s="2742"/>
      <c r="AW13" s="2742"/>
      <c r="AX13" s="2742"/>
      <c r="AY13" s="2742"/>
      <c r="AZ13" s="2742"/>
      <c r="BA13" s="2742"/>
      <c r="BB13" s="2742"/>
      <c r="BC13" s="2742"/>
      <c r="BD13" s="2742"/>
      <c r="BE13" s="2742"/>
      <c r="BF13" s="2742"/>
      <c r="BG13" s="2742"/>
      <c r="BH13" s="2742">
        <f>+AD13+AF13</f>
        <v>1500</v>
      </c>
      <c r="BI13" s="2742">
        <f>+AE13+AG13</f>
        <v>212</v>
      </c>
      <c r="BJ13" s="2742">
        <v>2</v>
      </c>
      <c r="BK13" s="3514">
        <f>SUM(Y13:Y16)</f>
        <v>24740000</v>
      </c>
      <c r="BL13" s="3514">
        <f>SUM(Z13:Z16)</f>
        <v>21440000</v>
      </c>
      <c r="BM13" s="3516">
        <f>BL13/BK13</f>
        <v>0.86661277283751015</v>
      </c>
      <c r="BN13" s="2742">
        <v>20</v>
      </c>
      <c r="BO13" s="2742" t="s">
        <v>1854</v>
      </c>
      <c r="BP13" s="3569" t="s">
        <v>1880</v>
      </c>
      <c r="BQ13" s="3496">
        <v>44242</v>
      </c>
      <c r="BR13" s="3496">
        <v>44265</v>
      </c>
      <c r="BS13" s="3496">
        <v>44540</v>
      </c>
      <c r="BT13" s="3496">
        <v>44540</v>
      </c>
      <c r="BU13" s="3490" t="s">
        <v>1881</v>
      </c>
    </row>
    <row r="14" spans="1:93" s="2" customFormat="1" ht="83.25" customHeight="1" x14ac:dyDescent="0.25">
      <c r="A14" s="1343"/>
      <c r="B14" s="1344"/>
      <c r="C14" s="1343"/>
      <c r="D14" s="1344"/>
      <c r="E14" s="3568"/>
      <c r="F14" s="3568"/>
      <c r="G14" s="3107">
        <v>3502007</v>
      </c>
      <c r="H14" s="3108" t="s">
        <v>1882</v>
      </c>
      <c r="I14" s="3107">
        <v>3502007</v>
      </c>
      <c r="J14" s="3108" t="s">
        <v>1882</v>
      </c>
      <c r="K14" s="2438" t="s">
        <v>908</v>
      </c>
      <c r="L14" s="3560" t="s">
        <v>909</v>
      </c>
      <c r="M14" s="2438" t="s">
        <v>908</v>
      </c>
      <c r="N14" s="3560" t="s">
        <v>909</v>
      </c>
      <c r="O14" s="3251">
        <v>7</v>
      </c>
      <c r="P14" s="2259">
        <v>7</v>
      </c>
      <c r="Q14" s="2274"/>
      <c r="R14" s="3574"/>
      <c r="S14" s="3565">
        <f>SUM(X14:X16)/T13</f>
        <v>0.64935064935064934</v>
      </c>
      <c r="T14" s="3575"/>
      <c r="U14" s="3150"/>
      <c r="V14" s="3552" t="s">
        <v>1883</v>
      </c>
      <c r="W14" s="3483" t="s">
        <v>1884</v>
      </c>
      <c r="X14" s="1494">
        <v>25949953</v>
      </c>
      <c r="Y14" s="1494">
        <v>0</v>
      </c>
      <c r="Z14" s="1494">
        <v>0</v>
      </c>
      <c r="AA14" s="1492" t="s">
        <v>1885</v>
      </c>
      <c r="AB14" s="1495">
        <v>20</v>
      </c>
      <c r="AC14" s="2438" t="s">
        <v>187</v>
      </c>
      <c r="AD14" s="2742"/>
      <c r="AE14" s="2742"/>
      <c r="AF14" s="2742"/>
      <c r="AG14" s="2742"/>
      <c r="AH14" s="2742"/>
      <c r="AI14" s="2742"/>
      <c r="AJ14" s="2742"/>
      <c r="AK14" s="2742"/>
      <c r="AL14" s="2742"/>
      <c r="AM14" s="2742"/>
      <c r="AN14" s="2742"/>
      <c r="AO14" s="2742"/>
      <c r="AP14" s="2742"/>
      <c r="AQ14" s="2742"/>
      <c r="AR14" s="2742"/>
      <c r="AS14" s="2742"/>
      <c r="AT14" s="2742"/>
      <c r="AU14" s="2742"/>
      <c r="AV14" s="2742"/>
      <c r="AW14" s="2742"/>
      <c r="AX14" s="2742"/>
      <c r="AY14" s="2742"/>
      <c r="AZ14" s="2742"/>
      <c r="BA14" s="2742"/>
      <c r="BB14" s="2742"/>
      <c r="BC14" s="2742"/>
      <c r="BD14" s="2742"/>
      <c r="BE14" s="2742"/>
      <c r="BF14" s="2742"/>
      <c r="BG14" s="2742"/>
      <c r="BH14" s="2742"/>
      <c r="BI14" s="2742"/>
      <c r="BJ14" s="2742"/>
      <c r="BK14" s="3514"/>
      <c r="BL14" s="3514"/>
      <c r="BM14" s="3516"/>
      <c r="BN14" s="2742"/>
      <c r="BO14" s="2742"/>
      <c r="BP14" s="2742"/>
      <c r="BQ14" s="2687"/>
      <c r="BR14" s="2687"/>
      <c r="BS14" s="2687"/>
      <c r="BT14" s="2687"/>
      <c r="BU14" s="3491"/>
    </row>
    <row r="15" spans="1:93" s="2" customFormat="1" ht="51.75" customHeight="1" x14ac:dyDescent="0.25">
      <c r="A15" s="1343"/>
      <c r="B15" s="1344"/>
      <c r="C15" s="1343"/>
      <c r="D15" s="1344"/>
      <c r="E15" s="3568"/>
      <c r="F15" s="3568"/>
      <c r="G15" s="3107"/>
      <c r="H15" s="3109"/>
      <c r="I15" s="3107"/>
      <c r="J15" s="3109"/>
      <c r="K15" s="2267"/>
      <c r="L15" s="2579"/>
      <c r="M15" s="2267"/>
      <c r="N15" s="2579"/>
      <c r="O15" s="3251"/>
      <c r="P15" s="2260"/>
      <c r="Q15" s="2274"/>
      <c r="R15" s="3574"/>
      <c r="S15" s="3566"/>
      <c r="T15" s="3575"/>
      <c r="U15" s="3150"/>
      <c r="V15" s="3553"/>
      <c r="W15" s="3484"/>
      <c r="X15" s="1494">
        <v>9619447</v>
      </c>
      <c r="Y15" s="1494">
        <v>0</v>
      </c>
      <c r="Z15" s="1494">
        <v>0</v>
      </c>
      <c r="AA15" s="1492" t="s">
        <v>1886</v>
      </c>
      <c r="AB15" s="1495">
        <v>20</v>
      </c>
      <c r="AC15" s="2439"/>
      <c r="AD15" s="2742"/>
      <c r="AE15" s="2742"/>
      <c r="AF15" s="2742"/>
      <c r="AG15" s="2742"/>
      <c r="AH15" s="2742"/>
      <c r="AI15" s="2742"/>
      <c r="AJ15" s="2742"/>
      <c r="AK15" s="2742"/>
      <c r="AL15" s="2742"/>
      <c r="AM15" s="2742"/>
      <c r="AN15" s="2742"/>
      <c r="AO15" s="2742"/>
      <c r="AP15" s="2742"/>
      <c r="AQ15" s="2742"/>
      <c r="AR15" s="2742"/>
      <c r="AS15" s="2742"/>
      <c r="AT15" s="2742"/>
      <c r="AU15" s="2742"/>
      <c r="AV15" s="2742"/>
      <c r="AW15" s="2742"/>
      <c r="AX15" s="2742"/>
      <c r="AY15" s="2742"/>
      <c r="AZ15" s="2742"/>
      <c r="BA15" s="2742"/>
      <c r="BB15" s="2742"/>
      <c r="BC15" s="2742"/>
      <c r="BD15" s="2742"/>
      <c r="BE15" s="2742"/>
      <c r="BF15" s="2742"/>
      <c r="BG15" s="2742"/>
      <c r="BH15" s="2742"/>
      <c r="BI15" s="2742"/>
      <c r="BJ15" s="2742"/>
      <c r="BK15" s="3514"/>
      <c r="BL15" s="3514"/>
      <c r="BM15" s="3516"/>
      <c r="BN15" s="2742"/>
      <c r="BO15" s="2742"/>
      <c r="BP15" s="2742"/>
      <c r="BQ15" s="2687"/>
      <c r="BR15" s="2687"/>
      <c r="BS15" s="2687"/>
      <c r="BT15" s="2687"/>
      <c r="BU15" s="3491"/>
    </row>
    <row r="16" spans="1:93" s="2" customFormat="1" ht="55.5" customHeight="1" x14ac:dyDescent="0.25">
      <c r="A16" s="1343"/>
      <c r="B16" s="1344"/>
      <c r="C16" s="1343"/>
      <c r="D16" s="1344"/>
      <c r="E16" s="3568"/>
      <c r="F16" s="3568"/>
      <c r="G16" s="3107"/>
      <c r="H16" s="3555"/>
      <c r="I16" s="3107"/>
      <c r="J16" s="3555"/>
      <c r="K16" s="2439"/>
      <c r="L16" s="3561"/>
      <c r="M16" s="2439"/>
      <c r="N16" s="3561"/>
      <c r="O16" s="3251"/>
      <c r="P16" s="3338"/>
      <c r="Q16" s="2274"/>
      <c r="R16" s="3574"/>
      <c r="S16" s="3567"/>
      <c r="T16" s="3576"/>
      <c r="U16" s="3150"/>
      <c r="V16" s="3554"/>
      <c r="W16" s="1321" t="s">
        <v>1887</v>
      </c>
      <c r="X16" s="1494">
        <v>14430600</v>
      </c>
      <c r="Y16" s="1494">
        <v>11540000</v>
      </c>
      <c r="Z16" s="1494">
        <v>11540000</v>
      </c>
      <c r="AA16" s="1492" t="s">
        <v>1886</v>
      </c>
      <c r="AB16" s="1411">
        <v>20</v>
      </c>
      <c r="AC16" s="1322" t="s">
        <v>187</v>
      </c>
      <c r="AD16" s="2743"/>
      <c r="AE16" s="2743"/>
      <c r="AF16" s="2743"/>
      <c r="AG16" s="2743"/>
      <c r="AH16" s="2743"/>
      <c r="AI16" s="2743"/>
      <c r="AJ16" s="2743"/>
      <c r="AK16" s="2743"/>
      <c r="AL16" s="2743"/>
      <c r="AM16" s="2743"/>
      <c r="AN16" s="2743"/>
      <c r="AO16" s="2743"/>
      <c r="AP16" s="2743"/>
      <c r="AQ16" s="2743"/>
      <c r="AR16" s="2743"/>
      <c r="AS16" s="2743"/>
      <c r="AT16" s="2743"/>
      <c r="AU16" s="2743"/>
      <c r="AV16" s="2743"/>
      <c r="AW16" s="2743"/>
      <c r="AX16" s="2743"/>
      <c r="AY16" s="2743"/>
      <c r="AZ16" s="2743"/>
      <c r="BA16" s="2743"/>
      <c r="BB16" s="2743"/>
      <c r="BC16" s="2743"/>
      <c r="BD16" s="2743"/>
      <c r="BE16" s="2743"/>
      <c r="BF16" s="2743"/>
      <c r="BG16" s="2743"/>
      <c r="BH16" s="2743"/>
      <c r="BI16" s="2743"/>
      <c r="BJ16" s="2743"/>
      <c r="BK16" s="3570"/>
      <c r="BL16" s="3570"/>
      <c r="BM16" s="3571"/>
      <c r="BN16" s="2743"/>
      <c r="BO16" s="2743"/>
      <c r="BP16" s="2743"/>
      <c r="BQ16" s="2688"/>
      <c r="BR16" s="2688"/>
      <c r="BS16" s="2688"/>
      <c r="BT16" s="2688"/>
      <c r="BU16" s="3492"/>
    </row>
    <row r="17" spans="1:73" s="2" customFormat="1" ht="60" x14ac:dyDescent="0.25">
      <c r="A17" s="1343"/>
      <c r="B17" s="1344"/>
      <c r="C17" s="1343"/>
      <c r="D17" s="1344"/>
      <c r="E17" s="120"/>
      <c r="F17" s="120"/>
      <c r="G17" s="3531">
        <v>3502022</v>
      </c>
      <c r="H17" s="3108" t="s">
        <v>1888</v>
      </c>
      <c r="I17" s="3531">
        <v>3502022</v>
      </c>
      <c r="J17" s="3108" t="s">
        <v>1888</v>
      </c>
      <c r="K17" s="3556" t="s">
        <v>1889</v>
      </c>
      <c r="L17" s="3558" t="s">
        <v>1890</v>
      </c>
      <c r="M17" s="3556" t="s">
        <v>1889</v>
      </c>
      <c r="N17" s="3558" t="s">
        <v>1890</v>
      </c>
      <c r="O17" s="3256">
        <v>14</v>
      </c>
      <c r="P17" s="3562">
        <v>1</v>
      </c>
      <c r="Q17" s="2274" t="s">
        <v>1891</v>
      </c>
      <c r="R17" s="3150" t="s">
        <v>1892</v>
      </c>
      <c r="S17" s="3547">
        <f>SUM(X17:X19)/T17</f>
        <v>0.36</v>
      </c>
      <c r="T17" s="3550">
        <f>SUM(X17:X20)</f>
        <v>250000000</v>
      </c>
      <c r="U17" s="3150" t="s">
        <v>1893</v>
      </c>
      <c r="V17" s="3552" t="s">
        <v>1894</v>
      </c>
      <c r="W17" s="1321" t="s">
        <v>1895</v>
      </c>
      <c r="X17" s="1494">
        <v>30000000</v>
      </c>
      <c r="Y17" s="1494">
        <v>0</v>
      </c>
      <c r="Z17" s="1494">
        <v>0</v>
      </c>
      <c r="AA17" s="1492" t="s">
        <v>1896</v>
      </c>
      <c r="AB17" s="1411">
        <v>20</v>
      </c>
      <c r="AC17" s="1322" t="s">
        <v>187</v>
      </c>
      <c r="AD17" s="2741">
        <v>918</v>
      </c>
      <c r="AE17" s="2741">
        <v>124</v>
      </c>
      <c r="AF17" s="2741">
        <v>882</v>
      </c>
      <c r="AG17" s="2741">
        <v>100</v>
      </c>
      <c r="AH17" s="2741"/>
      <c r="AI17" s="2741"/>
      <c r="AJ17" s="2741"/>
      <c r="AK17" s="2741"/>
      <c r="AL17" s="2741">
        <f>+AD17+AF17</f>
        <v>1800</v>
      </c>
      <c r="AM17" s="2741">
        <v>224</v>
      </c>
      <c r="AN17" s="2741"/>
      <c r="AO17" s="2741"/>
      <c r="AP17" s="2741"/>
      <c r="AQ17" s="2741"/>
      <c r="AR17" s="2741"/>
      <c r="AS17" s="2741"/>
      <c r="AT17" s="2741"/>
      <c r="AU17" s="2741"/>
      <c r="AV17" s="2741"/>
      <c r="AW17" s="2741"/>
      <c r="AX17" s="2741"/>
      <c r="AY17" s="2741"/>
      <c r="AZ17" s="2741"/>
      <c r="BA17" s="2741"/>
      <c r="BB17" s="2741"/>
      <c r="BC17" s="2741"/>
      <c r="BD17" s="2741"/>
      <c r="BE17" s="2741"/>
      <c r="BF17" s="2741"/>
      <c r="BG17" s="2741"/>
      <c r="BH17" s="2741">
        <f>+AD17+AF17</f>
        <v>1800</v>
      </c>
      <c r="BI17" s="2741">
        <f>+AE17+AG17</f>
        <v>224</v>
      </c>
      <c r="BJ17" s="2258">
        <v>3</v>
      </c>
      <c r="BK17" s="3544">
        <f>SUM(Y17:Y20)</f>
        <v>37940000</v>
      </c>
      <c r="BL17" s="3544">
        <f>SUM(Z17:Z20)</f>
        <v>28455000</v>
      </c>
      <c r="BM17" s="3545">
        <f>BL17/BK17</f>
        <v>0.75</v>
      </c>
      <c r="BN17" s="2258">
        <v>20</v>
      </c>
      <c r="BO17" s="2258" t="s">
        <v>1854</v>
      </c>
      <c r="BP17" s="2741" t="s">
        <v>1880</v>
      </c>
      <c r="BQ17" s="2686">
        <v>44242</v>
      </c>
      <c r="BR17" s="2686">
        <v>44265</v>
      </c>
      <c r="BS17" s="2686">
        <v>44540</v>
      </c>
      <c r="BT17" s="2686">
        <v>44540</v>
      </c>
      <c r="BU17" s="3510" t="s">
        <v>1881</v>
      </c>
    </row>
    <row r="18" spans="1:73" s="2" customFormat="1" ht="59.25" customHeight="1" x14ac:dyDescent="0.25">
      <c r="A18" s="1343"/>
      <c r="B18" s="1344"/>
      <c r="C18" s="1343"/>
      <c r="D18" s="1344"/>
      <c r="E18" s="120"/>
      <c r="F18" s="120"/>
      <c r="G18" s="3531"/>
      <c r="H18" s="3109"/>
      <c r="I18" s="3531"/>
      <c r="J18" s="3109"/>
      <c r="K18" s="3507"/>
      <c r="L18" s="3481"/>
      <c r="M18" s="3507"/>
      <c r="N18" s="3481"/>
      <c r="O18" s="3256"/>
      <c r="P18" s="3563"/>
      <c r="Q18" s="2274"/>
      <c r="R18" s="3150"/>
      <c r="S18" s="3548"/>
      <c r="T18" s="3551"/>
      <c r="U18" s="3150"/>
      <c r="V18" s="3553"/>
      <c r="W18" s="3483" t="s">
        <v>1897</v>
      </c>
      <c r="X18" s="1494">
        <v>5000000</v>
      </c>
      <c r="Y18" s="1494">
        <v>0</v>
      </c>
      <c r="Z18" s="1494">
        <v>0</v>
      </c>
      <c r="AA18" s="1492" t="s">
        <v>1896</v>
      </c>
      <c r="AB18" s="1411">
        <v>20</v>
      </c>
      <c r="AC18" s="1322" t="s">
        <v>187</v>
      </c>
      <c r="AD18" s="2742"/>
      <c r="AE18" s="2742"/>
      <c r="AF18" s="2742"/>
      <c r="AG18" s="2742"/>
      <c r="AH18" s="2742"/>
      <c r="AI18" s="2742"/>
      <c r="AJ18" s="2742"/>
      <c r="AK18" s="2742"/>
      <c r="AL18" s="2742"/>
      <c r="AM18" s="2742"/>
      <c r="AN18" s="2742"/>
      <c r="AO18" s="2742"/>
      <c r="AP18" s="2742"/>
      <c r="AQ18" s="2742"/>
      <c r="AR18" s="2742"/>
      <c r="AS18" s="2742"/>
      <c r="AT18" s="2742"/>
      <c r="AU18" s="2742"/>
      <c r="AV18" s="2742"/>
      <c r="AW18" s="2742"/>
      <c r="AX18" s="2742"/>
      <c r="AY18" s="2742"/>
      <c r="AZ18" s="2742"/>
      <c r="BA18" s="2742"/>
      <c r="BB18" s="2742"/>
      <c r="BC18" s="2742"/>
      <c r="BD18" s="2742"/>
      <c r="BE18" s="2742"/>
      <c r="BF18" s="2742"/>
      <c r="BG18" s="2742"/>
      <c r="BH18" s="2742"/>
      <c r="BI18" s="2742"/>
      <c r="BJ18" s="2258"/>
      <c r="BK18" s="3544"/>
      <c r="BL18" s="3544"/>
      <c r="BM18" s="3545"/>
      <c r="BN18" s="2258"/>
      <c r="BO18" s="2258"/>
      <c r="BP18" s="2742"/>
      <c r="BQ18" s="2687"/>
      <c r="BR18" s="2687"/>
      <c r="BS18" s="2687"/>
      <c r="BT18" s="2687"/>
      <c r="BU18" s="3491"/>
    </row>
    <row r="19" spans="1:73" s="2" customFormat="1" ht="62.25" customHeight="1" x14ac:dyDescent="0.25">
      <c r="A19" s="1343"/>
      <c r="B19" s="1344"/>
      <c r="C19" s="1343"/>
      <c r="D19" s="1344"/>
      <c r="E19" s="120"/>
      <c r="F19" s="120"/>
      <c r="G19" s="3531"/>
      <c r="H19" s="3555"/>
      <c r="I19" s="3531"/>
      <c r="J19" s="3555"/>
      <c r="K19" s="3557"/>
      <c r="L19" s="3559"/>
      <c r="M19" s="3557"/>
      <c r="N19" s="3559"/>
      <c r="O19" s="3256"/>
      <c r="P19" s="3564"/>
      <c r="Q19" s="2274"/>
      <c r="R19" s="3150"/>
      <c r="S19" s="3549"/>
      <c r="T19" s="3551"/>
      <c r="U19" s="3150"/>
      <c r="V19" s="3554"/>
      <c r="W19" s="3484"/>
      <c r="X19" s="1494">
        <v>55000000</v>
      </c>
      <c r="Y19" s="1494">
        <v>13200000</v>
      </c>
      <c r="Z19" s="1494">
        <v>9900000</v>
      </c>
      <c r="AA19" s="1492" t="s">
        <v>1898</v>
      </c>
      <c r="AB19" s="1411">
        <v>20</v>
      </c>
      <c r="AC19" s="1322" t="s">
        <v>187</v>
      </c>
      <c r="AD19" s="2742"/>
      <c r="AE19" s="2742"/>
      <c r="AF19" s="2742"/>
      <c r="AG19" s="2742"/>
      <c r="AH19" s="2742"/>
      <c r="AI19" s="2742"/>
      <c r="AJ19" s="2742"/>
      <c r="AK19" s="2742"/>
      <c r="AL19" s="2742"/>
      <c r="AM19" s="2742"/>
      <c r="AN19" s="2742"/>
      <c r="AO19" s="2742"/>
      <c r="AP19" s="2742"/>
      <c r="AQ19" s="2742"/>
      <c r="AR19" s="2742"/>
      <c r="AS19" s="2742"/>
      <c r="AT19" s="2742"/>
      <c r="AU19" s="2742"/>
      <c r="AV19" s="2742"/>
      <c r="AW19" s="2742"/>
      <c r="AX19" s="2742"/>
      <c r="AY19" s="2742"/>
      <c r="AZ19" s="2742"/>
      <c r="BA19" s="2742"/>
      <c r="BB19" s="2742"/>
      <c r="BC19" s="2742"/>
      <c r="BD19" s="2742"/>
      <c r="BE19" s="2742"/>
      <c r="BF19" s="2742"/>
      <c r="BG19" s="2742"/>
      <c r="BH19" s="2742"/>
      <c r="BI19" s="2742"/>
      <c r="BJ19" s="2258"/>
      <c r="BK19" s="3544"/>
      <c r="BL19" s="3544"/>
      <c r="BM19" s="3545"/>
      <c r="BN19" s="2258"/>
      <c r="BO19" s="2258"/>
      <c r="BP19" s="2742"/>
      <c r="BQ19" s="2687"/>
      <c r="BR19" s="2687"/>
      <c r="BS19" s="2687"/>
      <c r="BT19" s="2687"/>
      <c r="BU19" s="3491"/>
    </row>
    <row r="20" spans="1:73" s="2" customFormat="1" ht="165" x14ac:dyDescent="0.25">
      <c r="A20" s="1343"/>
      <c r="B20" s="1344"/>
      <c r="C20" s="1343"/>
      <c r="D20" s="1344"/>
      <c r="E20" s="120"/>
      <c r="F20" s="120"/>
      <c r="G20" s="1496">
        <v>3502047</v>
      </c>
      <c r="H20" s="1497" t="s">
        <v>791</v>
      </c>
      <c r="I20" s="1496">
        <v>3502047</v>
      </c>
      <c r="J20" s="1497" t="s">
        <v>791</v>
      </c>
      <c r="K20" s="1498" t="s">
        <v>1899</v>
      </c>
      <c r="L20" s="1499" t="s">
        <v>1770</v>
      </c>
      <c r="M20" s="1498" t="s">
        <v>1899</v>
      </c>
      <c r="N20" s="1499" t="s">
        <v>1770</v>
      </c>
      <c r="O20" s="1380" t="s">
        <v>1900</v>
      </c>
      <c r="P20" s="1352">
        <v>0.15</v>
      </c>
      <c r="Q20" s="2274"/>
      <c r="R20" s="3150"/>
      <c r="S20" s="1500">
        <f>X20/T17</f>
        <v>0.64</v>
      </c>
      <c r="T20" s="3551"/>
      <c r="U20" s="3150"/>
      <c r="V20" s="1337" t="s">
        <v>1901</v>
      </c>
      <c r="W20" s="1321" t="s">
        <v>1902</v>
      </c>
      <c r="X20" s="1494">
        <f>130000000+30000000</f>
        <v>160000000</v>
      </c>
      <c r="Y20" s="1494">
        <v>24740000</v>
      </c>
      <c r="Z20" s="1494">
        <v>18555000</v>
      </c>
      <c r="AA20" s="1492" t="s">
        <v>1903</v>
      </c>
      <c r="AB20" s="1411">
        <v>20</v>
      </c>
      <c r="AC20" s="1322" t="s">
        <v>187</v>
      </c>
      <c r="AD20" s="2742"/>
      <c r="AE20" s="2742"/>
      <c r="AF20" s="2742"/>
      <c r="AG20" s="2742"/>
      <c r="AH20" s="2742"/>
      <c r="AI20" s="2742"/>
      <c r="AJ20" s="2742"/>
      <c r="AK20" s="2742"/>
      <c r="AL20" s="2742"/>
      <c r="AM20" s="2742"/>
      <c r="AN20" s="2742"/>
      <c r="AO20" s="2742"/>
      <c r="AP20" s="2742"/>
      <c r="AQ20" s="2742"/>
      <c r="AR20" s="2742"/>
      <c r="AS20" s="2742"/>
      <c r="AT20" s="2742"/>
      <c r="AU20" s="2742"/>
      <c r="AV20" s="2742"/>
      <c r="AW20" s="2742"/>
      <c r="AX20" s="2742"/>
      <c r="AY20" s="2742"/>
      <c r="AZ20" s="2742"/>
      <c r="BA20" s="2742"/>
      <c r="BB20" s="2742"/>
      <c r="BC20" s="2742"/>
      <c r="BD20" s="2742"/>
      <c r="BE20" s="2742"/>
      <c r="BF20" s="2742"/>
      <c r="BG20" s="2742"/>
      <c r="BH20" s="2742"/>
      <c r="BI20" s="2742"/>
      <c r="BJ20" s="2258"/>
      <c r="BK20" s="3544"/>
      <c r="BL20" s="3544"/>
      <c r="BM20" s="3545"/>
      <c r="BN20" s="2258"/>
      <c r="BO20" s="2258"/>
      <c r="BP20" s="2743"/>
      <c r="BQ20" s="2688"/>
      <c r="BR20" s="2688"/>
      <c r="BS20" s="2688"/>
      <c r="BT20" s="2688"/>
      <c r="BU20" s="3492"/>
    </row>
    <row r="21" spans="1:73" s="2" customFormat="1" ht="96" customHeight="1" x14ac:dyDescent="0.25">
      <c r="A21" s="1343"/>
      <c r="B21" s="1344"/>
      <c r="C21" s="1343"/>
      <c r="D21" s="1344"/>
      <c r="E21" s="120"/>
      <c r="F21" s="120"/>
      <c r="G21" s="1496">
        <v>3502039</v>
      </c>
      <c r="H21" s="1501" t="s">
        <v>1904</v>
      </c>
      <c r="I21" s="1496">
        <v>3502039</v>
      </c>
      <c r="J21" s="1501" t="s">
        <v>1904</v>
      </c>
      <c r="K21" s="1331" t="s">
        <v>1905</v>
      </c>
      <c r="L21" s="1329" t="s">
        <v>247</v>
      </c>
      <c r="M21" s="1331" t="s">
        <v>1905</v>
      </c>
      <c r="N21" s="1329" t="s">
        <v>247</v>
      </c>
      <c r="O21" s="1502">
        <v>12</v>
      </c>
      <c r="P21" s="1339">
        <v>11</v>
      </c>
      <c r="Q21" s="3526" t="s">
        <v>1906</v>
      </c>
      <c r="R21" s="3129" t="s">
        <v>1907</v>
      </c>
      <c r="S21" s="1503">
        <f>X21/T21</f>
        <v>4.714601492568813E-2</v>
      </c>
      <c r="T21" s="3528">
        <f>SUM(X21:X25)</f>
        <v>1696856036</v>
      </c>
      <c r="U21" s="2631" t="s">
        <v>1893</v>
      </c>
      <c r="V21" s="3530" t="s">
        <v>1908</v>
      </c>
      <c r="W21" s="1379" t="s">
        <v>247</v>
      </c>
      <c r="X21" s="1494">
        <v>80000000</v>
      </c>
      <c r="Y21" s="1494">
        <v>73280000</v>
      </c>
      <c r="Z21" s="1494">
        <v>60900000</v>
      </c>
      <c r="AA21" s="1492" t="s">
        <v>1909</v>
      </c>
      <c r="AB21" s="1411">
        <v>20</v>
      </c>
      <c r="AC21" s="1504" t="s">
        <v>187</v>
      </c>
      <c r="AD21" s="3546">
        <v>765</v>
      </c>
      <c r="AE21" s="3546">
        <v>195</v>
      </c>
      <c r="AF21" s="3546">
        <v>735</v>
      </c>
      <c r="AG21" s="3546">
        <v>165</v>
      </c>
      <c r="AH21" s="3546"/>
      <c r="AI21" s="3546"/>
      <c r="AJ21" s="3546"/>
      <c r="AK21" s="3546"/>
      <c r="AL21" s="3546">
        <f>+AD21+AF21</f>
        <v>1500</v>
      </c>
      <c r="AM21" s="3546">
        <v>360</v>
      </c>
      <c r="AN21" s="3546"/>
      <c r="AO21" s="3546"/>
      <c r="AP21" s="3546"/>
      <c r="AQ21" s="3546"/>
      <c r="AR21" s="3546"/>
      <c r="AS21" s="3546"/>
      <c r="AT21" s="3546"/>
      <c r="AU21" s="3546"/>
      <c r="AV21" s="3546"/>
      <c r="AW21" s="3546"/>
      <c r="AX21" s="3546"/>
      <c r="AY21" s="3546"/>
      <c r="AZ21" s="3546"/>
      <c r="BA21" s="3546"/>
      <c r="BB21" s="3546"/>
      <c r="BC21" s="3546"/>
      <c r="BD21" s="3546"/>
      <c r="BE21" s="3546"/>
      <c r="BF21" s="3546"/>
      <c r="BG21" s="3546"/>
      <c r="BH21" s="3546">
        <f>+AD21+AF21</f>
        <v>1500</v>
      </c>
      <c r="BI21" s="3543">
        <f>+AE21+AG21</f>
        <v>360</v>
      </c>
      <c r="BJ21" s="2258">
        <v>7</v>
      </c>
      <c r="BK21" s="3544">
        <f>SUM(Y21:Y25)</f>
        <v>73280000</v>
      </c>
      <c r="BL21" s="3544">
        <f>SUM(Z21:Z25)</f>
        <v>60900000</v>
      </c>
      <c r="BM21" s="3545">
        <f>BL21/BK21</f>
        <v>0.83105895196506552</v>
      </c>
      <c r="BN21" s="2258" t="s">
        <v>1754</v>
      </c>
      <c r="BO21" s="2258" t="s">
        <v>1910</v>
      </c>
      <c r="BP21" s="3537" t="s">
        <v>1911</v>
      </c>
      <c r="BQ21" s="3540">
        <v>44242</v>
      </c>
      <c r="BR21" s="2686">
        <v>44260</v>
      </c>
      <c r="BS21" s="2686">
        <v>44542</v>
      </c>
      <c r="BT21" s="2686">
        <v>44542</v>
      </c>
      <c r="BU21" s="3510" t="s">
        <v>1881</v>
      </c>
    </row>
    <row r="22" spans="1:73" s="2" customFormat="1" ht="98.25" customHeight="1" x14ac:dyDescent="0.25">
      <c r="A22" s="1343"/>
      <c r="B22" s="1344"/>
      <c r="C22" s="1343"/>
      <c r="D22" s="1344"/>
      <c r="E22" s="120"/>
      <c r="F22" s="120"/>
      <c r="G22" s="1496">
        <v>3502047</v>
      </c>
      <c r="H22" s="1501" t="s">
        <v>791</v>
      </c>
      <c r="I22" s="1496">
        <v>3502047</v>
      </c>
      <c r="J22" s="1501" t="s">
        <v>791</v>
      </c>
      <c r="K22" s="1331" t="s">
        <v>1899</v>
      </c>
      <c r="L22" s="1329" t="s">
        <v>1770</v>
      </c>
      <c r="M22" s="1331" t="s">
        <v>1899</v>
      </c>
      <c r="N22" s="1329" t="s">
        <v>1770</v>
      </c>
      <c r="O22" s="1505" t="s">
        <v>1900</v>
      </c>
      <c r="P22" s="1506">
        <v>0.1</v>
      </c>
      <c r="Q22" s="3526"/>
      <c r="R22" s="3150"/>
      <c r="S22" s="1507">
        <f>X22/T21</f>
        <v>1.060785335827983E-2</v>
      </c>
      <c r="T22" s="3528"/>
      <c r="U22" s="2632"/>
      <c r="V22" s="3530"/>
      <c r="W22" s="1379" t="s">
        <v>1912</v>
      </c>
      <c r="X22" s="1494">
        <v>18000000</v>
      </c>
      <c r="Y22" s="1494">
        <v>0</v>
      </c>
      <c r="Z22" s="1494">
        <v>0</v>
      </c>
      <c r="AA22" s="1492" t="s">
        <v>1913</v>
      </c>
      <c r="AB22" s="1411">
        <v>20</v>
      </c>
      <c r="AC22" s="1504" t="s">
        <v>187</v>
      </c>
      <c r="AD22" s="3546"/>
      <c r="AE22" s="3546"/>
      <c r="AF22" s="3546"/>
      <c r="AG22" s="3546"/>
      <c r="AH22" s="3546"/>
      <c r="AI22" s="3546"/>
      <c r="AJ22" s="3546"/>
      <c r="AK22" s="3546"/>
      <c r="AL22" s="3546"/>
      <c r="AM22" s="3546"/>
      <c r="AN22" s="3546"/>
      <c r="AO22" s="3546"/>
      <c r="AP22" s="3546"/>
      <c r="AQ22" s="3546"/>
      <c r="AR22" s="3546"/>
      <c r="AS22" s="3546"/>
      <c r="AT22" s="3546"/>
      <c r="AU22" s="3546"/>
      <c r="AV22" s="3546"/>
      <c r="AW22" s="3546"/>
      <c r="AX22" s="3546"/>
      <c r="AY22" s="3546"/>
      <c r="AZ22" s="3546"/>
      <c r="BA22" s="3546"/>
      <c r="BB22" s="3546"/>
      <c r="BC22" s="3546"/>
      <c r="BD22" s="3546"/>
      <c r="BE22" s="3546"/>
      <c r="BF22" s="3546"/>
      <c r="BG22" s="3546"/>
      <c r="BH22" s="3546"/>
      <c r="BI22" s="3543"/>
      <c r="BJ22" s="2258"/>
      <c r="BK22" s="3544"/>
      <c r="BL22" s="3544"/>
      <c r="BM22" s="3545"/>
      <c r="BN22" s="2258"/>
      <c r="BO22" s="2258"/>
      <c r="BP22" s="3538"/>
      <c r="BQ22" s="3541"/>
      <c r="BR22" s="2687"/>
      <c r="BS22" s="2687"/>
      <c r="BT22" s="2687"/>
      <c r="BU22" s="3491"/>
    </row>
    <row r="23" spans="1:73" s="2" customFormat="1" ht="91.5" customHeight="1" x14ac:dyDescent="0.25">
      <c r="A23" s="1343"/>
      <c r="B23" s="1344"/>
      <c r="C23" s="1343"/>
      <c r="D23" s="1344"/>
      <c r="E23" s="120"/>
      <c r="F23" s="120"/>
      <c r="G23" s="3533">
        <v>3502039</v>
      </c>
      <c r="H23" s="3534" t="s">
        <v>1904</v>
      </c>
      <c r="I23" s="3533">
        <v>3502039</v>
      </c>
      <c r="J23" s="3534" t="s">
        <v>1904</v>
      </c>
      <c r="K23" s="3535">
        <v>350203910</v>
      </c>
      <c r="L23" s="3254" t="s">
        <v>1914</v>
      </c>
      <c r="M23" s="3535">
        <v>350203910</v>
      </c>
      <c r="N23" s="3254" t="s">
        <v>1914</v>
      </c>
      <c r="O23" s="3536">
        <v>1</v>
      </c>
      <c r="P23" s="2723">
        <v>0.15</v>
      </c>
      <c r="Q23" s="3526"/>
      <c r="R23" s="3154"/>
      <c r="S23" s="3524">
        <f>(SUM(X23:X25)/T21)</f>
        <v>0.942246131716032</v>
      </c>
      <c r="T23" s="3529"/>
      <c r="U23" s="2632"/>
      <c r="V23" s="3530"/>
      <c r="W23" s="1379" t="s">
        <v>1915</v>
      </c>
      <c r="X23" s="1494">
        <f>100000000-43121399</f>
        <v>56878601</v>
      </c>
      <c r="Y23" s="1494">
        <v>0</v>
      </c>
      <c r="Z23" s="1494">
        <v>0</v>
      </c>
      <c r="AA23" s="1492" t="s">
        <v>1909</v>
      </c>
      <c r="AB23" s="1411">
        <v>20</v>
      </c>
      <c r="AC23" s="1504" t="s">
        <v>187</v>
      </c>
      <c r="AD23" s="3546"/>
      <c r="AE23" s="3546"/>
      <c r="AF23" s="3546"/>
      <c r="AG23" s="3546"/>
      <c r="AH23" s="3546"/>
      <c r="AI23" s="3546"/>
      <c r="AJ23" s="3546"/>
      <c r="AK23" s="3546"/>
      <c r="AL23" s="3546"/>
      <c r="AM23" s="3546"/>
      <c r="AN23" s="3546"/>
      <c r="AO23" s="3546"/>
      <c r="AP23" s="3546"/>
      <c r="AQ23" s="3546"/>
      <c r="AR23" s="3546"/>
      <c r="AS23" s="3546"/>
      <c r="AT23" s="3546"/>
      <c r="AU23" s="3546"/>
      <c r="AV23" s="3546"/>
      <c r="AW23" s="3546"/>
      <c r="AX23" s="3546"/>
      <c r="AY23" s="3546"/>
      <c r="AZ23" s="3546"/>
      <c r="BA23" s="3546"/>
      <c r="BB23" s="3546"/>
      <c r="BC23" s="3546"/>
      <c r="BD23" s="3546"/>
      <c r="BE23" s="3546"/>
      <c r="BF23" s="3546"/>
      <c r="BG23" s="3546"/>
      <c r="BH23" s="3546"/>
      <c r="BI23" s="3543"/>
      <c r="BJ23" s="2258"/>
      <c r="BK23" s="3544"/>
      <c r="BL23" s="3544"/>
      <c r="BM23" s="3545"/>
      <c r="BN23" s="2258"/>
      <c r="BO23" s="2258"/>
      <c r="BP23" s="3538"/>
      <c r="BQ23" s="3541"/>
      <c r="BR23" s="2687"/>
      <c r="BS23" s="2687"/>
      <c r="BT23" s="2687"/>
      <c r="BU23" s="3491"/>
    </row>
    <row r="24" spans="1:73" s="2" customFormat="1" ht="91.5" customHeight="1" x14ac:dyDescent="0.25">
      <c r="A24" s="1343"/>
      <c r="B24" s="1344"/>
      <c r="C24" s="1343"/>
      <c r="D24" s="1344"/>
      <c r="E24" s="120"/>
      <c r="F24" s="120"/>
      <c r="G24" s="3533"/>
      <c r="H24" s="3534"/>
      <c r="I24" s="3533"/>
      <c r="J24" s="3534"/>
      <c r="K24" s="3535"/>
      <c r="L24" s="3254"/>
      <c r="M24" s="3535"/>
      <c r="N24" s="3254"/>
      <c r="O24" s="3536"/>
      <c r="P24" s="2723"/>
      <c r="Q24" s="3526"/>
      <c r="R24" s="3154"/>
      <c r="S24" s="3524"/>
      <c r="T24" s="3529"/>
      <c r="U24" s="2632"/>
      <c r="V24" s="3530"/>
      <c r="W24" s="2304" t="s">
        <v>1916</v>
      </c>
      <c r="X24" s="1494">
        <v>43121399</v>
      </c>
      <c r="Y24" s="1494">
        <v>0</v>
      </c>
      <c r="Z24" s="1494">
        <v>0</v>
      </c>
      <c r="AA24" s="1492" t="s">
        <v>1917</v>
      </c>
      <c r="AB24" s="1411">
        <v>20</v>
      </c>
      <c r="AC24" s="1504" t="s">
        <v>187</v>
      </c>
      <c r="AD24" s="3546"/>
      <c r="AE24" s="3546"/>
      <c r="AF24" s="3546"/>
      <c r="AG24" s="3546"/>
      <c r="AH24" s="3546"/>
      <c r="AI24" s="3546"/>
      <c r="AJ24" s="3546"/>
      <c r="AK24" s="3546"/>
      <c r="AL24" s="3546"/>
      <c r="AM24" s="3546"/>
      <c r="AN24" s="3546"/>
      <c r="AO24" s="3546"/>
      <c r="AP24" s="3546"/>
      <c r="AQ24" s="3546"/>
      <c r="AR24" s="3546"/>
      <c r="AS24" s="3546"/>
      <c r="AT24" s="3546"/>
      <c r="AU24" s="3546"/>
      <c r="AV24" s="3546"/>
      <c r="AW24" s="3546"/>
      <c r="AX24" s="3546"/>
      <c r="AY24" s="3546"/>
      <c r="AZ24" s="3546"/>
      <c r="BA24" s="3546"/>
      <c r="BB24" s="3546"/>
      <c r="BC24" s="3546"/>
      <c r="BD24" s="3546"/>
      <c r="BE24" s="3546"/>
      <c r="BF24" s="3546"/>
      <c r="BG24" s="3546"/>
      <c r="BH24" s="3546"/>
      <c r="BI24" s="3543"/>
      <c r="BJ24" s="2258"/>
      <c r="BK24" s="3544"/>
      <c r="BL24" s="3544"/>
      <c r="BM24" s="3545"/>
      <c r="BN24" s="2258"/>
      <c r="BO24" s="2258"/>
      <c r="BP24" s="3538"/>
      <c r="BQ24" s="3541"/>
      <c r="BR24" s="2687"/>
      <c r="BS24" s="2687"/>
      <c r="BT24" s="2687"/>
      <c r="BU24" s="3491"/>
    </row>
    <row r="25" spans="1:73" s="2" customFormat="1" ht="91.5" customHeight="1" x14ac:dyDescent="0.25">
      <c r="A25" s="1343"/>
      <c r="B25" s="1344"/>
      <c r="C25" s="1343"/>
      <c r="D25" s="1344"/>
      <c r="E25" s="120"/>
      <c r="F25" s="120"/>
      <c r="G25" s="3533"/>
      <c r="H25" s="3534"/>
      <c r="I25" s="3533"/>
      <c r="J25" s="3534"/>
      <c r="K25" s="3535"/>
      <c r="L25" s="3254"/>
      <c r="M25" s="3535"/>
      <c r="N25" s="3254"/>
      <c r="O25" s="3536"/>
      <c r="P25" s="2723"/>
      <c r="Q25" s="3527"/>
      <c r="R25" s="3154"/>
      <c r="S25" s="3524"/>
      <c r="T25" s="3529"/>
      <c r="U25" s="2576"/>
      <c r="V25" s="3530"/>
      <c r="W25" s="3525"/>
      <c r="X25" s="1494">
        <v>1498856036</v>
      </c>
      <c r="Y25" s="1494">
        <v>0</v>
      </c>
      <c r="Z25" s="1494">
        <v>0</v>
      </c>
      <c r="AA25" s="1492" t="s">
        <v>1918</v>
      </c>
      <c r="AB25" s="1495">
        <v>88</v>
      </c>
      <c r="AC25" s="1353" t="s">
        <v>1919</v>
      </c>
      <c r="AD25" s="3546"/>
      <c r="AE25" s="3546"/>
      <c r="AF25" s="3546"/>
      <c r="AG25" s="3546"/>
      <c r="AH25" s="3546"/>
      <c r="AI25" s="3546"/>
      <c r="AJ25" s="3546"/>
      <c r="AK25" s="3546"/>
      <c r="AL25" s="3546"/>
      <c r="AM25" s="3546"/>
      <c r="AN25" s="3546"/>
      <c r="AO25" s="3546"/>
      <c r="AP25" s="3546"/>
      <c r="AQ25" s="3546"/>
      <c r="AR25" s="3546"/>
      <c r="AS25" s="3546"/>
      <c r="AT25" s="3546"/>
      <c r="AU25" s="3546"/>
      <c r="AV25" s="3546"/>
      <c r="AW25" s="3546"/>
      <c r="AX25" s="3546"/>
      <c r="AY25" s="3546"/>
      <c r="AZ25" s="3546"/>
      <c r="BA25" s="3546"/>
      <c r="BB25" s="3546"/>
      <c r="BC25" s="3546"/>
      <c r="BD25" s="3546"/>
      <c r="BE25" s="3546"/>
      <c r="BF25" s="3546"/>
      <c r="BG25" s="3546"/>
      <c r="BH25" s="3546"/>
      <c r="BI25" s="3543"/>
      <c r="BJ25" s="2258"/>
      <c r="BK25" s="3544"/>
      <c r="BL25" s="3544"/>
      <c r="BM25" s="3545"/>
      <c r="BN25" s="2258"/>
      <c r="BO25" s="2258"/>
      <c r="BP25" s="3539"/>
      <c r="BQ25" s="3542"/>
      <c r="BR25" s="2688"/>
      <c r="BS25" s="2688"/>
      <c r="BT25" s="2688"/>
      <c r="BU25" s="3492"/>
    </row>
    <row r="26" spans="1:73" s="2" customFormat="1" ht="60" customHeight="1" x14ac:dyDescent="0.25">
      <c r="A26" s="1343"/>
      <c r="B26" s="1344"/>
      <c r="C26" s="1343"/>
      <c r="D26" s="1344"/>
      <c r="E26" s="120"/>
      <c r="F26" s="120"/>
      <c r="G26" s="3531">
        <v>3502046</v>
      </c>
      <c r="H26" s="3109" t="s">
        <v>1920</v>
      </c>
      <c r="I26" s="3531">
        <v>3502046</v>
      </c>
      <c r="J26" s="3109" t="s">
        <v>1920</v>
      </c>
      <c r="K26" s="2267">
        <v>350204600</v>
      </c>
      <c r="L26" s="2426" t="s">
        <v>1921</v>
      </c>
      <c r="M26" s="2267">
        <v>350204600</v>
      </c>
      <c r="N26" s="2426" t="s">
        <v>1921</v>
      </c>
      <c r="O26" s="2943">
        <v>1</v>
      </c>
      <c r="P26" s="3025">
        <v>0.35</v>
      </c>
      <c r="Q26" s="2294" t="s">
        <v>1922</v>
      </c>
      <c r="R26" s="3522" t="s">
        <v>1923</v>
      </c>
      <c r="S26" s="3523">
        <f>SUM(X26:X32)/T26</f>
        <v>1</v>
      </c>
      <c r="T26" s="3517">
        <f>SUM(X26:X32)</f>
        <v>1005231673.61</v>
      </c>
      <c r="U26" s="3518" t="s">
        <v>1924</v>
      </c>
      <c r="V26" s="2783" t="s">
        <v>1925</v>
      </c>
      <c r="W26" s="3483" t="s">
        <v>1926</v>
      </c>
      <c r="X26" s="1494">
        <f>634872303.76-27000000</f>
        <v>607872303.75999999</v>
      </c>
      <c r="Y26" s="1494">
        <v>246775000</v>
      </c>
      <c r="Z26" s="1494">
        <v>109225000</v>
      </c>
      <c r="AA26" s="1508" t="s">
        <v>1927</v>
      </c>
      <c r="AB26" s="1381">
        <v>52</v>
      </c>
      <c r="AC26" s="1320" t="s">
        <v>1928</v>
      </c>
      <c r="AD26" s="3512">
        <v>765</v>
      </c>
      <c r="AE26" s="3512">
        <v>95</v>
      </c>
      <c r="AF26" s="3512">
        <v>735</v>
      </c>
      <c r="AG26" s="3512">
        <v>64</v>
      </c>
      <c r="AH26" s="3512"/>
      <c r="AI26" s="3512"/>
      <c r="AJ26" s="3512"/>
      <c r="AK26" s="3512"/>
      <c r="AL26" s="3512">
        <f>+AD26+AF26</f>
        <v>1500</v>
      </c>
      <c r="AM26" s="3512">
        <v>159</v>
      </c>
      <c r="AN26" s="3512"/>
      <c r="AO26" s="3512"/>
      <c r="AP26" s="3512"/>
      <c r="AQ26" s="3512"/>
      <c r="AR26" s="3512"/>
      <c r="AS26" s="3512"/>
      <c r="AT26" s="3512"/>
      <c r="AU26" s="3512"/>
      <c r="AV26" s="3512"/>
      <c r="AW26" s="3512"/>
      <c r="AX26" s="3512"/>
      <c r="AY26" s="3512"/>
      <c r="AZ26" s="3512"/>
      <c r="BA26" s="3512"/>
      <c r="BB26" s="3512"/>
      <c r="BC26" s="3512"/>
      <c r="BD26" s="3512"/>
      <c r="BE26" s="3512"/>
      <c r="BF26" s="3512"/>
      <c r="BG26" s="3512"/>
      <c r="BH26" s="3512">
        <f>+AD26+AF26</f>
        <v>1500</v>
      </c>
      <c r="BI26" s="3512">
        <f>+AE26+AG26</f>
        <v>159</v>
      </c>
      <c r="BJ26" s="3512">
        <v>7</v>
      </c>
      <c r="BK26" s="3513">
        <f>SUM(Y26:Y32)</f>
        <v>283774999</v>
      </c>
      <c r="BL26" s="3513">
        <f>SUM(Z26:Z32)</f>
        <v>109225000</v>
      </c>
      <c r="BM26" s="3515">
        <f>BL26/BK26</f>
        <v>0.38490001016615277</v>
      </c>
      <c r="BN26" s="3512">
        <v>52</v>
      </c>
      <c r="BO26" s="3512" t="s">
        <v>1928</v>
      </c>
      <c r="BP26" s="2741" t="s">
        <v>1911</v>
      </c>
      <c r="BQ26" s="2687">
        <v>44242</v>
      </c>
      <c r="BR26" s="2686">
        <v>44260</v>
      </c>
      <c r="BS26" s="2686">
        <v>44540</v>
      </c>
      <c r="BT26" s="2686">
        <v>44540</v>
      </c>
      <c r="BU26" s="3510" t="s">
        <v>1881</v>
      </c>
    </row>
    <row r="27" spans="1:73" s="2" customFormat="1" ht="69" customHeight="1" x14ac:dyDescent="0.25">
      <c r="A27" s="1343"/>
      <c r="B27" s="1344"/>
      <c r="C27" s="1343"/>
      <c r="D27" s="1344"/>
      <c r="E27" s="120"/>
      <c r="F27" s="120"/>
      <c r="G27" s="3531"/>
      <c r="H27" s="3109"/>
      <c r="I27" s="3531"/>
      <c r="J27" s="3109"/>
      <c r="K27" s="2267"/>
      <c r="L27" s="2426"/>
      <c r="M27" s="2267"/>
      <c r="N27" s="2426"/>
      <c r="O27" s="2943"/>
      <c r="P27" s="2943"/>
      <c r="Q27" s="2294"/>
      <c r="R27" s="3522"/>
      <c r="S27" s="3523"/>
      <c r="T27" s="3517"/>
      <c r="U27" s="3519"/>
      <c r="V27" s="2783"/>
      <c r="W27" s="3484"/>
      <c r="X27" s="1494">
        <v>340359369.85000002</v>
      </c>
      <c r="Y27" s="1494">
        <v>0</v>
      </c>
      <c r="Z27" s="1494">
        <v>0</v>
      </c>
      <c r="AA27" s="1508" t="s">
        <v>1929</v>
      </c>
      <c r="AB27" s="1381">
        <v>94</v>
      </c>
      <c r="AC27" s="1320" t="s">
        <v>1930</v>
      </c>
      <c r="AD27" s="3512"/>
      <c r="AE27" s="3512"/>
      <c r="AF27" s="3512"/>
      <c r="AG27" s="3512"/>
      <c r="AH27" s="3512"/>
      <c r="AI27" s="3512"/>
      <c r="AJ27" s="3512"/>
      <c r="AK27" s="3512"/>
      <c r="AL27" s="3512"/>
      <c r="AM27" s="3512"/>
      <c r="AN27" s="3512"/>
      <c r="AO27" s="3512"/>
      <c r="AP27" s="3512"/>
      <c r="AQ27" s="3512"/>
      <c r="AR27" s="3512"/>
      <c r="AS27" s="3512"/>
      <c r="AT27" s="3512"/>
      <c r="AU27" s="3512"/>
      <c r="AV27" s="3512"/>
      <c r="AW27" s="3512"/>
      <c r="AX27" s="3512"/>
      <c r="AY27" s="3512"/>
      <c r="AZ27" s="3512"/>
      <c r="BA27" s="3512"/>
      <c r="BB27" s="3512"/>
      <c r="BC27" s="3512"/>
      <c r="BD27" s="3512"/>
      <c r="BE27" s="3512"/>
      <c r="BF27" s="3512"/>
      <c r="BG27" s="3512"/>
      <c r="BH27" s="3512"/>
      <c r="BI27" s="3512"/>
      <c r="BJ27" s="3512"/>
      <c r="BK27" s="3513"/>
      <c r="BL27" s="3513"/>
      <c r="BM27" s="3515"/>
      <c r="BN27" s="3512"/>
      <c r="BO27" s="3512"/>
      <c r="BP27" s="2742"/>
      <c r="BQ27" s="2687"/>
      <c r="BR27" s="2687"/>
      <c r="BS27" s="2687"/>
      <c r="BT27" s="2687"/>
      <c r="BU27" s="3491"/>
    </row>
    <row r="28" spans="1:73" s="2" customFormat="1" ht="45.75" customHeight="1" x14ac:dyDescent="0.25">
      <c r="A28" s="1343"/>
      <c r="B28" s="1344"/>
      <c r="C28" s="1343"/>
      <c r="D28" s="1344"/>
      <c r="E28" s="120"/>
      <c r="F28" s="120"/>
      <c r="G28" s="3531"/>
      <c r="H28" s="3109"/>
      <c r="I28" s="3531"/>
      <c r="J28" s="3109"/>
      <c r="K28" s="2267"/>
      <c r="L28" s="2426"/>
      <c r="M28" s="2267"/>
      <c r="N28" s="2426"/>
      <c r="O28" s="2943"/>
      <c r="P28" s="2943"/>
      <c r="Q28" s="2294"/>
      <c r="R28" s="3522"/>
      <c r="S28" s="3523"/>
      <c r="T28" s="3517"/>
      <c r="U28" s="3519"/>
      <c r="V28" s="2783"/>
      <c r="W28" s="3483" t="s">
        <v>1931</v>
      </c>
      <c r="X28" s="1494">
        <f>12000000-12000000</f>
        <v>0</v>
      </c>
      <c r="Y28" s="1494">
        <v>0</v>
      </c>
      <c r="Z28" s="1494">
        <v>0</v>
      </c>
      <c r="AA28" s="1508" t="s">
        <v>1927</v>
      </c>
      <c r="AB28" s="1381">
        <v>52</v>
      </c>
      <c r="AC28" s="1320" t="s">
        <v>1928</v>
      </c>
      <c r="AD28" s="3512"/>
      <c r="AE28" s="3512"/>
      <c r="AF28" s="3512"/>
      <c r="AG28" s="3512"/>
      <c r="AH28" s="3512"/>
      <c r="AI28" s="3512"/>
      <c r="AJ28" s="3512"/>
      <c r="AK28" s="3512"/>
      <c r="AL28" s="3512"/>
      <c r="AM28" s="3512"/>
      <c r="AN28" s="3512"/>
      <c r="AO28" s="3512"/>
      <c r="AP28" s="3512"/>
      <c r="AQ28" s="3512"/>
      <c r="AR28" s="3512"/>
      <c r="AS28" s="3512"/>
      <c r="AT28" s="3512"/>
      <c r="AU28" s="3512"/>
      <c r="AV28" s="3512"/>
      <c r="AW28" s="3512"/>
      <c r="AX28" s="3512"/>
      <c r="AY28" s="3512"/>
      <c r="AZ28" s="3512"/>
      <c r="BA28" s="3512"/>
      <c r="BB28" s="3512"/>
      <c r="BC28" s="3512"/>
      <c r="BD28" s="3512"/>
      <c r="BE28" s="3512"/>
      <c r="BF28" s="3512"/>
      <c r="BG28" s="3512"/>
      <c r="BH28" s="3512"/>
      <c r="BI28" s="3512"/>
      <c r="BJ28" s="3512"/>
      <c r="BK28" s="3513"/>
      <c r="BL28" s="3513"/>
      <c r="BM28" s="3515"/>
      <c r="BN28" s="3512"/>
      <c r="BO28" s="3512"/>
      <c r="BP28" s="2742"/>
      <c r="BQ28" s="2687"/>
      <c r="BR28" s="2687"/>
      <c r="BS28" s="2687"/>
      <c r="BT28" s="2687"/>
      <c r="BU28" s="3491"/>
    </row>
    <row r="29" spans="1:73" s="2" customFormat="1" ht="45" customHeight="1" x14ac:dyDescent="0.25">
      <c r="A29" s="1343"/>
      <c r="B29" s="1344"/>
      <c r="C29" s="1343"/>
      <c r="D29" s="1344"/>
      <c r="E29" s="120"/>
      <c r="F29" s="120"/>
      <c r="G29" s="3531"/>
      <c r="H29" s="3109"/>
      <c r="I29" s="3531"/>
      <c r="J29" s="3109"/>
      <c r="K29" s="2267"/>
      <c r="L29" s="2426"/>
      <c r="M29" s="2267"/>
      <c r="N29" s="2426"/>
      <c r="O29" s="2943"/>
      <c r="P29" s="2943"/>
      <c r="Q29" s="2294"/>
      <c r="R29" s="3522"/>
      <c r="S29" s="3523"/>
      <c r="T29" s="3517"/>
      <c r="U29" s="3519"/>
      <c r="V29" s="2783"/>
      <c r="W29" s="3520"/>
      <c r="X29" s="1494">
        <v>3000000</v>
      </c>
      <c r="Y29" s="1494">
        <v>0</v>
      </c>
      <c r="Z29" s="1494">
        <v>0</v>
      </c>
      <c r="AA29" s="1492" t="s">
        <v>1932</v>
      </c>
      <c r="AB29" s="1493">
        <v>52</v>
      </c>
      <c r="AC29" s="1320" t="s">
        <v>1928</v>
      </c>
      <c r="AD29" s="2742"/>
      <c r="AE29" s="2742"/>
      <c r="AF29" s="2742"/>
      <c r="AG29" s="2742"/>
      <c r="AH29" s="2742"/>
      <c r="AI29" s="2742"/>
      <c r="AJ29" s="2742"/>
      <c r="AK29" s="2742"/>
      <c r="AL29" s="2742"/>
      <c r="AM29" s="2742"/>
      <c r="AN29" s="2742"/>
      <c r="AO29" s="2742"/>
      <c r="AP29" s="2742"/>
      <c r="AQ29" s="2742"/>
      <c r="AR29" s="2742"/>
      <c r="AS29" s="2742"/>
      <c r="AT29" s="2742"/>
      <c r="AU29" s="2742"/>
      <c r="AV29" s="2742"/>
      <c r="AW29" s="2742"/>
      <c r="AX29" s="2742"/>
      <c r="AY29" s="2742"/>
      <c r="AZ29" s="2742"/>
      <c r="BA29" s="2742"/>
      <c r="BB29" s="2742"/>
      <c r="BC29" s="2742"/>
      <c r="BD29" s="2742"/>
      <c r="BE29" s="2742"/>
      <c r="BF29" s="2742"/>
      <c r="BG29" s="2742"/>
      <c r="BH29" s="2742"/>
      <c r="BI29" s="2742"/>
      <c r="BJ29" s="2742"/>
      <c r="BK29" s="3514"/>
      <c r="BL29" s="3514"/>
      <c r="BM29" s="3516"/>
      <c r="BN29" s="2742"/>
      <c r="BO29" s="2742"/>
      <c r="BP29" s="2742"/>
      <c r="BQ29" s="2687"/>
      <c r="BR29" s="2687"/>
      <c r="BS29" s="2687"/>
      <c r="BT29" s="2687"/>
      <c r="BU29" s="3491"/>
    </row>
    <row r="30" spans="1:73" s="2" customFormat="1" ht="45" customHeight="1" x14ac:dyDescent="0.25">
      <c r="A30" s="1343"/>
      <c r="B30" s="1344"/>
      <c r="C30" s="1343"/>
      <c r="D30" s="1344"/>
      <c r="E30" s="120"/>
      <c r="F30" s="120"/>
      <c r="G30" s="3531"/>
      <c r="H30" s="3109"/>
      <c r="I30" s="3531"/>
      <c r="J30" s="3109"/>
      <c r="K30" s="2267"/>
      <c r="L30" s="2426"/>
      <c r="M30" s="2267"/>
      <c r="N30" s="2426"/>
      <c r="O30" s="2943"/>
      <c r="P30" s="2943"/>
      <c r="Q30" s="2438"/>
      <c r="R30" s="3522"/>
      <c r="S30" s="3523"/>
      <c r="T30" s="3517"/>
      <c r="U30" s="3519"/>
      <c r="V30" s="2783"/>
      <c r="W30" s="3484"/>
      <c r="X30" s="1509">
        <v>24000000</v>
      </c>
      <c r="Y30" s="1509">
        <v>21999999</v>
      </c>
      <c r="Z30" s="1509">
        <v>0</v>
      </c>
      <c r="AA30" s="1492" t="s">
        <v>1933</v>
      </c>
      <c r="AB30" s="1411">
        <v>52</v>
      </c>
      <c r="AC30" s="1320" t="s">
        <v>1928</v>
      </c>
      <c r="AD30" s="2742"/>
      <c r="AE30" s="2742"/>
      <c r="AF30" s="2742"/>
      <c r="AG30" s="2742"/>
      <c r="AH30" s="2742"/>
      <c r="AI30" s="2742"/>
      <c r="AJ30" s="2742"/>
      <c r="AK30" s="2742"/>
      <c r="AL30" s="2742"/>
      <c r="AM30" s="2742"/>
      <c r="AN30" s="2742"/>
      <c r="AO30" s="2742"/>
      <c r="AP30" s="2742"/>
      <c r="AQ30" s="2742"/>
      <c r="AR30" s="2742"/>
      <c r="AS30" s="2742"/>
      <c r="AT30" s="2742"/>
      <c r="AU30" s="2742"/>
      <c r="AV30" s="2742"/>
      <c r="AW30" s="2742"/>
      <c r="AX30" s="2742"/>
      <c r="AY30" s="2742"/>
      <c r="AZ30" s="2742"/>
      <c r="BA30" s="2742"/>
      <c r="BB30" s="2742"/>
      <c r="BC30" s="2742"/>
      <c r="BD30" s="2742"/>
      <c r="BE30" s="2742"/>
      <c r="BF30" s="2742"/>
      <c r="BG30" s="2742"/>
      <c r="BH30" s="2742"/>
      <c r="BI30" s="2742"/>
      <c r="BJ30" s="2742"/>
      <c r="BK30" s="3514"/>
      <c r="BL30" s="3514"/>
      <c r="BM30" s="3516"/>
      <c r="BN30" s="2742"/>
      <c r="BO30" s="2742"/>
      <c r="BP30" s="2742"/>
      <c r="BQ30" s="2687"/>
      <c r="BR30" s="2687"/>
      <c r="BS30" s="2687"/>
      <c r="BT30" s="2687"/>
      <c r="BU30" s="3491"/>
    </row>
    <row r="31" spans="1:73" s="2" customFormat="1" ht="45" customHeight="1" x14ac:dyDescent="0.25">
      <c r="A31" s="1343"/>
      <c r="B31" s="1344"/>
      <c r="C31" s="1343"/>
      <c r="D31" s="1344"/>
      <c r="E31" s="120"/>
      <c r="F31" s="120"/>
      <c r="G31" s="3531"/>
      <c r="H31" s="3109"/>
      <c r="I31" s="3531"/>
      <c r="J31" s="3109"/>
      <c r="K31" s="2267"/>
      <c r="L31" s="2426"/>
      <c r="M31" s="2267"/>
      <c r="N31" s="2426"/>
      <c r="O31" s="2943"/>
      <c r="P31" s="2943"/>
      <c r="Q31" s="2438"/>
      <c r="R31" s="3522"/>
      <c r="S31" s="3523"/>
      <c r="T31" s="3517"/>
      <c r="U31" s="3519"/>
      <c r="V31" s="2783"/>
      <c r="W31" s="3483" t="s">
        <v>1934</v>
      </c>
      <c r="X31" s="1509">
        <v>15000000</v>
      </c>
      <c r="Y31" s="1509">
        <v>0</v>
      </c>
      <c r="Z31" s="1509">
        <v>0</v>
      </c>
      <c r="AA31" s="1492" t="s">
        <v>1932</v>
      </c>
      <c r="AB31" s="1411">
        <v>52</v>
      </c>
      <c r="AC31" s="1320" t="s">
        <v>1928</v>
      </c>
      <c r="AD31" s="2742"/>
      <c r="AE31" s="2742"/>
      <c r="AF31" s="2742"/>
      <c r="AG31" s="2742"/>
      <c r="AH31" s="2742"/>
      <c r="AI31" s="2742"/>
      <c r="AJ31" s="2742"/>
      <c r="AK31" s="2742"/>
      <c r="AL31" s="2742"/>
      <c r="AM31" s="2742"/>
      <c r="AN31" s="2742"/>
      <c r="AO31" s="2742"/>
      <c r="AP31" s="2742"/>
      <c r="AQ31" s="2742"/>
      <c r="AR31" s="2742"/>
      <c r="AS31" s="2742"/>
      <c r="AT31" s="2742"/>
      <c r="AU31" s="2742"/>
      <c r="AV31" s="2742"/>
      <c r="AW31" s="2742"/>
      <c r="AX31" s="2742"/>
      <c r="AY31" s="2742"/>
      <c r="AZ31" s="2742"/>
      <c r="BA31" s="2742"/>
      <c r="BB31" s="2742"/>
      <c r="BC31" s="2742"/>
      <c r="BD31" s="2742"/>
      <c r="BE31" s="2742"/>
      <c r="BF31" s="2742"/>
      <c r="BG31" s="2742"/>
      <c r="BH31" s="2742"/>
      <c r="BI31" s="2742"/>
      <c r="BJ31" s="2742"/>
      <c r="BK31" s="3514"/>
      <c r="BL31" s="3514"/>
      <c r="BM31" s="3516"/>
      <c r="BN31" s="2742"/>
      <c r="BO31" s="2742"/>
      <c r="BP31" s="2742"/>
      <c r="BQ31" s="2687"/>
      <c r="BR31" s="2687"/>
      <c r="BS31" s="2687"/>
      <c r="BT31" s="2687"/>
      <c r="BU31" s="3491"/>
    </row>
    <row r="32" spans="1:73" s="2" customFormat="1" ht="45" customHeight="1" x14ac:dyDescent="0.25">
      <c r="A32" s="1343"/>
      <c r="B32" s="1344"/>
      <c r="C32" s="1345"/>
      <c r="D32" s="1344"/>
      <c r="E32" s="120"/>
      <c r="F32" s="120"/>
      <c r="G32" s="3532"/>
      <c r="H32" s="3109"/>
      <c r="I32" s="3531"/>
      <c r="J32" s="3109"/>
      <c r="K32" s="2267"/>
      <c r="L32" s="2426"/>
      <c r="M32" s="2267"/>
      <c r="N32" s="2426"/>
      <c r="O32" s="2943"/>
      <c r="P32" s="2944"/>
      <c r="Q32" s="2438"/>
      <c r="R32" s="3522"/>
      <c r="S32" s="3523"/>
      <c r="T32" s="3517"/>
      <c r="U32" s="3519"/>
      <c r="V32" s="2783"/>
      <c r="W32" s="3521"/>
      <c r="X32" s="1510">
        <v>15000000</v>
      </c>
      <c r="Y32" s="1510">
        <v>15000000</v>
      </c>
      <c r="Z32" s="1510">
        <v>0</v>
      </c>
      <c r="AA32" s="1492" t="s">
        <v>1935</v>
      </c>
      <c r="AB32" s="1495">
        <v>52</v>
      </c>
      <c r="AC32" s="1320" t="s">
        <v>1928</v>
      </c>
      <c r="AD32" s="2742"/>
      <c r="AE32" s="2742"/>
      <c r="AF32" s="2742"/>
      <c r="AG32" s="2742"/>
      <c r="AH32" s="2742"/>
      <c r="AI32" s="2742"/>
      <c r="AJ32" s="2742"/>
      <c r="AK32" s="2742"/>
      <c r="AL32" s="2742"/>
      <c r="AM32" s="2742"/>
      <c r="AN32" s="2742"/>
      <c r="AO32" s="2742"/>
      <c r="AP32" s="2742"/>
      <c r="AQ32" s="2742"/>
      <c r="AR32" s="2742"/>
      <c r="AS32" s="2742"/>
      <c r="AT32" s="2742"/>
      <c r="AU32" s="2742"/>
      <c r="AV32" s="2742"/>
      <c r="AW32" s="2742"/>
      <c r="AX32" s="2742"/>
      <c r="AY32" s="2742"/>
      <c r="AZ32" s="2742"/>
      <c r="BA32" s="2742"/>
      <c r="BB32" s="2742"/>
      <c r="BC32" s="2742"/>
      <c r="BD32" s="2742"/>
      <c r="BE32" s="2742"/>
      <c r="BF32" s="2742"/>
      <c r="BG32" s="2742"/>
      <c r="BH32" s="2742"/>
      <c r="BI32" s="2742"/>
      <c r="BJ32" s="2742"/>
      <c r="BK32" s="3514"/>
      <c r="BL32" s="3514"/>
      <c r="BM32" s="3516"/>
      <c r="BN32" s="2742"/>
      <c r="BO32" s="2742"/>
      <c r="BP32" s="3508"/>
      <c r="BQ32" s="3509"/>
      <c r="BR32" s="3509"/>
      <c r="BS32" s="3509"/>
      <c r="BT32" s="3509"/>
      <c r="BU32" s="3511"/>
    </row>
    <row r="33" spans="1:73" s="2" customFormat="1" ht="23.25" customHeight="1" x14ac:dyDescent="0.25">
      <c r="A33" s="1343"/>
      <c r="B33" s="1344"/>
      <c r="C33" s="309">
        <v>36</v>
      </c>
      <c r="D33" s="3374" t="s">
        <v>1395</v>
      </c>
      <c r="E33" s="3375"/>
      <c r="F33" s="3375"/>
      <c r="G33" s="3375"/>
      <c r="H33" s="3375"/>
      <c r="I33" s="1511"/>
      <c r="J33" s="1512"/>
      <c r="K33" s="1511"/>
      <c r="L33" s="1512"/>
      <c r="M33" s="1511"/>
      <c r="N33" s="1512"/>
      <c r="O33" s="1513"/>
      <c r="P33" s="1513"/>
      <c r="Q33" s="1511"/>
      <c r="R33" s="1512"/>
      <c r="S33" s="857"/>
      <c r="T33" s="1514"/>
      <c r="U33" s="1512"/>
      <c r="V33" s="919"/>
      <c r="W33" s="918"/>
      <c r="X33" s="1514"/>
      <c r="Y33" s="1515"/>
      <c r="Z33" s="1515"/>
      <c r="AA33" s="1516"/>
      <c r="AB33" s="861"/>
      <c r="AC33" s="151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c r="BE33" s="861"/>
      <c r="BF33" s="861"/>
      <c r="BG33" s="861"/>
      <c r="BH33" s="861"/>
      <c r="BI33" s="861"/>
      <c r="BJ33" s="861"/>
      <c r="BK33" s="1517"/>
      <c r="BL33" s="1517"/>
      <c r="BM33" s="861"/>
      <c r="BN33" s="861"/>
      <c r="BO33" s="861"/>
      <c r="BP33" s="861"/>
      <c r="BQ33" s="863"/>
      <c r="BR33" s="863"/>
      <c r="BS33" s="863"/>
      <c r="BT33" s="863"/>
      <c r="BU33" s="864"/>
    </row>
    <row r="34" spans="1:73" s="2" customFormat="1" ht="27" customHeight="1" x14ac:dyDescent="0.25">
      <c r="A34" s="1518"/>
      <c r="B34" s="1519"/>
      <c r="C34" s="1520"/>
      <c r="D34" s="1521"/>
      <c r="E34" s="854">
        <v>3602</v>
      </c>
      <c r="F34" s="3501" t="s">
        <v>1936</v>
      </c>
      <c r="G34" s="3502"/>
      <c r="H34" s="3502"/>
      <c r="I34" s="3502"/>
      <c r="J34" s="3502"/>
      <c r="K34" s="3502"/>
      <c r="L34" s="3502"/>
      <c r="M34" s="3502"/>
      <c r="N34" s="3502"/>
      <c r="O34" s="3502"/>
      <c r="P34" s="3502"/>
      <c r="Q34" s="3502"/>
      <c r="R34" s="54"/>
      <c r="S34" s="849"/>
      <c r="T34" s="1486"/>
      <c r="U34" s="54"/>
      <c r="V34" s="54"/>
      <c r="W34" s="54"/>
      <c r="X34" s="1522"/>
      <c r="Y34" s="1523"/>
      <c r="Z34" s="1523"/>
      <c r="AA34" s="57"/>
      <c r="AB34" s="852"/>
      <c r="AC34" s="848"/>
      <c r="AD34" s="1524"/>
      <c r="AE34" s="1524"/>
      <c r="AF34" s="1524"/>
      <c r="AG34" s="1524"/>
      <c r="AH34" s="1524"/>
      <c r="AI34" s="1524"/>
      <c r="AJ34" s="1524"/>
      <c r="AK34" s="1524"/>
      <c r="AL34" s="1524"/>
      <c r="AM34" s="1524"/>
      <c r="AN34" s="1524"/>
      <c r="AO34" s="1524"/>
      <c r="AP34" s="1524"/>
      <c r="AQ34" s="1524"/>
      <c r="AR34" s="1524"/>
      <c r="AS34" s="1524"/>
      <c r="AT34" s="1524"/>
      <c r="AU34" s="1524"/>
      <c r="AV34" s="1524"/>
      <c r="AW34" s="1524"/>
      <c r="AX34" s="1524"/>
      <c r="AY34" s="1524"/>
      <c r="AZ34" s="1524"/>
      <c r="BA34" s="1524"/>
      <c r="BB34" s="1524"/>
      <c r="BC34" s="1524"/>
      <c r="BD34" s="1524"/>
      <c r="BE34" s="1524"/>
      <c r="BF34" s="1524"/>
      <c r="BG34" s="1524"/>
      <c r="BH34" s="1524"/>
      <c r="BI34" s="1524"/>
      <c r="BJ34" s="1524"/>
      <c r="BK34" s="1525"/>
      <c r="BL34" s="1525"/>
      <c r="BM34" s="1524"/>
      <c r="BN34" s="1524"/>
      <c r="BO34" s="1524"/>
      <c r="BP34" s="1524"/>
      <c r="BQ34" s="853"/>
      <c r="BR34" s="853"/>
      <c r="BS34" s="853"/>
      <c r="BT34" s="853"/>
      <c r="BU34" s="854"/>
    </row>
    <row r="35" spans="1:73" ht="131.25" customHeight="1" x14ac:dyDescent="0.25">
      <c r="A35" s="1349"/>
      <c r="B35" s="1319"/>
      <c r="C35" s="1327"/>
      <c r="D35" s="1319"/>
      <c r="F35" s="1318"/>
      <c r="G35" s="1332">
        <v>3602018</v>
      </c>
      <c r="H35" s="1330" t="s">
        <v>1937</v>
      </c>
      <c r="I35" s="1332">
        <v>3602018</v>
      </c>
      <c r="J35" s="1330" t="s">
        <v>1937</v>
      </c>
      <c r="K35" s="1526" t="s">
        <v>1938</v>
      </c>
      <c r="L35" s="1351" t="s">
        <v>1939</v>
      </c>
      <c r="M35" s="1526" t="s">
        <v>1938</v>
      </c>
      <c r="N35" s="1351" t="s">
        <v>1939</v>
      </c>
      <c r="O35" s="723">
        <v>3</v>
      </c>
      <c r="P35" s="723">
        <v>0</v>
      </c>
      <c r="Q35" s="2273" t="s">
        <v>1940</v>
      </c>
      <c r="R35" s="3246" t="s">
        <v>1941</v>
      </c>
      <c r="S35" s="1527">
        <f>X35/T35</f>
        <v>0.50526315789473686</v>
      </c>
      <c r="T35" s="3503">
        <f>SUM(X35:X44)</f>
        <v>237500000</v>
      </c>
      <c r="U35" s="2973" t="s">
        <v>1942</v>
      </c>
      <c r="V35" s="1336" t="s">
        <v>1943</v>
      </c>
      <c r="W35" s="1336" t="s">
        <v>1944</v>
      </c>
      <c r="X35" s="1491">
        <v>120000000</v>
      </c>
      <c r="Y35" s="1491">
        <v>0</v>
      </c>
      <c r="Z35" s="1491">
        <v>0</v>
      </c>
      <c r="AA35" s="1492" t="s">
        <v>1945</v>
      </c>
      <c r="AB35" s="1493">
        <v>20</v>
      </c>
      <c r="AC35" s="1332" t="s">
        <v>187</v>
      </c>
      <c r="AD35" s="2265">
        <v>2725</v>
      </c>
      <c r="AE35" s="2265">
        <v>402</v>
      </c>
      <c r="AF35" s="2265">
        <v>2620</v>
      </c>
      <c r="AG35" s="2265">
        <v>365</v>
      </c>
      <c r="AH35" s="2265"/>
      <c r="AI35" s="2265"/>
      <c r="AJ35" s="2265"/>
      <c r="AK35" s="2265"/>
      <c r="AL35" s="2265">
        <f>+AD35+AF35</f>
        <v>5345</v>
      </c>
      <c r="AM35" s="2265">
        <v>767</v>
      </c>
      <c r="AN35" s="2265"/>
      <c r="AO35" s="2265"/>
      <c r="AP35" s="2265"/>
      <c r="AQ35" s="2265"/>
      <c r="AR35" s="2265"/>
      <c r="AS35" s="2265"/>
      <c r="AT35" s="2265"/>
      <c r="AU35" s="2265"/>
      <c r="AV35" s="2265"/>
      <c r="AW35" s="2265"/>
      <c r="AX35" s="2265"/>
      <c r="AY35" s="2265"/>
      <c r="AZ35" s="2265"/>
      <c r="BA35" s="2265"/>
      <c r="BB35" s="2265"/>
      <c r="BC35" s="2265"/>
      <c r="BD35" s="2265"/>
      <c r="BE35" s="2265"/>
      <c r="BF35" s="2265"/>
      <c r="BG35" s="2265"/>
      <c r="BH35" s="2265">
        <f>+AD35+AF35</f>
        <v>5345</v>
      </c>
      <c r="BI35" s="2265">
        <f>+AE35+AG35</f>
        <v>767</v>
      </c>
      <c r="BJ35" s="2265">
        <v>4</v>
      </c>
      <c r="BK35" s="3497">
        <f>SUM(Y35:Y44)</f>
        <v>42880000</v>
      </c>
      <c r="BL35" s="3497">
        <f>SUM(Z35:Z44)</f>
        <v>36695000</v>
      </c>
      <c r="BM35" s="3499">
        <f>BL35/BK35</f>
        <v>0.85576026119402981</v>
      </c>
      <c r="BN35" s="2265">
        <v>20</v>
      </c>
      <c r="BO35" s="2265" t="s">
        <v>1854</v>
      </c>
      <c r="BP35" s="3493" t="s">
        <v>1946</v>
      </c>
      <c r="BQ35" s="3496">
        <v>44232</v>
      </c>
      <c r="BR35" s="3496">
        <v>44265</v>
      </c>
      <c r="BS35" s="3496">
        <v>44540</v>
      </c>
      <c r="BT35" s="3487">
        <v>44540</v>
      </c>
      <c r="BU35" s="3490" t="s">
        <v>1881</v>
      </c>
    </row>
    <row r="36" spans="1:73" ht="99" customHeight="1" x14ac:dyDescent="0.25">
      <c r="A36" s="1349"/>
      <c r="B36" s="1319"/>
      <c r="C36" s="1327"/>
      <c r="D36" s="1319"/>
      <c r="G36" s="3148">
        <v>3602032</v>
      </c>
      <c r="H36" s="2397" t="s">
        <v>1947</v>
      </c>
      <c r="I36" s="3148">
        <v>3602032</v>
      </c>
      <c r="J36" s="2397" t="s">
        <v>1947</v>
      </c>
      <c r="K36" s="3486" t="s">
        <v>1948</v>
      </c>
      <c r="L36" s="2469" t="s">
        <v>1949</v>
      </c>
      <c r="M36" s="3486" t="s">
        <v>1948</v>
      </c>
      <c r="N36" s="2469" t="s">
        <v>1949</v>
      </c>
      <c r="O36" s="3251">
        <v>14</v>
      </c>
      <c r="P36" s="2259">
        <v>14</v>
      </c>
      <c r="Q36" s="2274"/>
      <c r="R36" s="3246"/>
      <c r="S36" s="2443">
        <f>SUM(X36:X37)/T35</f>
        <v>0.25263157894736843</v>
      </c>
      <c r="T36" s="3503"/>
      <c r="U36" s="2973"/>
      <c r="V36" s="2285" t="s">
        <v>1950</v>
      </c>
      <c r="W36" s="1321" t="s">
        <v>1951</v>
      </c>
      <c r="X36" s="1494">
        <v>30000000</v>
      </c>
      <c r="Y36" s="1494">
        <v>18140000</v>
      </c>
      <c r="Z36" s="1494">
        <v>15255000</v>
      </c>
      <c r="AA36" s="1492" t="s">
        <v>1952</v>
      </c>
      <c r="AB36" s="1411">
        <v>20</v>
      </c>
      <c r="AC36" s="1322" t="s">
        <v>187</v>
      </c>
      <c r="AD36" s="2265"/>
      <c r="AE36" s="2265"/>
      <c r="AF36" s="2265"/>
      <c r="AG36" s="2265"/>
      <c r="AH36" s="2265"/>
      <c r="AI36" s="2265"/>
      <c r="AJ36" s="2265"/>
      <c r="AK36" s="2265"/>
      <c r="AL36" s="2265"/>
      <c r="AM36" s="2265"/>
      <c r="AN36" s="2265"/>
      <c r="AO36" s="2265"/>
      <c r="AP36" s="2265"/>
      <c r="AQ36" s="2265"/>
      <c r="AR36" s="2265"/>
      <c r="AS36" s="2265"/>
      <c r="AT36" s="2265"/>
      <c r="AU36" s="2265"/>
      <c r="AV36" s="2265"/>
      <c r="AW36" s="2265"/>
      <c r="AX36" s="2265"/>
      <c r="AY36" s="2265"/>
      <c r="AZ36" s="2265"/>
      <c r="BA36" s="2265"/>
      <c r="BB36" s="2265"/>
      <c r="BC36" s="2265"/>
      <c r="BD36" s="2265"/>
      <c r="BE36" s="2265"/>
      <c r="BF36" s="2265"/>
      <c r="BG36" s="2265"/>
      <c r="BH36" s="2265"/>
      <c r="BI36" s="2265"/>
      <c r="BJ36" s="2265"/>
      <c r="BK36" s="3497"/>
      <c r="BL36" s="3497"/>
      <c r="BM36" s="3499"/>
      <c r="BN36" s="2265"/>
      <c r="BO36" s="2265"/>
      <c r="BP36" s="3494"/>
      <c r="BQ36" s="2687"/>
      <c r="BR36" s="2687"/>
      <c r="BS36" s="2687"/>
      <c r="BT36" s="3488"/>
      <c r="BU36" s="3491"/>
    </row>
    <row r="37" spans="1:73" ht="75" customHeight="1" x14ac:dyDescent="0.25">
      <c r="A37" s="1349"/>
      <c r="B37" s="1319"/>
      <c r="C37" s="1327"/>
      <c r="D37" s="1319"/>
      <c r="G37" s="3148"/>
      <c r="H37" s="2397"/>
      <c r="I37" s="3148"/>
      <c r="J37" s="2397"/>
      <c r="K37" s="3486"/>
      <c r="L37" s="2469"/>
      <c r="M37" s="3486"/>
      <c r="N37" s="2469"/>
      <c r="O37" s="3251"/>
      <c r="P37" s="3338"/>
      <c r="Q37" s="2274"/>
      <c r="R37" s="3246"/>
      <c r="S37" s="3485"/>
      <c r="T37" s="3503"/>
      <c r="U37" s="2973"/>
      <c r="V37" s="2285"/>
      <c r="W37" s="1321" t="s">
        <v>1953</v>
      </c>
      <c r="X37" s="1494">
        <v>30000000</v>
      </c>
      <c r="Y37" s="1494">
        <v>24740000</v>
      </c>
      <c r="Z37" s="1494">
        <v>21440000</v>
      </c>
      <c r="AA37" s="1492" t="s">
        <v>1954</v>
      </c>
      <c r="AB37" s="1411">
        <v>20</v>
      </c>
      <c r="AC37" s="1322" t="s">
        <v>187</v>
      </c>
      <c r="AD37" s="2265"/>
      <c r="AE37" s="2265"/>
      <c r="AF37" s="2265"/>
      <c r="AG37" s="2265"/>
      <c r="AH37" s="2265"/>
      <c r="AI37" s="2265"/>
      <c r="AJ37" s="2265"/>
      <c r="AK37" s="2265"/>
      <c r="AL37" s="2265"/>
      <c r="AM37" s="2265"/>
      <c r="AN37" s="2265"/>
      <c r="AO37" s="2265"/>
      <c r="AP37" s="2265"/>
      <c r="AQ37" s="2265"/>
      <c r="AR37" s="2265"/>
      <c r="AS37" s="2265"/>
      <c r="AT37" s="2265"/>
      <c r="AU37" s="2265"/>
      <c r="AV37" s="2265"/>
      <c r="AW37" s="2265"/>
      <c r="AX37" s="2265"/>
      <c r="AY37" s="2265"/>
      <c r="AZ37" s="2265"/>
      <c r="BA37" s="2265"/>
      <c r="BB37" s="2265"/>
      <c r="BC37" s="2265"/>
      <c r="BD37" s="2265"/>
      <c r="BE37" s="2265"/>
      <c r="BF37" s="2265"/>
      <c r="BG37" s="2265"/>
      <c r="BH37" s="2265"/>
      <c r="BI37" s="2265"/>
      <c r="BJ37" s="2265"/>
      <c r="BK37" s="3497"/>
      <c r="BL37" s="3497"/>
      <c r="BM37" s="3499"/>
      <c r="BN37" s="2265"/>
      <c r="BO37" s="2265"/>
      <c r="BP37" s="3494"/>
      <c r="BQ37" s="2687"/>
      <c r="BR37" s="2687"/>
      <c r="BS37" s="2687"/>
      <c r="BT37" s="3488"/>
      <c r="BU37" s="3491"/>
    </row>
    <row r="38" spans="1:73" ht="75.75" customHeight="1" x14ac:dyDescent="0.25">
      <c r="A38" s="1349"/>
      <c r="B38" s="1319"/>
      <c r="C38" s="1327"/>
      <c r="D38" s="1319"/>
      <c r="G38" s="3148">
        <v>3602029</v>
      </c>
      <c r="H38" s="2397" t="s">
        <v>1955</v>
      </c>
      <c r="I38" s="3148">
        <v>3602029</v>
      </c>
      <c r="J38" s="2397" t="s">
        <v>1955</v>
      </c>
      <c r="K38" s="3486">
        <v>360202904</v>
      </c>
      <c r="L38" s="2469" t="s">
        <v>1956</v>
      </c>
      <c r="M38" s="3486">
        <v>360202904</v>
      </c>
      <c r="N38" s="2469" t="s">
        <v>1956</v>
      </c>
      <c r="O38" s="2259">
        <v>12</v>
      </c>
      <c r="P38" s="2259">
        <v>10</v>
      </c>
      <c r="Q38" s="2274"/>
      <c r="R38" s="3246"/>
      <c r="S38" s="2443">
        <f>SUM(X38:X40)/T35</f>
        <v>9.4736842105263161E-2</v>
      </c>
      <c r="T38" s="3503"/>
      <c r="U38" s="2973"/>
      <c r="V38" s="2295" t="s">
        <v>1957</v>
      </c>
      <c r="W38" s="1321" t="s">
        <v>1958</v>
      </c>
      <c r="X38" s="1494">
        <v>20000000</v>
      </c>
      <c r="Y38" s="1494">
        <v>0</v>
      </c>
      <c r="Z38" s="1494">
        <v>0</v>
      </c>
      <c r="AA38" s="1492" t="s">
        <v>1959</v>
      </c>
      <c r="AB38" s="1411">
        <v>20</v>
      </c>
      <c r="AC38" s="1322" t="s">
        <v>187</v>
      </c>
      <c r="AD38" s="2265"/>
      <c r="AE38" s="2265"/>
      <c r="AF38" s="2265"/>
      <c r="AG38" s="2265"/>
      <c r="AH38" s="2265"/>
      <c r="AI38" s="2265"/>
      <c r="AJ38" s="2265"/>
      <c r="AK38" s="2265"/>
      <c r="AL38" s="2265"/>
      <c r="AM38" s="2265"/>
      <c r="AN38" s="2265"/>
      <c r="AO38" s="2265"/>
      <c r="AP38" s="2265"/>
      <c r="AQ38" s="2265"/>
      <c r="AR38" s="2265"/>
      <c r="AS38" s="2265"/>
      <c r="AT38" s="2265"/>
      <c r="AU38" s="2265"/>
      <c r="AV38" s="2265"/>
      <c r="AW38" s="2265"/>
      <c r="AX38" s="2265"/>
      <c r="AY38" s="2265"/>
      <c r="AZ38" s="2265"/>
      <c r="BA38" s="2265"/>
      <c r="BB38" s="2265"/>
      <c r="BC38" s="2265"/>
      <c r="BD38" s="2265"/>
      <c r="BE38" s="2265"/>
      <c r="BF38" s="2265"/>
      <c r="BG38" s="2265"/>
      <c r="BH38" s="2265"/>
      <c r="BI38" s="2265"/>
      <c r="BJ38" s="2265"/>
      <c r="BK38" s="3497"/>
      <c r="BL38" s="3497"/>
      <c r="BM38" s="3499"/>
      <c r="BN38" s="2265"/>
      <c r="BO38" s="2265"/>
      <c r="BP38" s="3494"/>
      <c r="BQ38" s="2687"/>
      <c r="BR38" s="2687"/>
      <c r="BS38" s="2687"/>
      <c r="BT38" s="3488"/>
      <c r="BU38" s="3491"/>
    </row>
    <row r="39" spans="1:73" ht="72.75" customHeight="1" x14ac:dyDescent="0.25">
      <c r="A39" s="1349"/>
      <c r="B39" s="1319"/>
      <c r="C39" s="1327"/>
      <c r="D39" s="1319"/>
      <c r="G39" s="3148"/>
      <c r="H39" s="2397"/>
      <c r="I39" s="3148"/>
      <c r="J39" s="2397"/>
      <c r="K39" s="3486"/>
      <c r="L39" s="2469"/>
      <c r="M39" s="3486"/>
      <c r="N39" s="2469"/>
      <c r="O39" s="2260"/>
      <c r="P39" s="2260"/>
      <c r="Q39" s="2274"/>
      <c r="R39" s="3246"/>
      <c r="S39" s="2444"/>
      <c r="T39" s="3503"/>
      <c r="U39" s="2973"/>
      <c r="V39" s="2699"/>
      <c r="W39" s="3483" t="s">
        <v>1960</v>
      </c>
      <c r="X39" s="1494">
        <f>2500000-1500000</f>
        <v>1000000</v>
      </c>
      <c r="Y39" s="1494">
        <v>0</v>
      </c>
      <c r="Z39" s="1494">
        <v>0</v>
      </c>
      <c r="AA39" s="1492" t="s">
        <v>1959</v>
      </c>
      <c r="AB39" s="1411">
        <v>20</v>
      </c>
      <c r="AC39" s="1322" t="s">
        <v>187</v>
      </c>
      <c r="AD39" s="2265"/>
      <c r="AE39" s="2265"/>
      <c r="AF39" s="2265"/>
      <c r="AG39" s="2265"/>
      <c r="AH39" s="2265"/>
      <c r="AI39" s="2265"/>
      <c r="AJ39" s="2265"/>
      <c r="AK39" s="2265"/>
      <c r="AL39" s="2265"/>
      <c r="AM39" s="2265"/>
      <c r="AN39" s="2265"/>
      <c r="AO39" s="2265"/>
      <c r="AP39" s="2265"/>
      <c r="AQ39" s="2265"/>
      <c r="AR39" s="2265"/>
      <c r="AS39" s="2265"/>
      <c r="AT39" s="2265"/>
      <c r="AU39" s="2265"/>
      <c r="AV39" s="2265"/>
      <c r="AW39" s="2265"/>
      <c r="AX39" s="2265"/>
      <c r="AY39" s="2265"/>
      <c r="AZ39" s="2265"/>
      <c r="BA39" s="2265"/>
      <c r="BB39" s="2265"/>
      <c r="BC39" s="2265"/>
      <c r="BD39" s="2265"/>
      <c r="BE39" s="2265"/>
      <c r="BF39" s="2265"/>
      <c r="BG39" s="2265"/>
      <c r="BH39" s="2265"/>
      <c r="BI39" s="2265"/>
      <c r="BJ39" s="2265"/>
      <c r="BK39" s="3497"/>
      <c r="BL39" s="3497"/>
      <c r="BM39" s="3499"/>
      <c r="BN39" s="2265"/>
      <c r="BO39" s="2265"/>
      <c r="BP39" s="3494"/>
      <c r="BQ39" s="2687"/>
      <c r="BR39" s="2687"/>
      <c r="BS39" s="2687"/>
      <c r="BT39" s="3488"/>
      <c r="BU39" s="3491"/>
    </row>
    <row r="40" spans="1:73" ht="72.75" customHeight="1" x14ac:dyDescent="0.25">
      <c r="A40" s="1349"/>
      <c r="B40" s="1319"/>
      <c r="C40" s="1327"/>
      <c r="D40" s="1319"/>
      <c r="G40" s="3148"/>
      <c r="H40" s="2397"/>
      <c r="I40" s="3148"/>
      <c r="J40" s="2397"/>
      <c r="K40" s="3486"/>
      <c r="L40" s="2469"/>
      <c r="M40" s="3486"/>
      <c r="N40" s="2469"/>
      <c r="O40" s="3338"/>
      <c r="P40" s="3338"/>
      <c r="Q40" s="2274"/>
      <c r="R40" s="3246"/>
      <c r="S40" s="3485"/>
      <c r="T40" s="3503"/>
      <c r="U40" s="2973"/>
      <c r="V40" s="2700"/>
      <c r="W40" s="3484"/>
      <c r="X40" s="1494">
        <v>1500000</v>
      </c>
      <c r="Y40" s="1494">
        <v>0</v>
      </c>
      <c r="Z40" s="1494">
        <v>0</v>
      </c>
      <c r="AA40" s="1492" t="s">
        <v>1961</v>
      </c>
      <c r="AB40" s="1411">
        <v>20</v>
      </c>
      <c r="AC40" s="1322" t="s">
        <v>187</v>
      </c>
      <c r="AD40" s="2265"/>
      <c r="AE40" s="2265"/>
      <c r="AF40" s="2265"/>
      <c r="AG40" s="2265"/>
      <c r="AH40" s="2265"/>
      <c r="AI40" s="2265"/>
      <c r="AJ40" s="2265"/>
      <c r="AK40" s="2265"/>
      <c r="AL40" s="2265"/>
      <c r="AM40" s="2265"/>
      <c r="AN40" s="2265"/>
      <c r="AO40" s="2265"/>
      <c r="AP40" s="2265"/>
      <c r="AQ40" s="2265"/>
      <c r="AR40" s="2265"/>
      <c r="AS40" s="2265"/>
      <c r="AT40" s="2265"/>
      <c r="AU40" s="2265"/>
      <c r="AV40" s="2265"/>
      <c r="AW40" s="2265"/>
      <c r="AX40" s="2265"/>
      <c r="AY40" s="2265"/>
      <c r="AZ40" s="2265"/>
      <c r="BA40" s="2265"/>
      <c r="BB40" s="2265"/>
      <c r="BC40" s="2265"/>
      <c r="BD40" s="2265"/>
      <c r="BE40" s="2265"/>
      <c r="BF40" s="2265"/>
      <c r="BG40" s="2265"/>
      <c r="BH40" s="2265"/>
      <c r="BI40" s="2265"/>
      <c r="BJ40" s="2265"/>
      <c r="BK40" s="3497"/>
      <c r="BL40" s="3497"/>
      <c r="BM40" s="3499"/>
      <c r="BN40" s="2265"/>
      <c r="BO40" s="2265"/>
      <c r="BP40" s="3494"/>
      <c r="BQ40" s="2687"/>
      <c r="BR40" s="2687"/>
      <c r="BS40" s="2687"/>
      <c r="BT40" s="3488"/>
      <c r="BU40" s="3491"/>
    </row>
    <row r="41" spans="1:73" ht="79.5" customHeight="1" x14ac:dyDescent="0.25">
      <c r="A41" s="1349"/>
      <c r="B41" s="1319"/>
      <c r="C41" s="1327"/>
      <c r="D41" s="1319"/>
      <c r="G41" s="3505">
        <v>3602030</v>
      </c>
      <c r="H41" s="3109" t="s">
        <v>1962</v>
      </c>
      <c r="I41" s="3505">
        <v>3602030</v>
      </c>
      <c r="J41" s="3109" t="s">
        <v>1962</v>
      </c>
      <c r="K41" s="3507" t="s">
        <v>1963</v>
      </c>
      <c r="L41" s="3481" t="s">
        <v>1964</v>
      </c>
      <c r="M41" s="3507" t="s">
        <v>1963</v>
      </c>
      <c r="N41" s="3481" t="s">
        <v>1964</v>
      </c>
      <c r="O41" s="3251">
        <v>3</v>
      </c>
      <c r="P41" s="2259">
        <v>1</v>
      </c>
      <c r="Q41" s="2274"/>
      <c r="R41" s="3246"/>
      <c r="S41" s="2443">
        <f>SUM(X41:X44)/T35</f>
        <v>0.14736842105263157</v>
      </c>
      <c r="T41" s="3503"/>
      <c r="U41" s="2973"/>
      <c r="V41" s="2285" t="s">
        <v>1965</v>
      </c>
      <c r="W41" s="1321" t="s">
        <v>1966</v>
      </c>
      <c r="X41" s="1494">
        <v>22500000</v>
      </c>
      <c r="Y41" s="1494">
        <v>0</v>
      </c>
      <c r="Z41" s="1494">
        <v>0</v>
      </c>
      <c r="AA41" s="1492" t="s">
        <v>1967</v>
      </c>
      <c r="AB41" s="1411">
        <v>20</v>
      </c>
      <c r="AC41" s="1322" t="s">
        <v>187</v>
      </c>
      <c r="AD41" s="2265"/>
      <c r="AE41" s="2265"/>
      <c r="AF41" s="2265"/>
      <c r="AG41" s="2265"/>
      <c r="AH41" s="2265"/>
      <c r="AI41" s="2265"/>
      <c r="AJ41" s="2265"/>
      <c r="AK41" s="2265"/>
      <c r="AL41" s="2265"/>
      <c r="AM41" s="2265"/>
      <c r="AN41" s="2265"/>
      <c r="AO41" s="2265"/>
      <c r="AP41" s="2265"/>
      <c r="AQ41" s="2265"/>
      <c r="AR41" s="2265"/>
      <c r="AS41" s="2265"/>
      <c r="AT41" s="2265"/>
      <c r="AU41" s="2265"/>
      <c r="AV41" s="2265"/>
      <c r="AW41" s="2265"/>
      <c r="AX41" s="2265"/>
      <c r="AY41" s="2265"/>
      <c r="AZ41" s="2265"/>
      <c r="BA41" s="2265"/>
      <c r="BB41" s="2265"/>
      <c r="BC41" s="2265"/>
      <c r="BD41" s="2265"/>
      <c r="BE41" s="2265"/>
      <c r="BF41" s="2265"/>
      <c r="BG41" s="2265"/>
      <c r="BH41" s="2265"/>
      <c r="BI41" s="2265"/>
      <c r="BJ41" s="2265"/>
      <c r="BK41" s="3497"/>
      <c r="BL41" s="3497"/>
      <c r="BM41" s="3499"/>
      <c r="BN41" s="2265"/>
      <c r="BO41" s="2265"/>
      <c r="BP41" s="3494"/>
      <c r="BQ41" s="2687"/>
      <c r="BR41" s="2687"/>
      <c r="BS41" s="2687"/>
      <c r="BT41" s="3488"/>
      <c r="BU41" s="3491"/>
    </row>
    <row r="42" spans="1:73" ht="70.5" customHeight="1" x14ac:dyDescent="0.25">
      <c r="A42" s="1349"/>
      <c r="B42" s="1319"/>
      <c r="C42" s="1327"/>
      <c r="D42" s="1319"/>
      <c r="G42" s="3107"/>
      <c r="H42" s="3109"/>
      <c r="I42" s="3107"/>
      <c r="J42" s="3109"/>
      <c r="K42" s="3507"/>
      <c r="L42" s="3481"/>
      <c r="M42" s="3507"/>
      <c r="N42" s="3481"/>
      <c r="O42" s="3251"/>
      <c r="P42" s="2260"/>
      <c r="Q42" s="2274"/>
      <c r="R42" s="3246"/>
      <c r="S42" s="2444"/>
      <c r="T42" s="3503"/>
      <c r="U42" s="2973"/>
      <c r="V42" s="2285"/>
      <c r="W42" s="1321" t="s">
        <v>1968</v>
      </c>
      <c r="X42" s="1494">
        <v>10000000</v>
      </c>
      <c r="Y42" s="1494">
        <v>0</v>
      </c>
      <c r="Z42" s="1494">
        <v>0</v>
      </c>
      <c r="AA42" s="1492" t="s">
        <v>1967</v>
      </c>
      <c r="AB42" s="1411">
        <v>20</v>
      </c>
      <c r="AC42" s="1322" t="s">
        <v>187</v>
      </c>
      <c r="AD42" s="2265"/>
      <c r="AE42" s="2265"/>
      <c r="AF42" s="2265"/>
      <c r="AG42" s="2265"/>
      <c r="AH42" s="2265"/>
      <c r="AI42" s="2265"/>
      <c r="AJ42" s="2265"/>
      <c r="AK42" s="2265"/>
      <c r="AL42" s="2265"/>
      <c r="AM42" s="2265"/>
      <c r="AN42" s="2265"/>
      <c r="AO42" s="2265"/>
      <c r="AP42" s="2265"/>
      <c r="AQ42" s="2265"/>
      <c r="AR42" s="2265"/>
      <c r="AS42" s="2265"/>
      <c r="AT42" s="2265"/>
      <c r="AU42" s="2265"/>
      <c r="AV42" s="2265"/>
      <c r="AW42" s="2265"/>
      <c r="AX42" s="2265"/>
      <c r="AY42" s="2265"/>
      <c r="AZ42" s="2265"/>
      <c r="BA42" s="2265"/>
      <c r="BB42" s="2265"/>
      <c r="BC42" s="2265"/>
      <c r="BD42" s="2265"/>
      <c r="BE42" s="2265"/>
      <c r="BF42" s="2265"/>
      <c r="BG42" s="2265"/>
      <c r="BH42" s="2265"/>
      <c r="BI42" s="2265"/>
      <c r="BJ42" s="2265"/>
      <c r="BK42" s="3497"/>
      <c r="BL42" s="3497"/>
      <c r="BM42" s="3499"/>
      <c r="BN42" s="2265"/>
      <c r="BO42" s="2265"/>
      <c r="BP42" s="3494"/>
      <c r="BQ42" s="2687"/>
      <c r="BR42" s="2687"/>
      <c r="BS42" s="2687"/>
      <c r="BT42" s="3488"/>
      <c r="BU42" s="3491"/>
    </row>
    <row r="43" spans="1:73" ht="45" customHeight="1" x14ac:dyDescent="0.25">
      <c r="A43" s="1349"/>
      <c r="B43" s="1319"/>
      <c r="C43" s="1327"/>
      <c r="D43" s="1319"/>
      <c r="G43" s="3506"/>
      <c r="H43" s="3109"/>
      <c r="I43" s="3506"/>
      <c r="J43" s="3109"/>
      <c r="K43" s="3507"/>
      <c r="L43" s="3481"/>
      <c r="M43" s="3507"/>
      <c r="N43" s="3481"/>
      <c r="O43" s="2259"/>
      <c r="P43" s="2260"/>
      <c r="Q43" s="2275"/>
      <c r="R43" s="3246"/>
      <c r="S43" s="2444"/>
      <c r="T43" s="3503"/>
      <c r="U43" s="2973"/>
      <c r="V43" s="2285"/>
      <c r="W43" s="3483" t="s">
        <v>1969</v>
      </c>
      <c r="X43" s="1509">
        <f>2500000-1500000</f>
        <v>1000000</v>
      </c>
      <c r="Y43" s="1509">
        <v>0</v>
      </c>
      <c r="Z43" s="1509">
        <v>0</v>
      </c>
      <c r="AA43" s="1492" t="s">
        <v>1967</v>
      </c>
      <c r="AB43" s="1411">
        <v>20</v>
      </c>
      <c r="AC43" s="1322" t="s">
        <v>187</v>
      </c>
      <c r="AD43" s="2265"/>
      <c r="AE43" s="2265"/>
      <c r="AF43" s="2265"/>
      <c r="AG43" s="2265"/>
      <c r="AH43" s="2265"/>
      <c r="AI43" s="2265"/>
      <c r="AJ43" s="2265"/>
      <c r="AK43" s="2265"/>
      <c r="AL43" s="2265"/>
      <c r="AM43" s="2265"/>
      <c r="AN43" s="2265"/>
      <c r="AO43" s="2265"/>
      <c r="AP43" s="2265"/>
      <c r="AQ43" s="2265"/>
      <c r="AR43" s="2265"/>
      <c r="AS43" s="2265"/>
      <c r="AT43" s="2265"/>
      <c r="AU43" s="2265"/>
      <c r="AV43" s="2265"/>
      <c r="AW43" s="2265"/>
      <c r="AX43" s="2265"/>
      <c r="AY43" s="2265"/>
      <c r="AZ43" s="2265"/>
      <c r="BA43" s="2265"/>
      <c r="BB43" s="2265"/>
      <c r="BC43" s="2265"/>
      <c r="BD43" s="2265"/>
      <c r="BE43" s="2265"/>
      <c r="BF43" s="2265"/>
      <c r="BG43" s="2265"/>
      <c r="BH43" s="2265"/>
      <c r="BI43" s="2265"/>
      <c r="BJ43" s="2265"/>
      <c r="BK43" s="3497"/>
      <c r="BL43" s="3497"/>
      <c r="BM43" s="3499"/>
      <c r="BN43" s="2265"/>
      <c r="BO43" s="2265"/>
      <c r="BP43" s="3494"/>
      <c r="BQ43" s="2687"/>
      <c r="BR43" s="2687"/>
      <c r="BS43" s="2687"/>
      <c r="BT43" s="3488"/>
      <c r="BU43" s="3491"/>
    </row>
    <row r="44" spans="1:73" ht="54.75" customHeight="1" x14ac:dyDescent="0.25">
      <c r="A44" s="1350"/>
      <c r="B44" s="1340"/>
      <c r="C44" s="1328"/>
      <c r="D44" s="1340"/>
      <c r="G44" s="3506"/>
      <c r="H44" s="3109"/>
      <c r="I44" s="3506"/>
      <c r="J44" s="3109"/>
      <c r="K44" s="3507"/>
      <c r="L44" s="3481"/>
      <c r="M44" s="3507"/>
      <c r="N44" s="3481"/>
      <c r="O44" s="2259"/>
      <c r="P44" s="3482"/>
      <c r="Q44" s="2275"/>
      <c r="R44" s="3246"/>
      <c r="S44" s="2444"/>
      <c r="T44" s="3504"/>
      <c r="U44" s="2974"/>
      <c r="V44" s="2285"/>
      <c r="W44" s="3484"/>
      <c r="X44" s="1509">
        <v>1500000</v>
      </c>
      <c r="Y44" s="1509">
        <v>0</v>
      </c>
      <c r="Z44" s="1509">
        <v>0</v>
      </c>
      <c r="AA44" s="1492" t="s">
        <v>1970</v>
      </c>
      <c r="AB44" s="1411">
        <v>20</v>
      </c>
      <c r="AC44" s="1322" t="s">
        <v>187</v>
      </c>
      <c r="AD44" s="2266"/>
      <c r="AE44" s="2266"/>
      <c r="AF44" s="2266"/>
      <c r="AG44" s="2266"/>
      <c r="AH44" s="2266"/>
      <c r="AI44" s="2266"/>
      <c r="AJ44" s="2266"/>
      <c r="AK44" s="2266"/>
      <c r="AL44" s="2266"/>
      <c r="AM44" s="2266"/>
      <c r="AN44" s="2266"/>
      <c r="AO44" s="2266"/>
      <c r="AP44" s="2266"/>
      <c r="AQ44" s="2266"/>
      <c r="AR44" s="2266"/>
      <c r="AS44" s="2266"/>
      <c r="AT44" s="2266"/>
      <c r="AU44" s="2266"/>
      <c r="AV44" s="2266"/>
      <c r="AW44" s="2266"/>
      <c r="AX44" s="2266"/>
      <c r="AY44" s="2266"/>
      <c r="AZ44" s="2266"/>
      <c r="BA44" s="2266"/>
      <c r="BB44" s="2266"/>
      <c r="BC44" s="2266"/>
      <c r="BD44" s="2266"/>
      <c r="BE44" s="2266"/>
      <c r="BF44" s="2266"/>
      <c r="BG44" s="2266"/>
      <c r="BH44" s="2266"/>
      <c r="BI44" s="2266"/>
      <c r="BJ44" s="2266"/>
      <c r="BK44" s="3498"/>
      <c r="BL44" s="3498"/>
      <c r="BM44" s="3500"/>
      <c r="BN44" s="2266"/>
      <c r="BO44" s="2266"/>
      <c r="BP44" s="3495"/>
      <c r="BQ44" s="2688"/>
      <c r="BR44" s="2688"/>
      <c r="BS44" s="2688"/>
      <c r="BT44" s="3489"/>
      <c r="BU44" s="3492"/>
    </row>
    <row r="45" spans="1:73" ht="27" customHeight="1" x14ac:dyDescent="0.25">
      <c r="A45" s="1528"/>
      <c r="B45" s="1420"/>
      <c r="C45" s="1420"/>
      <c r="D45" s="1420"/>
      <c r="E45" s="1420"/>
      <c r="F45" s="1420"/>
      <c r="G45" s="1420"/>
      <c r="H45" s="1529"/>
      <c r="I45" s="1420"/>
      <c r="J45" s="1529"/>
      <c r="K45" s="1420"/>
      <c r="L45" s="1529"/>
      <c r="M45" s="1420"/>
      <c r="N45" s="1529"/>
      <c r="O45" s="1420"/>
      <c r="P45" s="1420"/>
      <c r="Q45" s="1420"/>
      <c r="R45" s="1529"/>
      <c r="S45" s="1530"/>
      <c r="T45" s="1531">
        <f>SUM(T10:T44)</f>
        <v>3266587709.6100001</v>
      </c>
      <c r="U45" s="1532"/>
      <c r="V45" s="1533"/>
      <c r="W45" s="1534" t="s">
        <v>1971</v>
      </c>
      <c r="X45" s="1531">
        <f>SUM(X10:X44)</f>
        <v>3266587709.6100001</v>
      </c>
      <c r="Y45" s="1531">
        <f>SUM(Y10:Y44)</f>
        <v>462614999</v>
      </c>
      <c r="Z45" s="1531">
        <f>SUM(Z10:Z44)</f>
        <v>256715000</v>
      </c>
      <c r="AA45" s="1535"/>
      <c r="AB45" s="1429"/>
      <c r="AC45" s="1421"/>
      <c r="AD45" s="1421"/>
      <c r="AE45" s="1421"/>
      <c r="AF45" s="1421"/>
      <c r="AG45" s="1421"/>
      <c r="AH45" s="1421"/>
      <c r="AI45" s="1421"/>
      <c r="AJ45" s="1421"/>
      <c r="AK45" s="1421"/>
      <c r="AL45" s="1421"/>
      <c r="AM45" s="1421"/>
      <c r="AN45" s="1421"/>
      <c r="AO45" s="1421"/>
      <c r="AP45" s="1421"/>
      <c r="AQ45" s="1421"/>
      <c r="AR45" s="1421"/>
      <c r="AS45" s="1421"/>
      <c r="AT45" s="1421"/>
      <c r="AU45" s="1421"/>
      <c r="AV45" s="1421"/>
      <c r="AW45" s="1421"/>
      <c r="AX45" s="1421"/>
      <c r="AY45" s="1421"/>
      <c r="AZ45" s="1421"/>
      <c r="BA45" s="1421"/>
      <c r="BB45" s="1421"/>
      <c r="BC45" s="1421"/>
      <c r="BD45" s="1421"/>
      <c r="BE45" s="1421"/>
      <c r="BF45" s="1421"/>
      <c r="BG45" s="1421"/>
      <c r="BH45" s="1421"/>
      <c r="BI45" s="1421"/>
      <c r="BJ45" s="1421"/>
      <c r="BK45" s="1430">
        <f>SUM(BK13:BK44)</f>
        <v>462614999</v>
      </c>
      <c r="BL45" s="1430">
        <f>SUM(BL13:BL44)</f>
        <v>256715000</v>
      </c>
      <c r="BM45" s="1421"/>
      <c r="BN45" s="1421"/>
      <c r="BO45" s="1421"/>
      <c r="BP45" s="1421"/>
      <c r="BQ45" s="1431"/>
      <c r="BR45" s="1431"/>
      <c r="BS45" s="1431"/>
      <c r="BT45" s="1431"/>
      <c r="BU45" s="1432"/>
    </row>
    <row r="47" spans="1:73" ht="27" customHeight="1" x14ac:dyDescent="0.25">
      <c r="X47" s="1536"/>
      <c r="Y47" s="1536"/>
      <c r="Z47" s="1536"/>
    </row>
    <row r="48" spans="1:73" ht="27" customHeight="1" x14ac:dyDescent="0.25">
      <c r="X48" s="1536"/>
      <c r="Y48" s="1536"/>
      <c r="Z48" s="1536"/>
      <c r="BK48" s="1434"/>
      <c r="BL48" s="1434"/>
    </row>
    <row r="49" spans="63:64" ht="27" customHeight="1" x14ac:dyDescent="0.25">
      <c r="BK49" s="1434"/>
      <c r="BL49" s="1434"/>
    </row>
    <row r="52" spans="63:64" ht="27" customHeight="1" x14ac:dyDescent="0.25">
      <c r="BK52" s="1435"/>
      <c r="BL52" s="1435"/>
    </row>
  </sheetData>
  <sheetProtection algorithmName="SHA-512" hashValue="VfoPuxOFqMP+odCUKM3C+41oDldabWBbBBnUUgNY+PXCu/P3Ow4/PZ9v1XX6QPOychSszzKDD0kB+EnLPmEEHA==" saltValue="QgxwXGppaOb4QxBwYFjiag==" spinCount="100000" sheet="1" objects="1" scenarios="1"/>
  <mergeCells count="407">
    <mergeCell ref="A1:BS4"/>
    <mergeCell ref="A5:O6"/>
    <mergeCell ref="Q5:BU5"/>
    <mergeCell ref="AD6:BI6"/>
    <mergeCell ref="A7:B7"/>
    <mergeCell ref="C7:D7"/>
    <mergeCell ref="E7:F7"/>
    <mergeCell ref="G7:J7"/>
    <mergeCell ref="K7:N7"/>
    <mergeCell ref="O7:X7"/>
    <mergeCell ref="BU7:BU8"/>
    <mergeCell ref="A8:A9"/>
    <mergeCell ref="B8:B9"/>
    <mergeCell ref="C8:C9"/>
    <mergeCell ref="D8:D9"/>
    <mergeCell ref="E8:E9"/>
    <mergeCell ref="F8:F9"/>
    <mergeCell ref="AA7:AC7"/>
    <mergeCell ref="AD7:AG7"/>
    <mergeCell ref="AH7:AO7"/>
    <mergeCell ref="AP7:BA7"/>
    <mergeCell ref="G8:G9"/>
    <mergeCell ref="H8:H9"/>
    <mergeCell ref="I8:I9"/>
    <mergeCell ref="J8:J9"/>
    <mergeCell ref="K8:K9"/>
    <mergeCell ref="L8:L9"/>
    <mergeCell ref="M8:M9"/>
    <mergeCell ref="N8:N9"/>
    <mergeCell ref="O8:P8"/>
    <mergeCell ref="AB8:AB9"/>
    <mergeCell ref="Q8:Q9"/>
    <mergeCell ref="R8:R9"/>
    <mergeCell ref="S8:S9"/>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AF13:AF16"/>
    <mergeCell ref="AG13:AG16"/>
    <mergeCell ref="AH13:AH16"/>
    <mergeCell ref="AI13:AI16"/>
    <mergeCell ref="AJ13:AJ16"/>
    <mergeCell ref="AK13:AK16"/>
    <mergeCell ref="BP8:BP9"/>
    <mergeCell ref="B10:F10"/>
    <mergeCell ref="D11:H11"/>
    <mergeCell ref="F12:Q12"/>
    <mergeCell ref="Q13:Q16"/>
    <mergeCell ref="R13:R16"/>
    <mergeCell ref="T13:T16"/>
    <mergeCell ref="U13:U16"/>
    <mergeCell ref="AD13:AD16"/>
    <mergeCell ref="AE13:AE16"/>
    <mergeCell ref="BF8:BG8"/>
    <mergeCell ref="BJ8:BJ9"/>
    <mergeCell ref="BK8:BK9"/>
    <mergeCell ref="BL8:BL9"/>
    <mergeCell ref="BM8:BM9"/>
    <mergeCell ref="BN8:BO8"/>
    <mergeCell ref="AT8:AU8"/>
    <mergeCell ref="AV8:AW8"/>
    <mergeCell ref="AU13:AU16"/>
    <mergeCell ref="AV13:AV16"/>
    <mergeCell ref="AW13:AW16"/>
    <mergeCell ref="AL13:AL16"/>
    <mergeCell ref="AM13:AM16"/>
    <mergeCell ref="AN13:AN16"/>
    <mergeCell ref="AO13:AO16"/>
    <mergeCell ref="AP13:AP16"/>
    <mergeCell ref="AQ13:AQ16"/>
    <mergeCell ref="BS13:BS16"/>
    <mergeCell ref="BT13:BT16"/>
    <mergeCell ref="BU13:BU16"/>
    <mergeCell ref="BJ13:BJ16"/>
    <mergeCell ref="BK13:BK16"/>
    <mergeCell ref="BL13:BL16"/>
    <mergeCell ref="BM13:BM16"/>
    <mergeCell ref="BN13:BN16"/>
    <mergeCell ref="BO13:BO16"/>
    <mergeCell ref="E14:E16"/>
    <mergeCell ref="F14:F16"/>
    <mergeCell ref="G14:G16"/>
    <mergeCell ref="H14:H16"/>
    <mergeCell ref="I14:I16"/>
    <mergeCell ref="J14:J16"/>
    <mergeCell ref="BP13:BP16"/>
    <mergeCell ref="BQ13:BQ16"/>
    <mergeCell ref="BR13:BR16"/>
    <mergeCell ref="BD13:BD16"/>
    <mergeCell ref="BE13:BE16"/>
    <mergeCell ref="BF13:BF16"/>
    <mergeCell ref="BG13:BG16"/>
    <mergeCell ref="BH13:BH16"/>
    <mergeCell ref="BI13:BI16"/>
    <mergeCell ref="AX13:AX16"/>
    <mergeCell ref="AY13:AY16"/>
    <mergeCell ref="AZ13:AZ16"/>
    <mergeCell ref="BA13:BA16"/>
    <mergeCell ref="BB13:BB16"/>
    <mergeCell ref="BC13:BC16"/>
    <mergeCell ref="AR13:AR16"/>
    <mergeCell ref="AS13:AS16"/>
    <mergeCell ref="AT13:AT16"/>
    <mergeCell ref="AC14:AC15"/>
    <mergeCell ref="G17:G19"/>
    <mergeCell ref="H17:H19"/>
    <mergeCell ref="I17:I19"/>
    <mergeCell ref="J17:J19"/>
    <mergeCell ref="K17:K19"/>
    <mergeCell ref="L17:L19"/>
    <mergeCell ref="K14:K16"/>
    <mergeCell ref="L14:L16"/>
    <mergeCell ref="M14:M16"/>
    <mergeCell ref="N14:N16"/>
    <mergeCell ref="O14:O16"/>
    <mergeCell ref="P14:P16"/>
    <mergeCell ref="M17:M19"/>
    <mergeCell ref="N17:N19"/>
    <mergeCell ref="O17:O19"/>
    <mergeCell ref="P17:P19"/>
    <mergeCell ref="Q17:Q20"/>
    <mergeCell ref="R17:R20"/>
    <mergeCell ref="S14:S16"/>
    <mergeCell ref="V14:V16"/>
    <mergeCell ref="W14:W15"/>
    <mergeCell ref="AF17:AF20"/>
    <mergeCell ref="AG17:AG20"/>
    <mergeCell ref="AH17:AH20"/>
    <mergeCell ref="AI17:AI20"/>
    <mergeCell ref="AJ17:AJ20"/>
    <mergeCell ref="AK17:AK20"/>
    <mergeCell ref="S17:S19"/>
    <mergeCell ref="T17:T20"/>
    <mergeCell ref="U17:U20"/>
    <mergeCell ref="V17:V19"/>
    <mergeCell ref="AD17:AD20"/>
    <mergeCell ref="AE17:AE20"/>
    <mergeCell ref="W18:W19"/>
    <mergeCell ref="BC17:BC20"/>
    <mergeCell ref="AR17:AR20"/>
    <mergeCell ref="AS17:AS20"/>
    <mergeCell ref="AT17:AT20"/>
    <mergeCell ref="AU17:AU20"/>
    <mergeCell ref="AV17:AV20"/>
    <mergeCell ref="AW17:AW20"/>
    <mergeCell ref="AL17:AL20"/>
    <mergeCell ref="AM17:AM20"/>
    <mergeCell ref="AN17:AN20"/>
    <mergeCell ref="AO17:AO20"/>
    <mergeCell ref="AP17:AP20"/>
    <mergeCell ref="AQ17:AQ20"/>
    <mergeCell ref="AD21:AD25"/>
    <mergeCell ref="BP17:BP20"/>
    <mergeCell ref="BQ17:BQ20"/>
    <mergeCell ref="BR17:BR20"/>
    <mergeCell ref="BS17:BS20"/>
    <mergeCell ref="BT17:BT20"/>
    <mergeCell ref="BU17:BU20"/>
    <mergeCell ref="BJ17:BJ20"/>
    <mergeCell ref="BK17:BK20"/>
    <mergeCell ref="BL17:BL20"/>
    <mergeCell ref="BM17:BM20"/>
    <mergeCell ref="BN17:BN20"/>
    <mergeCell ref="BO17:BO20"/>
    <mergeCell ref="BD17:BD20"/>
    <mergeCell ref="BE17:BE20"/>
    <mergeCell ref="BF17:BF20"/>
    <mergeCell ref="BG17:BG20"/>
    <mergeCell ref="BH17:BH20"/>
    <mergeCell ref="BI17:BI20"/>
    <mergeCell ref="AX17:AX20"/>
    <mergeCell ref="AY17:AY20"/>
    <mergeCell ref="AZ17:AZ20"/>
    <mergeCell ref="BA17:BA20"/>
    <mergeCell ref="BB17:BB20"/>
    <mergeCell ref="AK21:AK25"/>
    <mergeCell ref="AL21:AL25"/>
    <mergeCell ref="AM21:AM25"/>
    <mergeCell ref="AN21:AN25"/>
    <mergeCell ref="AO21:AO25"/>
    <mergeCell ref="AP21:AP25"/>
    <mergeCell ref="AE21:AE25"/>
    <mergeCell ref="AF21:AF25"/>
    <mergeCell ref="AG21:AG25"/>
    <mergeCell ref="AH21:AH25"/>
    <mergeCell ref="AI21:AI25"/>
    <mergeCell ref="AJ21:AJ25"/>
    <mergeCell ref="AW21:AW25"/>
    <mergeCell ref="AX21:AX25"/>
    <mergeCell ref="AY21:AY25"/>
    <mergeCell ref="AZ21:AZ25"/>
    <mergeCell ref="BA21:BA25"/>
    <mergeCell ref="BB21:BB25"/>
    <mergeCell ref="AQ21:AQ25"/>
    <mergeCell ref="AR21:AR25"/>
    <mergeCell ref="AS21:AS25"/>
    <mergeCell ref="AT21:AT25"/>
    <mergeCell ref="AU21:AU25"/>
    <mergeCell ref="AV21:AV25"/>
    <mergeCell ref="BJ21:BJ25"/>
    <mergeCell ref="BK21:BK25"/>
    <mergeCell ref="BL21:BL25"/>
    <mergeCell ref="BM21:BM25"/>
    <mergeCell ref="BN21:BN25"/>
    <mergeCell ref="BC21:BC25"/>
    <mergeCell ref="BD21:BD25"/>
    <mergeCell ref="BE21:BE25"/>
    <mergeCell ref="BF21:BF25"/>
    <mergeCell ref="BG21:BG25"/>
    <mergeCell ref="BH21:BH25"/>
    <mergeCell ref="G26:G32"/>
    <mergeCell ref="H26:H32"/>
    <mergeCell ref="I26:I32"/>
    <mergeCell ref="J26:J32"/>
    <mergeCell ref="K26:K32"/>
    <mergeCell ref="L26:L32"/>
    <mergeCell ref="M26:M32"/>
    <mergeCell ref="BU21:BU25"/>
    <mergeCell ref="G23:G25"/>
    <mergeCell ref="H23:H25"/>
    <mergeCell ref="I23:I25"/>
    <mergeCell ref="J23:J25"/>
    <mergeCell ref="K23:K25"/>
    <mergeCell ref="L23:L25"/>
    <mergeCell ref="M23:M25"/>
    <mergeCell ref="N23:N25"/>
    <mergeCell ref="O23:O25"/>
    <mergeCell ref="BO21:BO25"/>
    <mergeCell ref="BP21:BP25"/>
    <mergeCell ref="BQ21:BQ25"/>
    <mergeCell ref="BR21:BR25"/>
    <mergeCell ref="BS21:BS25"/>
    <mergeCell ref="BT21:BT25"/>
    <mergeCell ref="BI21:BI25"/>
    <mergeCell ref="N26:N32"/>
    <mergeCell ref="O26:O32"/>
    <mergeCell ref="P26:P32"/>
    <mergeCell ref="Q26:Q32"/>
    <mergeCell ref="R26:R32"/>
    <mergeCell ref="S26:S32"/>
    <mergeCell ref="P23:P25"/>
    <mergeCell ref="S23:S25"/>
    <mergeCell ref="W24:W25"/>
    <mergeCell ref="Q21:Q25"/>
    <mergeCell ref="R21:R25"/>
    <mergeCell ref="T21:T25"/>
    <mergeCell ref="U21:U25"/>
    <mergeCell ref="V21:V25"/>
    <mergeCell ref="AF26:AF32"/>
    <mergeCell ref="AG26:AG32"/>
    <mergeCell ref="AH26:AH32"/>
    <mergeCell ref="AI26:AI32"/>
    <mergeCell ref="AJ26:AJ32"/>
    <mergeCell ref="AK26:AK32"/>
    <mergeCell ref="T26:T32"/>
    <mergeCell ref="U26:U32"/>
    <mergeCell ref="V26:V32"/>
    <mergeCell ref="W26:W27"/>
    <mergeCell ref="AD26:AD32"/>
    <mergeCell ref="AE26:AE32"/>
    <mergeCell ref="W28:W30"/>
    <mergeCell ref="W31:W32"/>
    <mergeCell ref="AR26:AR32"/>
    <mergeCell ref="AS26:AS32"/>
    <mergeCell ref="AT26:AT32"/>
    <mergeCell ref="AU26:AU32"/>
    <mergeCell ref="AV26:AV32"/>
    <mergeCell ref="AW26:AW32"/>
    <mergeCell ref="AL26:AL32"/>
    <mergeCell ref="AM26:AM32"/>
    <mergeCell ref="AN26:AN32"/>
    <mergeCell ref="AO26:AO32"/>
    <mergeCell ref="AP26:AP32"/>
    <mergeCell ref="AQ26:AQ32"/>
    <mergeCell ref="BD26:BD32"/>
    <mergeCell ref="BE26:BE32"/>
    <mergeCell ref="BF26:BF32"/>
    <mergeCell ref="BG26:BG32"/>
    <mergeCell ref="BH26:BH32"/>
    <mergeCell ref="BI26:BI32"/>
    <mergeCell ref="AX26:AX32"/>
    <mergeCell ref="AY26:AY32"/>
    <mergeCell ref="AZ26:AZ32"/>
    <mergeCell ref="BA26:BA32"/>
    <mergeCell ref="BB26:BB32"/>
    <mergeCell ref="BC26:BC32"/>
    <mergeCell ref="BP26:BP32"/>
    <mergeCell ref="BQ26:BQ32"/>
    <mergeCell ref="BR26:BR32"/>
    <mergeCell ref="BS26:BS32"/>
    <mergeCell ref="BT26:BT32"/>
    <mergeCell ref="BU26:BU32"/>
    <mergeCell ref="BJ26:BJ32"/>
    <mergeCell ref="BK26:BK32"/>
    <mergeCell ref="BL26:BL32"/>
    <mergeCell ref="BM26:BM32"/>
    <mergeCell ref="BN26:BN32"/>
    <mergeCell ref="BO26:BO32"/>
    <mergeCell ref="AD35:AD44"/>
    <mergeCell ref="AE35:AE44"/>
    <mergeCell ref="AF35:AF44"/>
    <mergeCell ref="AG35:AG44"/>
    <mergeCell ref="AH35:AH44"/>
    <mergeCell ref="AI35:AI44"/>
    <mergeCell ref="D33:H33"/>
    <mergeCell ref="F34:Q34"/>
    <mergeCell ref="Q35:Q44"/>
    <mergeCell ref="R35:R44"/>
    <mergeCell ref="T35:T44"/>
    <mergeCell ref="U35:U44"/>
    <mergeCell ref="O36:O37"/>
    <mergeCell ref="P36:P37"/>
    <mergeCell ref="S36:S37"/>
    <mergeCell ref="P38:P40"/>
    <mergeCell ref="G41:G44"/>
    <mergeCell ref="H41:H44"/>
    <mergeCell ref="I41:I44"/>
    <mergeCell ref="J41:J44"/>
    <mergeCell ref="K41:K44"/>
    <mergeCell ref="L41:L44"/>
    <mergeCell ref="M41:M44"/>
    <mergeCell ref="V36:V37"/>
    <mergeCell ref="AP35:AP44"/>
    <mergeCell ref="AQ35:AQ44"/>
    <mergeCell ref="AR35:AR44"/>
    <mergeCell ref="AS35:AS44"/>
    <mergeCell ref="AT35:AT44"/>
    <mergeCell ref="AU35:AU44"/>
    <mergeCell ref="AJ35:AJ44"/>
    <mergeCell ref="AK35:AK44"/>
    <mergeCell ref="AL35:AL44"/>
    <mergeCell ref="AM35:AM44"/>
    <mergeCell ref="AN35:AN44"/>
    <mergeCell ref="AO35:AO44"/>
    <mergeCell ref="BD35:BD44"/>
    <mergeCell ref="BE35:BE44"/>
    <mergeCell ref="BF35:BF44"/>
    <mergeCell ref="BG35:BG44"/>
    <mergeCell ref="AV35:AV44"/>
    <mergeCell ref="AW35:AW44"/>
    <mergeCell ref="AX35:AX44"/>
    <mergeCell ref="AY35:AY44"/>
    <mergeCell ref="AZ35:AZ44"/>
    <mergeCell ref="BA35:BA44"/>
    <mergeCell ref="BT35:BT44"/>
    <mergeCell ref="BU35:BU44"/>
    <mergeCell ref="G36:G37"/>
    <mergeCell ref="H36:H37"/>
    <mergeCell ref="I36:I37"/>
    <mergeCell ref="J36:J37"/>
    <mergeCell ref="K36:K37"/>
    <mergeCell ref="L36:L37"/>
    <mergeCell ref="M36:M37"/>
    <mergeCell ref="N36:N37"/>
    <mergeCell ref="BN35:BN44"/>
    <mergeCell ref="BO35:BO44"/>
    <mergeCell ref="BP35:BP44"/>
    <mergeCell ref="BQ35:BQ44"/>
    <mergeCell ref="BR35:BR44"/>
    <mergeCell ref="BS35:BS44"/>
    <mergeCell ref="BH35:BH44"/>
    <mergeCell ref="BI35:BI44"/>
    <mergeCell ref="BJ35:BJ44"/>
    <mergeCell ref="BK35:BK44"/>
    <mergeCell ref="BL35:BL44"/>
    <mergeCell ref="BM35:BM44"/>
    <mergeCell ref="BB35:BB44"/>
    <mergeCell ref="BC35:BC44"/>
    <mergeCell ref="G38:G40"/>
    <mergeCell ref="H38:H40"/>
    <mergeCell ref="I38:I40"/>
    <mergeCell ref="J38:J40"/>
    <mergeCell ref="K38:K40"/>
    <mergeCell ref="L38:L40"/>
    <mergeCell ref="M38:M40"/>
    <mergeCell ref="N38:N40"/>
    <mergeCell ref="O38:O40"/>
    <mergeCell ref="N41:N44"/>
    <mergeCell ref="O41:O44"/>
    <mergeCell ref="P41:P44"/>
    <mergeCell ref="S41:S44"/>
    <mergeCell ref="V41:V44"/>
    <mergeCell ref="W43:W44"/>
    <mergeCell ref="S38:S40"/>
    <mergeCell ref="V38:V40"/>
    <mergeCell ref="W39:W40"/>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1635"/>
  <sheetViews>
    <sheetView showGridLines="0" zoomScale="70" zoomScaleNormal="70" workbookViewId="0">
      <selection activeCell="A8" sqref="A8:A9"/>
    </sheetView>
  </sheetViews>
  <sheetFormatPr baseColWidth="10" defaultColWidth="11.42578125" defaultRowHeight="27" customHeight="1" x14ac:dyDescent="0.25"/>
  <cols>
    <col min="1" max="1" width="17.140625" style="117" customWidth="1"/>
    <col min="2" max="2" width="16.28515625" style="3" customWidth="1"/>
    <col min="3" max="3" width="12.42578125" style="3" customWidth="1"/>
    <col min="4" max="4" width="17.85546875" style="3" customWidth="1"/>
    <col min="5" max="5" width="12.28515625" style="3" customWidth="1"/>
    <col min="6" max="6" width="13.28515625" style="3" customWidth="1"/>
    <col min="7" max="7" width="17.5703125" style="3" customWidth="1"/>
    <col min="8" max="8" width="57.42578125" style="119" customWidth="1"/>
    <col min="9" max="9" width="24.28515625" style="2" customWidth="1"/>
    <col min="10" max="10" width="50.7109375" style="119" customWidth="1"/>
    <col min="11" max="11" width="17.85546875" style="2" customWidth="1"/>
    <col min="12" max="12" width="38" style="119" customWidth="1"/>
    <col min="13" max="13" width="23.140625" style="2" customWidth="1"/>
    <col min="14" max="14" width="39" style="119" customWidth="1"/>
    <col min="15" max="16" width="11.7109375" style="2" customWidth="1"/>
    <col min="17" max="17" width="21.85546875" style="2" customWidth="1"/>
    <col min="18" max="18" width="33.7109375" style="119" customWidth="1"/>
    <col min="19" max="19" width="18.28515625" style="121" customWidth="1"/>
    <col min="20" max="20" width="24.7109375" style="130" bestFit="1" customWidth="1"/>
    <col min="21" max="21" width="70" style="119" customWidth="1"/>
    <col min="22" max="22" width="78.140625" style="119" customWidth="1"/>
    <col min="23" max="23" width="62.28515625" style="119" customWidth="1"/>
    <col min="24" max="24" width="30.140625" style="130" bestFit="1" customWidth="1"/>
    <col min="25" max="25" width="27.7109375" style="130" bestFit="1" customWidth="1"/>
    <col min="26" max="26" width="27.5703125" style="130" bestFit="1" customWidth="1"/>
    <col min="27" max="27" width="55.42578125" style="122" bestFit="1" customWidth="1"/>
    <col min="28" max="28" width="13" style="124" hidden="1" customWidth="1"/>
    <col min="29" max="29" width="45.42578125" style="2" bestFit="1" customWidth="1"/>
    <col min="30" max="61" width="10.5703125" style="3" customWidth="1"/>
    <col min="62" max="62" width="22.7109375" style="3" bestFit="1" customWidth="1"/>
    <col min="63" max="63" width="29.7109375" style="3" customWidth="1"/>
    <col min="64" max="64" width="30" style="3" customWidth="1"/>
    <col min="65" max="65" width="21" style="590" customWidth="1"/>
    <col min="66" max="66" width="19.42578125" style="3" customWidth="1"/>
    <col min="67" max="67" width="19.42578125" style="118" customWidth="1"/>
    <col min="68" max="68" width="42.5703125" style="3" customWidth="1"/>
    <col min="69" max="69" width="16.42578125" style="125" customWidth="1"/>
    <col min="70" max="70" width="19.5703125" style="772" customWidth="1"/>
    <col min="71" max="71" width="20.28515625" style="126" customWidth="1"/>
    <col min="72" max="72" width="20.85546875" style="772" customWidth="1"/>
    <col min="73" max="73" width="26" style="3" customWidth="1"/>
    <col min="74" max="16384" width="11.42578125" style="3"/>
  </cols>
  <sheetData>
    <row r="1" spans="1:93" ht="25.5" customHeight="1" x14ac:dyDescent="0.25">
      <c r="A1" s="2366" t="s">
        <v>719</v>
      </c>
      <c r="B1" s="2367"/>
      <c r="C1" s="2367"/>
      <c r="D1" s="2367"/>
      <c r="E1" s="2367"/>
      <c r="F1" s="2367"/>
      <c r="G1" s="2367"/>
      <c r="H1" s="2367"/>
      <c r="I1" s="2367"/>
      <c r="J1" s="2367"/>
      <c r="K1" s="2367"/>
      <c r="L1" s="2367"/>
      <c r="M1" s="2367"/>
      <c r="N1" s="2367"/>
      <c r="O1" s="2367"/>
      <c r="P1" s="2367"/>
      <c r="Q1" s="2367"/>
      <c r="R1" s="2367"/>
      <c r="S1" s="2367"/>
      <c r="T1" s="2367"/>
      <c r="U1" s="2367"/>
      <c r="V1" s="2367"/>
      <c r="W1" s="2367"/>
      <c r="X1" s="2367"/>
      <c r="Y1" s="2367"/>
      <c r="Z1" s="2367"/>
      <c r="AA1" s="2367"/>
      <c r="AB1" s="2367"/>
      <c r="AC1" s="2367"/>
      <c r="AD1" s="2367"/>
      <c r="AE1" s="2367"/>
      <c r="AF1" s="2367"/>
      <c r="AG1" s="2367"/>
      <c r="AH1" s="2367"/>
      <c r="AI1" s="2367"/>
      <c r="AJ1" s="2367"/>
      <c r="AK1" s="2367"/>
      <c r="AL1" s="2367"/>
      <c r="AM1" s="2367"/>
      <c r="AN1" s="2367"/>
      <c r="AO1" s="2367"/>
      <c r="AP1" s="2367"/>
      <c r="AQ1" s="2367"/>
      <c r="AR1" s="2367"/>
      <c r="AS1" s="2367"/>
      <c r="AT1" s="2367"/>
      <c r="AU1" s="2367"/>
      <c r="AV1" s="2367"/>
      <c r="AW1" s="2367"/>
      <c r="AX1" s="2367"/>
      <c r="AY1" s="2367"/>
      <c r="AZ1" s="2367"/>
      <c r="BA1" s="2367"/>
      <c r="BB1" s="2367"/>
      <c r="BC1" s="2367"/>
      <c r="BD1" s="2367"/>
      <c r="BE1" s="2367"/>
      <c r="BF1" s="2367"/>
      <c r="BG1" s="2367"/>
      <c r="BH1" s="2367"/>
      <c r="BI1" s="2367"/>
      <c r="BJ1" s="2367"/>
      <c r="BK1" s="2367"/>
      <c r="BL1" s="2367"/>
      <c r="BM1" s="2367"/>
      <c r="BN1" s="2367"/>
      <c r="BO1" s="2367"/>
      <c r="BP1" s="2367"/>
      <c r="BQ1" s="2367"/>
      <c r="BR1" s="2367"/>
      <c r="BS1" s="2368"/>
      <c r="BT1" s="442" t="s">
        <v>0</v>
      </c>
      <c r="BU1" s="464" t="s">
        <v>1</v>
      </c>
      <c r="BV1" s="2"/>
      <c r="BW1" s="2"/>
      <c r="BX1" s="2"/>
      <c r="BY1" s="2"/>
      <c r="BZ1" s="2"/>
      <c r="CA1" s="2"/>
      <c r="CB1" s="2"/>
      <c r="CC1" s="2"/>
      <c r="CD1" s="2"/>
      <c r="CE1" s="2"/>
      <c r="CF1" s="2"/>
      <c r="CG1" s="2"/>
      <c r="CH1" s="2"/>
      <c r="CI1" s="2"/>
      <c r="CJ1" s="2"/>
      <c r="CK1" s="2"/>
      <c r="CL1" s="2"/>
      <c r="CM1" s="2"/>
      <c r="CN1" s="2"/>
      <c r="CO1" s="2"/>
    </row>
    <row r="2" spans="1:93" ht="25.5" customHeight="1" x14ac:dyDescent="0.25">
      <c r="A2" s="2367"/>
      <c r="B2" s="2367"/>
      <c r="C2" s="2367"/>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c r="AE2" s="2367"/>
      <c r="AF2" s="2367"/>
      <c r="AG2" s="2367"/>
      <c r="AH2" s="2367"/>
      <c r="AI2" s="2367"/>
      <c r="AJ2" s="2367"/>
      <c r="AK2" s="2367"/>
      <c r="AL2" s="2367"/>
      <c r="AM2" s="2367"/>
      <c r="AN2" s="2367"/>
      <c r="AO2" s="2367"/>
      <c r="AP2" s="2367"/>
      <c r="AQ2" s="2367"/>
      <c r="AR2" s="2367"/>
      <c r="AS2" s="2367"/>
      <c r="AT2" s="2367"/>
      <c r="AU2" s="2367"/>
      <c r="AV2" s="2367"/>
      <c r="AW2" s="2367"/>
      <c r="AX2" s="2367"/>
      <c r="AY2" s="2367"/>
      <c r="AZ2" s="2367"/>
      <c r="BA2" s="2367"/>
      <c r="BB2" s="2367"/>
      <c r="BC2" s="2367"/>
      <c r="BD2" s="2367"/>
      <c r="BE2" s="2367"/>
      <c r="BF2" s="2367"/>
      <c r="BG2" s="2367"/>
      <c r="BH2" s="2367"/>
      <c r="BI2" s="2367"/>
      <c r="BJ2" s="2367"/>
      <c r="BK2" s="2367"/>
      <c r="BL2" s="2367"/>
      <c r="BM2" s="2367"/>
      <c r="BN2" s="2367"/>
      <c r="BO2" s="2367"/>
      <c r="BP2" s="2367"/>
      <c r="BQ2" s="2367"/>
      <c r="BR2" s="2367"/>
      <c r="BS2" s="2368"/>
      <c r="BT2" s="626" t="s">
        <v>2</v>
      </c>
      <c r="BU2" s="2233" t="s">
        <v>3</v>
      </c>
      <c r="BV2" s="2"/>
      <c r="BW2" s="2"/>
      <c r="BX2" s="2"/>
      <c r="BY2" s="2"/>
      <c r="BZ2" s="2"/>
      <c r="CA2" s="2"/>
      <c r="CB2" s="2"/>
      <c r="CC2" s="2"/>
      <c r="CD2" s="2"/>
      <c r="CE2" s="2"/>
      <c r="CF2" s="2"/>
      <c r="CG2" s="2"/>
      <c r="CH2" s="2"/>
      <c r="CI2" s="2"/>
      <c r="CJ2" s="2"/>
      <c r="CK2" s="2"/>
      <c r="CL2" s="2"/>
      <c r="CM2" s="2"/>
      <c r="CN2" s="2"/>
      <c r="CO2" s="2"/>
    </row>
    <row r="3" spans="1:93" ht="25.5" customHeight="1" x14ac:dyDescent="0.25">
      <c r="A3" s="2367"/>
      <c r="B3" s="2367"/>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7"/>
      <c r="AH3" s="2367"/>
      <c r="AI3" s="2367"/>
      <c r="AJ3" s="2367"/>
      <c r="AK3" s="2367"/>
      <c r="AL3" s="2367"/>
      <c r="AM3" s="2367"/>
      <c r="AN3" s="2367"/>
      <c r="AO3" s="2367"/>
      <c r="AP3" s="2367"/>
      <c r="AQ3" s="2367"/>
      <c r="AR3" s="2367"/>
      <c r="AS3" s="2367"/>
      <c r="AT3" s="2367"/>
      <c r="AU3" s="2367"/>
      <c r="AV3" s="2367"/>
      <c r="AW3" s="2367"/>
      <c r="AX3" s="2367"/>
      <c r="AY3" s="2367"/>
      <c r="AZ3" s="2367"/>
      <c r="BA3" s="2367"/>
      <c r="BB3" s="2367"/>
      <c r="BC3" s="2367"/>
      <c r="BD3" s="2367"/>
      <c r="BE3" s="2367"/>
      <c r="BF3" s="2367"/>
      <c r="BG3" s="2367"/>
      <c r="BH3" s="2367"/>
      <c r="BI3" s="2367"/>
      <c r="BJ3" s="2367"/>
      <c r="BK3" s="2367"/>
      <c r="BL3" s="2367"/>
      <c r="BM3" s="2367"/>
      <c r="BN3" s="2367"/>
      <c r="BO3" s="2367"/>
      <c r="BP3" s="2367"/>
      <c r="BQ3" s="2367"/>
      <c r="BR3" s="2367"/>
      <c r="BS3" s="2368"/>
      <c r="BT3" s="626" t="s">
        <v>4</v>
      </c>
      <c r="BU3" s="2234">
        <v>44266</v>
      </c>
      <c r="BV3" s="2"/>
      <c r="BW3" s="2"/>
      <c r="BX3" s="2"/>
      <c r="BY3" s="2"/>
      <c r="BZ3" s="2"/>
      <c r="CA3" s="2"/>
      <c r="CB3" s="2"/>
      <c r="CC3" s="2"/>
      <c r="CD3" s="2"/>
      <c r="CE3" s="2"/>
      <c r="CF3" s="2"/>
      <c r="CG3" s="2"/>
      <c r="CH3" s="2"/>
      <c r="CI3" s="2"/>
      <c r="CJ3" s="2"/>
      <c r="CK3" s="2"/>
      <c r="CL3" s="2"/>
      <c r="CM3" s="2"/>
      <c r="CN3" s="2"/>
      <c r="CO3" s="2"/>
    </row>
    <row r="4" spans="1:93" ht="31.5" customHeight="1" x14ac:dyDescent="0.25">
      <c r="A4" s="2365"/>
      <c r="B4" s="2365"/>
      <c r="C4" s="2365"/>
      <c r="D4" s="2365"/>
      <c r="E4" s="2365"/>
      <c r="F4" s="2365"/>
      <c r="G4" s="2365"/>
      <c r="H4" s="2365"/>
      <c r="I4" s="2365"/>
      <c r="J4" s="2365"/>
      <c r="K4" s="2365"/>
      <c r="L4" s="2365"/>
      <c r="M4" s="2365"/>
      <c r="N4" s="2365"/>
      <c r="O4" s="2365"/>
      <c r="P4" s="2365"/>
      <c r="Q4" s="2365"/>
      <c r="R4" s="2365"/>
      <c r="S4" s="2365"/>
      <c r="T4" s="2365"/>
      <c r="U4" s="2365"/>
      <c r="V4" s="2365"/>
      <c r="W4" s="2365"/>
      <c r="X4" s="2365"/>
      <c r="Y4" s="2365"/>
      <c r="Z4" s="2365"/>
      <c r="AA4" s="2365"/>
      <c r="AB4" s="2365"/>
      <c r="AC4" s="2365"/>
      <c r="AD4" s="2365"/>
      <c r="AE4" s="2365"/>
      <c r="AF4" s="2365"/>
      <c r="AG4" s="2365"/>
      <c r="AH4" s="2365"/>
      <c r="AI4" s="2365"/>
      <c r="AJ4" s="2365"/>
      <c r="AK4" s="2365"/>
      <c r="AL4" s="2365"/>
      <c r="AM4" s="2365"/>
      <c r="AN4" s="2365"/>
      <c r="AO4" s="2365"/>
      <c r="AP4" s="2365"/>
      <c r="AQ4" s="2365"/>
      <c r="AR4" s="2365"/>
      <c r="AS4" s="2365"/>
      <c r="AT4" s="2365"/>
      <c r="AU4" s="2365"/>
      <c r="AV4" s="2365"/>
      <c r="AW4" s="2365"/>
      <c r="AX4" s="2365"/>
      <c r="AY4" s="2365"/>
      <c r="AZ4" s="2365"/>
      <c r="BA4" s="2365"/>
      <c r="BB4" s="2365"/>
      <c r="BC4" s="2365"/>
      <c r="BD4" s="2365"/>
      <c r="BE4" s="2365"/>
      <c r="BF4" s="2365"/>
      <c r="BG4" s="2365"/>
      <c r="BH4" s="2365"/>
      <c r="BI4" s="2365"/>
      <c r="BJ4" s="2365"/>
      <c r="BK4" s="2365"/>
      <c r="BL4" s="2365"/>
      <c r="BM4" s="2365"/>
      <c r="BN4" s="2365"/>
      <c r="BO4" s="2365"/>
      <c r="BP4" s="2365"/>
      <c r="BQ4" s="2365"/>
      <c r="BR4" s="2365"/>
      <c r="BS4" s="2369"/>
      <c r="BT4" s="626" t="s">
        <v>5</v>
      </c>
      <c r="BU4" s="5" t="s">
        <v>6</v>
      </c>
      <c r="BV4" s="2"/>
      <c r="BW4" s="2"/>
      <c r="BX4" s="2"/>
      <c r="BY4" s="2"/>
      <c r="BZ4" s="2"/>
      <c r="CA4" s="2"/>
      <c r="CB4" s="2"/>
      <c r="CC4" s="2"/>
      <c r="CD4" s="2"/>
      <c r="CE4" s="2"/>
      <c r="CF4" s="2"/>
      <c r="CG4" s="2"/>
      <c r="CH4" s="2"/>
      <c r="CI4" s="2"/>
      <c r="CJ4" s="2"/>
      <c r="CK4" s="2"/>
      <c r="CL4" s="2"/>
      <c r="CM4" s="2"/>
      <c r="CN4" s="2"/>
      <c r="CO4" s="2"/>
    </row>
    <row r="5" spans="1:93" ht="19.5" customHeight="1" x14ac:dyDescent="0.25">
      <c r="A5" s="2363" t="s">
        <v>720</v>
      </c>
      <c r="B5" s="2363"/>
      <c r="C5" s="2363"/>
      <c r="D5" s="2363"/>
      <c r="E5" s="2363"/>
      <c r="F5" s="2363"/>
      <c r="G5" s="2363"/>
      <c r="H5" s="2363"/>
      <c r="I5" s="2363"/>
      <c r="J5" s="2363"/>
      <c r="K5" s="2363"/>
      <c r="L5" s="2363"/>
      <c r="M5" s="2363"/>
      <c r="N5" s="2363"/>
      <c r="O5" s="2363"/>
      <c r="P5" s="445"/>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2370"/>
      <c r="AR5" s="2370"/>
      <c r="AS5" s="2370"/>
      <c r="AT5" s="2370"/>
      <c r="AU5" s="2370"/>
      <c r="AV5" s="2370"/>
      <c r="AW5" s="2370"/>
      <c r="AX5" s="2370"/>
      <c r="AY5" s="2370"/>
      <c r="AZ5" s="2370"/>
      <c r="BA5" s="2370"/>
      <c r="BB5" s="2370"/>
      <c r="BC5" s="2370"/>
      <c r="BD5" s="2370"/>
      <c r="BE5" s="2370"/>
      <c r="BF5" s="2370"/>
      <c r="BG5" s="2370"/>
      <c r="BH5" s="2370"/>
      <c r="BI5" s="2370"/>
      <c r="BJ5" s="2370"/>
      <c r="BK5" s="2370"/>
      <c r="BL5" s="2370"/>
      <c r="BM5" s="2370"/>
      <c r="BN5" s="2370"/>
      <c r="BO5" s="2370"/>
      <c r="BP5" s="2370"/>
      <c r="BQ5" s="2370"/>
      <c r="BR5" s="2370"/>
      <c r="BS5" s="2370"/>
      <c r="BT5" s="2370"/>
      <c r="BU5" s="2370"/>
      <c r="BV5" s="2"/>
      <c r="BW5" s="2"/>
      <c r="BX5" s="2"/>
      <c r="BY5" s="2"/>
      <c r="BZ5" s="2"/>
      <c r="CA5" s="2"/>
      <c r="CB5" s="2"/>
      <c r="CC5" s="2"/>
      <c r="CD5" s="2"/>
      <c r="CE5" s="2"/>
      <c r="CF5" s="2"/>
      <c r="CG5" s="2"/>
      <c r="CH5" s="2"/>
      <c r="CI5" s="2"/>
      <c r="CJ5" s="2"/>
      <c r="CK5" s="2"/>
      <c r="CL5" s="2"/>
      <c r="CM5" s="2"/>
      <c r="CN5" s="2"/>
      <c r="CO5" s="2"/>
    </row>
    <row r="6" spans="1:93" ht="20.25" customHeight="1" thickBot="1" x14ac:dyDescent="0.3">
      <c r="A6" s="2365"/>
      <c r="B6" s="2365"/>
      <c r="C6" s="2365"/>
      <c r="D6" s="2365"/>
      <c r="E6" s="2365"/>
      <c r="F6" s="2365"/>
      <c r="G6" s="2365"/>
      <c r="H6" s="2365"/>
      <c r="I6" s="2365"/>
      <c r="J6" s="2365"/>
      <c r="K6" s="2365"/>
      <c r="L6" s="2365"/>
      <c r="M6" s="2365"/>
      <c r="N6" s="2365"/>
      <c r="O6" s="2367"/>
      <c r="P6" s="292"/>
      <c r="Q6" s="7"/>
      <c r="R6" s="8"/>
      <c r="S6" s="7"/>
      <c r="T6" s="7"/>
      <c r="U6" s="8"/>
      <c r="V6" s="8"/>
      <c r="W6" s="8"/>
      <c r="X6" s="7"/>
      <c r="Y6" s="7"/>
      <c r="Z6" s="7"/>
      <c r="AA6" s="448"/>
      <c r="AB6" s="144"/>
      <c r="AC6" s="144"/>
      <c r="AD6" s="2364" t="s">
        <v>8</v>
      </c>
      <c r="AE6" s="2365"/>
      <c r="AF6" s="2365"/>
      <c r="AG6" s="2365"/>
      <c r="AH6" s="2365"/>
      <c r="AI6" s="2365"/>
      <c r="AJ6" s="2365"/>
      <c r="AK6" s="2365"/>
      <c r="AL6" s="2365"/>
      <c r="AM6" s="2365"/>
      <c r="AN6" s="2365"/>
      <c r="AO6" s="2365"/>
      <c r="AP6" s="2365"/>
      <c r="AQ6" s="2365"/>
      <c r="AR6" s="2365"/>
      <c r="AS6" s="2365"/>
      <c r="AT6" s="2365"/>
      <c r="AU6" s="2365"/>
      <c r="AV6" s="2365"/>
      <c r="AW6" s="2365"/>
      <c r="AX6" s="2365"/>
      <c r="AY6" s="2365"/>
      <c r="AZ6" s="2365"/>
      <c r="BA6" s="2365"/>
      <c r="BB6" s="2365"/>
      <c r="BC6" s="2365"/>
      <c r="BD6" s="2365"/>
      <c r="BE6" s="2365"/>
      <c r="BF6" s="2369"/>
      <c r="BG6" s="144"/>
      <c r="BH6" s="144"/>
      <c r="BI6" s="144"/>
      <c r="BJ6" s="144"/>
      <c r="BK6" s="144"/>
      <c r="BL6" s="144"/>
      <c r="BM6" s="447"/>
      <c r="BN6" s="144"/>
      <c r="BO6" s="448"/>
      <c r="BP6" s="144"/>
      <c r="BQ6" s="144"/>
      <c r="BR6" s="627"/>
      <c r="BS6" s="144"/>
      <c r="BT6" s="446"/>
      <c r="BU6" s="4"/>
      <c r="BV6" s="2"/>
      <c r="BW6" s="2"/>
      <c r="BX6" s="2"/>
      <c r="BY6" s="2"/>
      <c r="BZ6" s="2"/>
      <c r="CA6" s="2"/>
      <c r="CB6" s="2"/>
      <c r="CC6" s="2"/>
      <c r="CD6" s="2"/>
      <c r="CE6" s="2"/>
      <c r="CF6" s="2"/>
      <c r="CG6" s="2"/>
      <c r="CH6" s="2"/>
      <c r="CI6" s="2"/>
      <c r="CJ6" s="2"/>
      <c r="CK6" s="2"/>
      <c r="CL6" s="2"/>
      <c r="CM6" s="2"/>
      <c r="CN6" s="2"/>
      <c r="CO6" s="2"/>
    </row>
    <row r="7" spans="1:93" ht="36.75" customHeight="1" x14ac:dyDescent="0.25">
      <c r="A7" s="2520" t="s">
        <v>9</v>
      </c>
      <c r="B7" s="2521"/>
      <c r="C7" s="2522" t="s">
        <v>10</v>
      </c>
      <c r="D7" s="2520"/>
      <c r="E7" s="2520" t="s">
        <v>11</v>
      </c>
      <c r="F7" s="2521"/>
      <c r="G7" s="2522" t="s">
        <v>12</v>
      </c>
      <c r="H7" s="2520"/>
      <c r="I7" s="2520"/>
      <c r="J7" s="2520"/>
      <c r="K7" s="2522" t="s">
        <v>13</v>
      </c>
      <c r="L7" s="2520"/>
      <c r="M7" s="2520"/>
      <c r="N7" s="2520"/>
      <c r="O7" s="3590" t="s">
        <v>721</v>
      </c>
      <c r="P7" s="3590"/>
      <c r="Q7" s="3590"/>
      <c r="R7" s="3590"/>
      <c r="S7" s="3590"/>
      <c r="T7" s="3590"/>
      <c r="U7" s="3590"/>
      <c r="V7" s="3590"/>
      <c r="W7" s="3590"/>
      <c r="X7" s="3590"/>
      <c r="Y7" s="3590"/>
      <c r="Z7" s="3590"/>
      <c r="AA7" s="3355" t="s">
        <v>15</v>
      </c>
      <c r="AB7" s="3355"/>
      <c r="AC7" s="2524"/>
      <c r="AD7" s="2349" t="s">
        <v>16</v>
      </c>
      <c r="AE7" s="2350"/>
      <c r="AF7" s="2350"/>
      <c r="AG7" s="2351"/>
      <c r="AH7" s="2352" t="s">
        <v>17</v>
      </c>
      <c r="AI7" s="2353"/>
      <c r="AJ7" s="2353"/>
      <c r="AK7" s="2353"/>
      <c r="AL7" s="2353"/>
      <c r="AM7" s="2353"/>
      <c r="AN7" s="2353"/>
      <c r="AO7" s="2354"/>
      <c r="AP7" s="2355" t="s">
        <v>18</v>
      </c>
      <c r="AQ7" s="2355"/>
      <c r="AR7" s="2355"/>
      <c r="AS7" s="2355"/>
      <c r="AT7" s="2355"/>
      <c r="AU7" s="2355"/>
      <c r="AV7" s="2355"/>
      <c r="AW7" s="2355"/>
      <c r="AX7" s="2355"/>
      <c r="AY7" s="2355"/>
      <c r="AZ7" s="2355"/>
      <c r="BA7" s="2355"/>
      <c r="BB7" s="2356" t="s">
        <v>19</v>
      </c>
      <c r="BC7" s="2356"/>
      <c r="BD7" s="2356"/>
      <c r="BE7" s="2356"/>
      <c r="BF7" s="2356"/>
      <c r="BG7" s="2356"/>
      <c r="BH7" s="2357" t="s">
        <v>20</v>
      </c>
      <c r="BI7" s="2357"/>
      <c r="BJ7" s="2373" t="s">
        <v>21</v>
      </c>
      <c r="BK7" s="2374"/>
      <c r="BL7" s="2374"/>
      <c r="BM7" s="2374"/>
      <c r="BN7" s="2374"/>
      <c r="BO7" s="2374"/>
      <c r="BP7" s="2375"/>
      <c r="BQ7" s="2343" t="s">
        <v>22</v>
      </c>
      <c r="BR7" s="2343"/>
      <c r="BS7" s="2343" t="s">
        <v>23</v>
      </c>
      <c r="BT7" s="2343"/>
      <c r="BU7" s="2345" t="s">
        <v>24</v>
      </c>
      <c r="BV7" s="2"/>
      <c r="BW7" s="2"/>
      <c r="BX7" s="2"/>
      <c r="BY7" s="2"/>
      <c r="BZ7" s="2"/>
      <c r="CA7" s="2"/>
      <c r="CB7" s="2"/>
      <c r="CC7" s="2"/>
      <c r="CD7" s="2"/>
      <c r="CE7" s="2"/>
      <c r="CF7" s="2"/>
      <c r="CG7" s="2"/>
      <c r="CH7" s="2"/>
      <c r="CI7" s="2"/>
      <c r="CJ7" s="2"/>
      <c r="CK7" s="2"/>
      <c r="CL7" s="2"/>
      <c r="CM7" s="2"/>
      <c r="CN7" s="2"/>
      <c r="CO7" s="2"/>
    </row>
    <row r="8" spans="1:93" ht="106.5" customHeight="1" x14ac:dyDescent="0.25">
      <c r="A8" s="2343" t="s">
        <v>25</v>
      </c>
      <c r="B8" s="2343" t="s">
        <v>26</v>
      </c>
      <c r="C8" s="2343" t="s">
        <v>25</v>
      </c>
      <c r="D8" s="2343" t="s">
        <v>26</v>
      </c>
      <c r="E8" s="2343" t="s">
        <v>25</v>
      </c>
      <c r="F8" s="2343" t="s">
        <v>26</v>
      </c>
      <c r="G8" s="2343" t="s">
        <v>27</v>
      </c>
      <c r="H8" s="2634" t="s">
        <v>28</v>
      </c>
      <c r="I8" s="2343" t="s">
        <v>29</v>
      </c>
      <c r="J8" s="2634" t="s">
        <v>131</v>
      </c>
      <c r="K8" s="2343" t="s">
        <v>27</v>
      </c>
      <c r="L8" s="2634" t="s">
        <v>31</v>
      </c>
      <c r="M8" s="2343" t="s">
        <v>32</v>
      </c>
      <c r="N8" s="2634" t="s">
        <v>33</v>
      </c>
      <c r="O8" s="2347" t="s">
        <v>34</v>
      </c>
      <c r="P8" s="2348"/>
      <c r="Q8" s="2343" t="s">
        <v>35</v>
      </c>
      <c r="R8" s="2634" t="s">
        <v>36</v>
      </c>
      <c r="S8" s="2343" t="s">
        <v>37</v>
      </c>
      <c r="T8" s="2343" t="s">
        <v>38</v>
      </c>
      <c r="U8" s="2634" t="s">
        <v>39</v>
      </c>
      <c r="V8" s="2634" t="s">
        <v>40</v>
      </c>
      <c r="W8" s="2634" t="s">
        <v>41</v>
      </c>
      <c r="X8" s="2344" t="s">
        <v>42</v>
      </c>
      <c r="Y8" s="2344"/>
      <c r="Z8" s="2344"/>
      <c r="AA8" s="2634" t="s">
        <v>43</v>
      </c>
      <c r="AB8" s="2343" t="s">
        <v>44</v>
      </c>
      <c r="AC8" s="2343" t="s">
        <v>26</v>
      </c>
      <c r="AD8" s="2358" t="s">
        <v>45</v>
      </c>
      <c r="AE8" s="2359"/>
      <c r="AF8" s="2341" t="s">
        <v>46</v>
      </c>
      <c r="AG8" s="2342"/>
      <c r="AH8" s="2341" t="s">
        <v>47</v>
      </c>
      <c r="AI8" s="2342"/>
      <c r="AJ8" s="2341" t="s">
        <v>48</v>
      </c>
      <c r="AK8" s="2342"/>
      <c r="AL8" s="2341" t="s">
        <v>49</v>
      </c>
      <c r="AM8" s="2342"/>
      <c r="AN8" s="2341" t="s">
        <v>50</v>
      </c>
      <c r="AO8" s="2342"/>
      <c r="AP8" s="2340" t="s">
        <v>51</v>
      </c>
      <c r="AQ8" s="2340"/>
      <c r="AR8" s="2340" t="s">
        <v>52</v>
      </c>
      <c r="AS8" s="2340"/>
      <c r="AT8" s="2340" t="s">
        <v>53</v>
      </c>
      <c r="AU8" s="2340"/>
      <c r="AV8" s="2340" t="s">
        <v>54</v>
      </c>
      <c r="AW8" s="2340"/>
      <c r="AX8" s="2340" t="s">
        <v>55</v>
      </c>
      <c r="AY8" s="2340"/>
      <c r="AZ8" s="2340" t="s">
        <v>722</v>
      </c>
      <c r="BA8" s="2340"/>
      <c r="BB8" s="2340" t="s">
        <v>57</v>
      </c>
      <c r="BC8" s="2340"/>
      <c r="BD8" s="2340" t="s">
        <v>58</v>
      </c>
      <c r="BE8" s="2340"/>
      <c r="BF8" s="2340" t="s">
        <v>59</v>
      </c>
      <c r="BG8" s="2340"/>
      <c r="BH8" s="2357"/>
      <c r="BI8" s="2357"/>
      <c r="BJ8" s="2332" t="s">
        <v>60</v>
      </c>
      <c r="BK8" s="2331" t="s">
        <v>61</v>
      </c>
      <c r="BL8" s="2332" t="s">
        <v>62</v>
      </c>
      <c r="BM8" s="2849" t="s">
        <v>63</v>
      </c>
      <c r="BN8" s="2334" t="s">
        <v>64</v>
      </c>
      <c r="BO8" s="2335"/>
      <c r="BP8" s="3592" t="s">
        <v>65</v>
      </c>
      <c r="BQ8" s="2343"/>
      <c r="BR8" s="2343"/>
      <c r="BS8" s="2343"/>
      <c r="BT8" s="2343"/>
      <c r="BU8" s="3591"/>
      <c r="BV8" s="2"/>
      <c r="BW8" s="2"/>
      <c r="BX8" s="2"/>
      <c r="BY8" s="2"/>
      <c r="BZ8" s="2"/>
      <c r="CA8" s="2"/>
      <c r="CB8" s="2"/>
      <c r="CC8" s="2"/>
      <c r="CD8" s="2"/>
      <c r="CE8" s="2"/>
      <c r="CF8" s="2"/>
      <c r="CG8" s="2"/>
      <c r="CH8" s="2"/>
      <c r="CI8" s="2"/>
      <c r="CJ8" s="2"/>
      <c r="CK8" s="2"/>
      <c r="CL8" s="2"/>
      <c r="CM8" s="2"/>
      <c r="CN8" s="2"/>
      <c r="CO8" s="2"/>
    </row>
    <row r="9" spans="1:93" ht="34.5" customHeight="1" x14ac:dyDescent="0.25">
      <c r="A9" s="2343"/>
      <c r="B9" s="2343"/>
      <c r="C9" s="2343"/>
      <c r="D9" s="2343"/>
      <c r="E9" s="2343"/>
      <c r="F9" s="2343"/>
      <c r="G9" s="2343"/>
      <c r="H9" s="2634"/>
      <c r="I9" s="2343"/>
      <c r="J9" s="2634"/>
      <c r="K9" s="2343"/>
      <c r="L9" s="2634"/>
      <c r="M9" s="2343"/>
      <c r="N9" s="2634"/>
      <c r="O9" s="13" t="s">
        <v>66</v>
      </c>
      <c r="P9" s="13" t="s">
        <v>67</v>
      </c>
      <c r="Q9" s="2343"/>
      <c r="R9" s="2634"/>
      <c r="S9" s="2343"/>
      <c r="T9" s="2343"/>
      <c r="U9" s="2634"/>
      <c r="V9" s="2634"/>
      <c r="W9" s="2634"/>
      <c r="X9" s="296" t="s">
        <v>68</v>
      </c>
      <c r="Y9" s="296" t="s">
        <v>69</v>
      </c>
      <c r="Z9" s="296" t="s">
        <v>70</v>
      </c>
      <c r="AA9" s="2634"/>
      <c r="AB9" s="2343"/>
      <c r="AC9" s="2343"/>
      <c r="AD9" s="13" t="s">
        <v>66</v>
      </c>
      <c r="AE9" s="13" t="s">
        <v>67</v>
      </c>
      <c r="AF9" s="13" t="s">
        <v>66</v>
      </c>
      <c r="AG9" s="13" t="s">
        <v>67</v>
      </c>
      <c r="AH9" s="13" t="s">
        <v>66</v>
      </c>
      <c r="AI9" s="13" t="s">
        <v>67</v>
      </c>
      <c r="AJ9" s="13" t="s">
        <v>66</v>
      </c>
      <c r="AK9" s="13" t="s">
        <v>67</v>
      </c>
      <c r="AL9" s="13" t="s">
        <v>66</v>
      </c>
      <c r="AM9" s="13" t="s">
        <v>67</v>
      </c>
      <c r="AN9" s="13" t="s">
        <v>66</v>
      </c>
      <c r="AO9" s="13" t="s">
        <v>67</v>
      </c>
      <c r="AP9" s="13" t="s">
        <v>66</v>
      </c>
      <c r="AQ9" s="13" t="s">
        <v>67</v>
      </c>
      <c r="AR9" s="13" t="s">
        <v>66</v>
      </c>
      <c r="AS9" s="13" t="s">
        <v>67</v>
      </c>
      <c r="AT9" s="13" t="s">
        <v>66</v>
      </c>
      <c r="AU9" s="13" t="s">
        <v>67</v>
      </c>
      <c r="AV9" s="13" t="s">
        <v>66</v>
      </c>
      <c r="AW9" s="13" t="s">
        <v>67</v>
      </c>
      <c r="AX9" s="13" t="s">
        <v>66</v>
      </c>
      <c r="AY9" s="13" t="s">
        <v>67</v>
      </c>
      <c r="AZ9" s="13" t="s">
        <v>66</v>
      </c>
      <c r="BA9" s="13" t="s">
        <v>67</v>
      </c>
      <c r="BB9" s="13" t="s">
        <v>66</v>
      </c>
      <c r="BC9" s="13" t="s">
        <v>67</v>
      </c>
      <c r="BD9" s="13" t="s">
        <v>66</v>
      </c>
      <c r="BE9" s="13" t="s">
        <v>67</v>
      </c>
      <c r="BF9" s="13" t="s">
        <v>66</v>
      </c>
      <c r="BG9" s="13" t="s">
        <v>67</v>
      </c>
      <c r="BH9" s="13" t="s">
        <v>66</v>
      </c>
      <c r="BI9" s="13" t="s">
        <v>67</v>
      </c>
      <c r="BJ9" s="2332"/>
      <c r="BK9" s="2331"/>
      <c r="BL9" s="2332"/>
      <c r="BM9" s="2849"/>
      <c r="BN9" s="15" t="s">
        <v>25</v>
      </c>
      <c r="BO9" s="16" t="s">
        <v>26</v>
      </c>
      <c r="BP9" s="3593"/>
      <c r="BQ9" s="295" t="s">
        <v>66</v>
      </c>
      <c r="BR9" s="628" t="s">
        <v>67</v>
      </c>
      <c r="BS9" s="628" t="s">
        <v>66</v>
      </c>
      <c r="BT9" s="628" t="s">
        <v>67</v>
      </c>
      <c r="BU9" s="2346"/>
      <c r="BV9" s="2"/>
      <c r="BW9" s="2"/>
      <c r="BX9" s="2"/>
      <c r="BY9" s="2"/>
      <c r="BZ9" s="2"/>
      <c r="CA9" s="2"/>
      <c r="CB9" s="2"/>
      <c r="CC9" s="2"/>
      <c r="CD9" s="2"/>
      <c r="CE9" s="2"/>
      <c r="CF9" s="2"/>
      <c r="CG9" s="2"/>
      <c r="CH9" s="2"/>
      <c r="CI9" s="2"/>
      <c r="CJ9" s="2"/>
      <c r="CK9" s="2"/>
      <c r="CL9" s="2"/>
      <c r="CM9" s="2"/>
      <c r="CN9" s="2"/>
      <c r="CO9" s="2"/>
    </row>
    <row r="10" spans="1:93" s="28" customFormat="1" ht="27" customHeight="1" x14ac:dyDescent="0.25">
      <c r="A10" s="601">
        <v>2</v>
      </c>
      <c r="B10" s="3594" t="s">
        <v>723</v>
      </c>
      <c r="C10" s="3594"/>
      <c r="D10" s="3594"/>
      <c r="E10" s="3594"/>
      <c r="F10" s="377"/>
      <c r="G10" s="377"/>
      <c r="H10" s="376"/>
      <c r="I10" s="377"/>
      <c r="J10" s="376"/>
      <c r="K10" s="377"/>
      <c r="L10" s="376"/>
      <c r="M10" s="377"/>
      <c r="N10" s="376"/>
      <c r="O10" s="377"/>
      <c r="P10" s="377"/>
      <c r="Q10" s="377"/>
      <c r="R10" s="376"/>
      <c r="S10" s="378"/>
      <c r="T10" s="379"/>
      <c r="U10" s="376"/>
      <c r="V10" s="376"/>
      <c r="W10" s="376"/>
      <c r="X10" s="379"/>
      <c r="Y10" s="379"/>
      <c r="Z10" s="379"/>
      <c r="AA10" s="376"/>
      <c r="AB10" s="381"/>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629"/>
      <c r="BN10" s="377"/>
      <c r="BO10" s="376"/>
      <c r="BP10" s="377"/>
      <c r="BQ10" s="26"/>
      <c r="BR10" s="26"/>
      <c r="BS10" s="26"/>
      <c r="BT10" s="26"/>
      <c r="BU10" s="382"/>
      <c r="BV10" s="2"/>
      <c r="BW10" s="2"/>
      <c r="BX10" s="2"/>
      <c r="BY10" s="2"/>
      <c r="BZ10" s="2"/>
      <c r="CA10" s="2"/>
      <c r="CB10" s="2"/>
      <c r="CC10" s="2"/>
      <c r="CD10" s="2"/>
      <c r="CE10" s="2"/>
      <c r="CF10" s="2"/>
      <c r="CG10" s="2"/>
      <c r="CH10" s="2"/>
      <c r="CI10" s="2"/>
      <c r="CJ10" s="2"/>
      <c r="CK10" s="2"/>
      <c r="CL10" s="2"/>
      <c r="CM10" s="2"/>
      <c r="CN10" s="2"/>
      <c r="CO10" s="2"/>
    </row>
    <row r="11" spans="1:93" s="69" customFormat="1" ht="27" customHeight="1" x14ac:dyDescent="0.25">
      <c r="A11" s="2755"/>
      <c r="B11" s="2756"/>
      <c r="C11" s="31">
        <v>17</v>
      </c>
      <c r="D11" s="2323" t="s">
        <v>724</v>
      </c>
      <c r="E11" s="3198"/>
      <c r="F11" s="3198"/>
      <c r="G11" s="3198"/>
      <c r="H11" s="3198"/>
      <c r="I11" s="33"/>
      <c r="J11" s="32"/>
      <c r="K11" s="33"/>
      <c r="L11" s="32"/>
      <c r="M11" s="33"/>
      <c r="N11" s="32"/>
      <c r="O11" s="33"/>
      <c r="P11" s="33"/>
      <c r="Q11" s="33"/>
      <c r="R11" s="32"/>
      <c r="S11" s="35"/>
      <c r="T11" s="37"/>
      <c r="U11" s="32"/>
      <c r="V11" s="32"/>
      <c r="W11" s="32"/>
      <c r="X11" s="37"/>
      <c r="Y11" s="37"/>
      <c r="Z11" s="37"/>
      <c r="AA11" s="630"/>
      <c r="AB11" s="631"/>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2"/>
      <c r="BH11" s="632"/>
      <c r="BI11" s="632"/>
      <c r="BJ11" s="632"/>
      <c r="BK11" s="632"/>
      <c r="BL11" s="632"/>
      <c r="BM11" s="633"/>
      <c r="BN11" s="632"/>
      <c r="BO11" s="630"/>
      <c r="BP11" s="632"/>
      <c r="BQ11" s="634"/>
      <c r="BR11" s="634"/>
      <c r="BS11" s="634"/>
      <c r="BT11" s="634"/>
      <c r="BU11" s="635"/>
      <c r="BV11" s="70"/>
      <c r="BW11" s="70"/>
      <c r="BX11" s="70"/>
      <c r="BY11" s="70"/>
      <c r="BZ11" s="70"/>
      <c r="CA11" s="70"/>
      <c r="CB11" s="70"/>
      <c r="CC11" s="70"/>
      <c r="CD11" s="70"/>
      <c r="CE11" s="70"/>
      <c r="CF11" s="70"/>
      <c r="CG11" s="70"/>
      <c r="CH11" s="70"/>
      <c r="CI11" s="70"/>
      <c r="CJ11" s="70"/>
      <c r="CK11" s="70"/>
      <c r="CL11" s="70"/>
      <c r="CM11" s="70"/>
      <c r="CN11" s="70"/>
      <c r="CO11" s="70"/>
    </row>
    <row r="12" spans="1:93" s="2" customFormat="1" ht="27" customHeight="1" x14ac:dyDescent="0.25">
      <c r="A12" s="2757"/>
      <c r="B12" s="2758"/>
      <c r="C12" s="2834"/>
      <c r="D12" s="2835"/>
      <c r="E12" s="636">
        <v>1702</v>
      </c>
      <c r="F12" s="2657" t="s">
        <v>725</v>
      </c>
      <c r="G12" s="2657"/>
      <c r="H12" s="2657"/>
      <c r="I12" s="2657"/>
      <c r="J12" s="2657"/>
      <c r="K12" s="2657"/>
      <c r="L12" s="2657"/>
      <c r="M12" s="188"/>
      <c r="N12" s="323"/>
      <c r="O12" s="188"/>
      <c r="P12" s="188"/>
      <c r="Q12" s="188"/>
      <c r="R12" s="323"/>
      <c r="S12" s="186"/>
      <c r="T12" s="322"/>
      <c r="U12" s="323"/>
      <c r="V12" s="323"/>
      <c r="W12" s="323"/>
      <c r="X12" s="322"/>
      <c r="Y12" s="322"/>
      <c r="Z12" s="322"/>
      <c r="AA12" s="637"/>
      <c r="AB12" s="638"/>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40"/>
      <c r="BN12" s="639"/>
      <c r="BO12" s="641"/>
      <c r="BP12" s="639"/>
      <c r="BQ12" s="642"/>
      <c r="BR12" s="642"/>
      <c r="BS12" s="642"/>
      <c r="BT12" s="642"/>
      <c r="BU12" s="643"/>
    </row>
    <row r="13" spans="1:93" s="2" customFormat="1" ht="95.25" customHeight="1" x14ac:dyDescent="0.25">
      <c r="A13" s="2757"/>
      <c r="B13" s="2758"/>
      <c r="C13" s="2836"/>
      <c r="D13" s="2837"/>
      <c r="E13" s="3595"/>
      <c r="F13" s="3596"/>
      <c r="G13" s="2682">
        <v>1702011</v>
      </c>
      <c r="H13" s="2475" t="s">
        <v>726</v>
      </c>
      <c r="I13" s="2682">
        <v>1702011</v>
      </c>
      <c r="J13" s="2475" t="s">
        <v>726</v>
      </c>
      <c r="K13" s="3606">
        <v>170201100</v>
      </c>
      <c r="L13" s="2475" t="s">
        <v>727</v>
      </c>
      <c r="M13" s="3606">
        <v>170201100</v>
      </c>
      <c r="N13" s="2475" t="s">
        <v>727</v>
      </c>
      <c r="O13" s="2946">
        <v>30</v>
      </c>
      <c r="P13" s="2468">
        <v>29</v>
      </c>
      <c r="Q13" s="3408" t="s">
        <v>728</v>
      </c>
      <c r="R13" s="2701" t="s">
        <v>729</v>
      </c>
      <c r="S13" s="3602">
        <f>SUM(X13:X14)/T13</f>
        <v>0.30581867388362655</v>
      </c>
      <c r="T13" s="3603">
        <f>SUM(X13:X17)</f>
        <v>739000000</v>
      </c>
      <c r="U13" s="2428" t="s">
        <v>730</v>
      </c>
      <c r="V13" s="2295" t="s">
        <v>731</v>
      </c>
      <c r="W13" s="2295" t="s">
        <v>732</v>
      </c>
      <c r="X13" s="72">
        <v>170000000</v>
      </c>
      <c r="Y13" s="72">
        <v>74160000</v>
      </c>
      <c r="Z13" s="72">
        <v>52735000</v>
      </c>
      <c r="AA13" s="644" t="s">
        <v>733</v>
      </c>
      <c r="AB13" s="3616">
        <v>20</v>
      </c>
      <c r="AC13" s="2392" t="s">
        <v>734</v>
      </c>
      <c r="AD13" s="2741">
        <v>140</v>
      </c>
      <c r="AE13" s="2741"/>
      <c r="AF13" s="2741">
        <v>160</v>
      </c>
      <c r="AG13" s="3613"/>
      <c r="AH13" s="2741"/>
      <c r="AI13" s="2741"/>
      <c r="AJ13" s="2741"/>
      <c r="AK13" s="2741"/>
      <c r="AL13" s="2741">
        <v>250</v>
      </c>
      <c r="AM13" s="2741"/>
      <c r="AN13" s="2741">
        <v>50</v>
      </c>
      <c r="AO13" s="2741"/>
      <c r="AP13" s="2258"/>
      <c r="AQ13" s="2258"/>
      <c r="AR13" s="2741"/>
      <c r="AS13" s="2741"/>
      <c r="AT13" s="2741"/>
      <c r="AU13" s="2741"/>
      <c r="AV13" s="2741"/>
      <c r="AW13" s="2741"/>
      <c r="AX13" s="2741"/>
      <c r="AY13" s="2741"/>
      <c r="AZ13" s="2741"/>
      <c r="BA13" s="2741"/>
      <c r="BB13" s="2741"/>
      <c r="BC13" s="2741"/>
      <c r="BD13" s="2741"/>
      <c r="BE13" s="2741"/>
      <c r="BF13" s="2741"/>
      <c r="BG13" s="2741"/>
      <c r="BH13" s="2741">
        <v>300</v>
      </c>
      <c r="BI13" s="2741"/>
      <c r="BJ13" s="2741">
        <v>6</v>
      </c>
      <c r="BK13" s="3620">
        <f>SUM(Y13:Y17)</f>
        <v>74160000</v>
      </c>
      <c r="BL13" s="3620">
        <f>SUM(Z13:Z17)</f>
        <v>52735000</v>
      </c>
      <c r="BM13" s="2492">
        <f>+BL13/BK13</f>
        <v>0.71109762675296651</v>
      </c>
      <c r="BN13" s="2741" t="s">
        <v>735</v>
      </c>
      <c r="BO13" s="2738" t="s">
        <v>736</v>
      </c>
      <c r="BP13" s="2741" t="s">
        <v>737</v>
      </c>
      <c r="BQ13" s="2383">
        <v>44211</v>
      </c>
      <c r="BR13" s="2383">
        <v>44228</v>
      </c>
      <c r="BS13" s="2383">
        <v>44561</v>
      </c>
      <c r="BT13" s="2383">
        <v>44392</v>
      </c>
      <c r="BU13" s="3510" t="s">
        <v>738</v>
      </c>
    </row>
    <row r="14" spans="1:93" s="2" customFormat="1" ht="95.25" customHeight="1" x14ac:dyDescent="0.25">
      <c r="A14" s="2757"/>
      <c r="B14" s="2758"/>
      <c r="C14" s="2836"/>
      <c r="D14" s="2837"/>
      <c r="E14" s="3597"/>
      <c r="F14" s="3598"/>
      <c r="G14" s="2682"/>
      <c r="H14" s="2475"/>
      <c r="I14" s="2682"/>
      <c r="J14" s="2475"/>
      <c r="K14" s="3606"/>
      <c r="L14" s="2475"/>
      <c r="M14" s="3606"/>
      <c r="N14" s="2475"/>
      <c r="O14" s="2946"/>
      <c r="P14" s="2468"/>
      <c r="Q14" s="3409"/>
      <c r="R14" s="2702"/>
      <c r="S14" s="3602"/>
      <c r="T14" s="3604"/>
      <c r="U14" s="2429"/>
      <c r="V14" s="2700"/>
      <c r="W14" s="2700"/>
      <c r="X14" s="72">
        <v>56000000</v>
      </c>
      <c r="Y14" s="72">
        <v>0</v>
      </c>
      <c r="Z14" s="72">
        <v>0</v>
      </c>
      <c r="AA14" s="644" t="s">
        <v>739</v>
      </c>
      <c r="AB14" s="3617"/>
      <c r="AC14" s="2388"/>
      <c r="AD14" s="2742"/>
      <c r="AE14" s="2742"/>
      <c r="AF14" s="2742"/>
      <c r="AG14" s="3614"/>
      <c r="AH14" s="2742"/>
      <c r="AI14" s="2742"/>
      <c r="AJ14" s="2742"/>
      <c r="AK14" s="2742"/>
      <c r="AL14" s="2742"/>
      <c r="AM14" s="2742"/>
      <c r="AN14" s="2742"/>
      <c r="AO14" s="2742"/>
      <c r="AP14" s="2258"/>
      <c r="AQ14" s="2258"/>
      <c r="AR14" s="2742"/>
      <c r="AS14" s="2742"/>
      <c r="AT14" s="2742"/>
      <c r="AU14" s="2742"/>
      <c r="AV14" s="2742"/>
      <c r="AW14" s="2742"/>
      <c r="AX14" s="2742"/>
      <c r="AY14" s="2742"/>
      <c r="AZ14" s="2742"/>
      <c r="BA14" s="2742"/>
      <c r="BB14" s="2742"/>
      <c r="BC14" s="2742"/>
      <c r="BD14" s="2742"/>
      <c r="BE14" s="2742"/>
      <c r="BF14" s="2742"/>
      <c r="BG14" s="2742"/>
      <c r="BH14" s="2742"/>
      <c r="BI14" s="2742"/>
      <c r="BJ14" s="2742"/>
      <c r="BK14" s="3621"/>
      <c r="BL14" s="3621"/>
      <c r="BM14" s="2707"/>
      <c r="BN14" s="2742"/>
      <c r="BO14" s="2739"/>
      <c r="BP14" s="2742"/>
      <c r="BQ14" s="3618"/>
      <c r="BR14" s="3618"/>
      <c r="BS14" s="3618"/>
      <c r="BT14" s="3618"/>
      <c r="BU14" s="3491"/>
    </row>
    <row r="15" spans="1:93" s="2" customFormat="1" ht="95.25" customHeight="1" x14ac:dyDescent="0.25">
      <c r="A15" s="2757"/>
      <c r="B15" s="2758"/>
      <c r="C15" s="2836"/>
      <c r="D15" s="2837"/>
      <c r="E15" s="3597"/>
      <c r="F15" s="3598"/>
      <c r="G15" s="571">
        <v>1702007</v>
      </c>
      <c r="H15" s="494" t="s">
        <v>740</v>
      </c>
      <c r="I15" s="571">
        <v>1702007</v>
      </c>
      <c r="J15" s="494" t="s">
        <v>740</v>
      </c>
      <c r="K15" s="645">
        <v>170200700</v>
      </c>
      <c r="L15" s="646" t="s">
        <v>741</v>
      </c>
      <c r="M15" s="645">
        <v>170200700</v>
      </c>
      <c r="N15" s="646" t="s">
        <v>741</v>
      </c>
      <c r="O15" s="647">
        <v>4</v>
      </c>
      <c r="P15" s="197">
        <v>0</v>
      </c>
      <c r="Q15" s="3409"/>
      <c r="R15" s="2702"/>
      <c r="S15" s="648">
        <f>X15/T13</f>
        <v>0.16644113667117727</v>
      </c>
      <c r="T15" s="3604"/>
      <c r="U15" s="2429"/>
      <c r="V15" s="252" t="s">
        <v>742</v>
      </c>
      <c r="W15" s="252" t="s">
        <v>743</v>
      </c>
      <c r="X15" s="72">
        <v>123000000</v>
      </c>
      <c r="Y15" s="72">
        <v>0</v>
      </c>
      <c r="Z15" s="72">
        <v>0</v>
      </c>
      <c r="AA15" s="644" t="s">
        <v>744</v>
      </c>
      <c r="AB15" s="649">
        <v>20</v>
      </c>
      <c r="AC15" s="103" t="s">
        <v>734</v>
      </c>
      <c r="AD15" s="2742"/>
      <c r="AE15" s="2742"/>
      <c r="AF15" s="2742"/>
      <c r="AG15" s="3614"/>
      <c r="AH15" s="2742"/>
      <c r="AI15" s="2742"/>
      <c r="AJ15" s="2742"/>
      <c r="AK15" s="2742"/>
      <c r="AL15" s="2742"/>
      <c r="AM15" s="2742"/>
      <c r="AN15" s="2742"/>
      <c r="AO15" s="2742"/>
      <c r="AP15" s="2258"/>
      <c r="AQ15" s="2258"/>
      <c r="AR15" s="2742"/>
      <c r="AS15" s="2742"/>
      <c r="AT15" s="2742"/>
      <c r="AU15" s="2742"/>
      <c r="AV15" s="2742"/>
      <c r="AW15" s="2742"/>
      <c r="AX15" s="2742"/>
      <c r="AY15" s="2742"/>
      <c r="AZ15" s="2742"/>
      <c r="BA15" s="2742"/>
      <c r="BB15" s="2742"/>
      <c r="BC15" s="2742"/>
      <c r="BD15" s="2742"/>
      <c r="BE15" s="2742"/>
      <c r="BF15" s="2742"/>
      <c r="BG15" s="2742"/>
      <c r="BH15" s="2742"/>
      <c r="BI15" s="2742"/>
      <c r="BJ15" s="2742"/>
      <c r="BK15" s="3621"/>
      <c r="BL15" s="3621"/>
      <c r="BM15" s="2707"/>
      <c r="BN15" s="2742"/>
      <c r="BO15" s="2739"/>
      <c r="BP15" s="2742"/>
      <c r="BQ15" s="3618"/>
      <c r="BR15" s="3618"/>
      <c r="BS15" s="3618"/>
      <c r="BT15" s="3618"/>
      <c r="BU15" s="3491"/>
    </row>
    <row r="16" spans="1:93" s="2" customFormat="1" ht="53.25" customHeight="1" x14ac:dyDescent="0.25">
      <c r="A16" s="2757"/>
      <c r="B16" s="2758"/>
      <c r="C16" s="2836"/>
      <c r="D16" s="2837"/>
      <c r="E16" s="3597"/>
      <c r="F16" s="3598"/>
      <c r="G16" s="650">
        <v>1702009</v>
      </c>
      <c r="H16" s="651" t="s">
        <v>745</v>
      </c>
      <c r="I16" s="2646">
        <v>1702009</v>
      </c>
      <c r="J16" s="3630" t="s">
        <v>745</v>
      </c>
      <c r="K16" s="3609">
        <v>170200900</v>
      </c>
      <c r="L16" s="3611" t="s">
        <v>746</v>
      </c>
      <c r="M16" s="3609">
        <v>170200900</v>
      </c>
      <c r="N16" s="3611" t="s">
        <v>746</v>
      </c>
      <c r="O16" s="2970">
        <v>168</v>
      </c>
      <c r="P16" s="3025">
        <v>0</v>
      </c>
      <c r="Q16" s="3409"/>
      <c r="R16" s="2702"/>
      <c r="S16" s="3607">
        <f>+(X16+X17)/T13</f>
        <v>0.52774018944519618</v>
      </c>
      <c r="T16" s="3604"/>
      <c r="U16" s="2429"/>
      <c r="V16" s="2295" t="s">
        <v>747</v>
      </c>
      <c r="W16" s="2295" t="s">
        <v>748</v>
      </c>
      <c r="X16" s="72">
        <v>90000000</v>
      </c>
      <c r="Y16" s="72">
        <v>0</v>
      </c>
      <c r="Z16" s="72">
        <v>0</v>
      </c>
      <c r="AA16" s="644" t="s">
        <v>749</v>
      </c>
      <c r="AB16" s="649">
        <v>20</v>
      </c>
      <c r="AC16" s="103" t="s">
        <v>734</v>
      </c>
      <c r="AD16" s="2742"/>
      <c r="AE16" s="2742"/>
      <c r="AF16" s="2742"/>
      <c r="AG16" s="3614"/>
      <c r="AH16" s="2742"/>
      <c r="AI16" s="2742"/>
      <c r="AJ16" s="2742"/>
      <c r="AK16" s="2742"/>
      <c r="AL16" s="2742"/>
      <c r="AM16" s="2742"/>
      <c r="AN16" s="2742"/>
      <c r="AO16" s="2742"/>
      <c r="AP16" s="2258"/>
      <c r="AQ16" s="2258"/>
      <c r="AR16" s="2742"/>
      <c r="AS16" s="2742"/>
      <c r="AT16" s="2742"/>
      <c r="AU16" s="2742"/>
      <c r="AV16" s="2742"/>
      <c r="AW16" s="2742"/>
      <c r="AX16" s="2742"/>
      <c r="AY16" s="2742"/>
      <c r="AZ16" s="2742"/>
      <c r="BA16" s="2742"/>
      <c r="BB16" s="2742"/>
      <c r="BC16" s="2742"/>
      <c r="BD16" s="2742"/>
      <c r="BE16" s="2742"/>
      <c r="BF16" s="2742"/>
      <c r="BG16" s="2742"/>
      <c r="BH16" s="2742"/>
      <c r="BI16" s="2742"/>
      <c r="BJ16" s="2742"/>
      <c r="BK16" s="3621"/>
      <c r="BL16" s="3621"/>
      <c r="BM16" s="2707"/>
      <c r="BN16" s="2742"/>
      <c r="BO16" s="2739"/>
      <c r="BP16" s="2742"/>
      <c r="BQ16" s="3618"/>
      <c r="BR16" s="3618"/>
      <c r="BS16" s="3618"/>
      <c r="BT16" s="3618"/>
      <c r="BU16" s="3491"/>
    </row>
    <row r="17" spans="1:73" s="2" customFormat="1" ht="53.25" customHeight="1" x14ac:dyDescent="0.25">
      <c r="A17" s="2757"/>
      <c r="B17" s="2758"/>
      <c r="C17" s="2836"/>
      <c r="D17" s="2837"/>
      <c r="E17" s="3597"/>
      <c r="F17" s="3598"/>
      <c r="G17" s="652"/>
      <c r="H17" s="653"/>
      <c r="I17" s="2648"/>
      <c r="J17" s="3631"/>
      <c r="K17" s="3610"/>
      <c r="L17" s="3612"/>
      <c r="M17" s="3610"/>
      <c r="N17" s="3612"/>
      <c r="O17" s="2945"/>
      <c r="P17" s="3026"/>
      <c r="Q17" s="3601"/>
      <c r="R17" s="2703"/>
      <c r="S17" s="3608"/>
      <c r="T17" s="3605"/>
      <c r="U17" s="2430"/>
      <c r="V17" s="2700"/>
      <c r="W17" s="2700"/>
      <c r="X17" s="72">
        <v>300000000</v>
      </c>
      <c r="Y17" s="72"/>
      <c r="Z17" s="72">
        <v>0</v>
      </c>
      <c r="AA17" s="332" t="s">
        <v>750</v>
      </c>
      <c r="AB17" s="654">
        <v>195</v>
      </c>
      <c r="AC17" s="655" t="s">
        <v>751</v>
      </c>
      <c r="AD17" s="2743"/>
      <c r="AE17" s="2743"/>
      <c r="AF17" s="2743"/>
      <c r="AG17" s="3615"/>
      <c r="AH17" s="2743"/>
      <c r="AI17" s="2743"/>
      <c r="AJ17" s="2743"/>
      <c r="AK17" s="2743"/>
      <c r="AL17" s="2743"/>
      <c r="AM17" s="2743"/>
      <c r="AN17" s="2743"/>
      <c r="AO17" s="2743"/>
      <c r="AP17" s="2258"/>
      <c r="AQ17" s="2258"/>
      <c r="AR17" s="2743"/>
      <c r="AS17" s="2743"/>
      <c r="AT17" s="2743"/>
      <c r="AU17" s="2743"/>
      <c r="AV17" s="2743"/>
      <c r="AW17" s="2743"/>
      <c r="AX17" s="2743"/>
      <c r="AY17" s="2743"/>
      <c r="AZ17" s="2743"/>
      <c r="BA17" s="2743"/>
      <c r="BB17" s="2743"/>
      <c r="BC17" s="2743"/>
      <c r="BD17" s="2743"/>
      <c r="BE17" s="2743"/>
      <c r="BF17" s="2743"/>
      <c r="BG17" s="2743"/>
      <c r="BH17" s="2743"/>
      <c r="BI17" s="2743"/>
      <c r="BJ17" s="2743"/>
      <c r="BK17" s="3622"/>
      <c r="BL17" s="3622"/>
      <c r="BM17" s="2708"/>
      <c r="BN17" s="2743"/>
      <c r="BO17" s="2740"/>
      <c r="BP17" s="2743"/>
      <c r="BQ17" s="3619"/>
      <c r="BR17" s="3619"/>
      <c r="BS17" s="3619"/>
      <c r="BT17" s="3619"/>
      <c r="BU17" s="3492"/>
    </row>
    <row r="18" spans="1:73" ht="59.25" customHeight="1" x14ac:dyDescent="0.25">
      <c r="A18" s="2757"/>
      <c r="B18" s="2758"/>
      <c r="C18" s="2836"/>
      <c r="D18" s="2837"/>
      <c r="E18" s="3597"/>
      <c r="F18" s="3598"/>
      <c r="G18" s="3623">
        <v>1702017</v>
      </c>
      <c r="H18" s="3611" t="s">
        <v>752</v>
      </c>
      <c r="I18" s="3623">
        <v>1702017</v>
      </c>
      <c r="J18" s="3611" t="s">
        <v>752</v>
      </c>
      <c r="K18" s="3627" t="s">
        <v>753</v>
      </c>
      <c r="L18" s="3611" t="s">
        <v>754</v>
      </c>
      <c r="M18" s="3627" t="s">
        <v>753</v>
      </c>
      <c r="N18" s="3611" t="s">
        <v>754</v>
      </c>
      <c r="O18" s="3634">
        <v>750</v>
      </c>
      <c r="P18" s="3637">
        <v>240</v>
      </c>
      <c r="Q18" s="3385" t="s">
        <v>755</v>
      </c>
      <c r="R18" s="2476" t="s">
        <v>756</v>
      </c>
      <c r="S18" s="3607">
        <f>SUM(X18:X20)/T18</f>
        <v>0.87737064405377529</v>
      </c>
      <c r="T18" s="3633">
        <f>SUM(X18:X22)</f>
        <v>530052526.97000003</v>
      </c>
      <c r="U18" s="2701" t="s">
        <v>757</v>
      </c>
      <c r="V18" s="2295" t="s">
        <v>758</v>
      </c>
      <c r="W18" s="2295" t="s">
        <v>759</v>
      </c>
      <c r="X18" s="72">
        <v>90000000</v>
      </c>
      <c r="Y18" s="72">
        <v>30500000</v>
      </c>
      <c r="Z18" s="72">
        <v>22875000</v>
      </c>
      <c r="AA18" s="656" t="s">
        <v>760</v>
      </c>
      <c r="AB18" s="3640">
        <v>20</v>
      </c>
      <c r="AC18" s="3408" t="s">
        <v>734</v>
      </c>
      <c r="AD18" s="2741">
        <v>25</v>
      </c>
      <c r="AE18" s="2741"/>
      <c r="AF18" s="2741">
        <v>25</v>
      </c>
      <c r="AG18" s="2741"/>
      <c r="AH18" s="2741">
        <v>10</v>
      </c>
      <c r="AI18" s="2741"/>
      <c r="AJ18" s="2741">
        <v>10</v>
      </c>
      <c r="AK18" s="2741"/>
      <c r="AL18" s="2741">
        <v>20</v>
      </c>
      <c r="AM18" s="2741"/>
      <c r="AN18" s="2741">
        <v>10</v>
      </c>
      <c r="AO18" s="2741"/>
      <c r="AP18" s="2741">
        <v>2145</v>
      </c>
      <c r="AQ18" s="2741"/>
      <c r="AR18" s="2741">
        <v>12718</v>
      </c>
      <c r="AS18" s="2741"/>
      <c r="AT18" s="2741">
        <v>26</v>
      </c>
      <c r="AU18" s="2741"/>
      <c r="AV18" s="2741"/>
      <c r="AW18" s="2741"/>
      <c r="AX18" s="2741"/>
      <c r="AY18" s="2741"/>
      <c r="AZ18" s="2741"/>
      <c r="BA18" s="2741"/>
      <c r="BB18" s="2741"/>
      <c r="BC18" s="2741"/>
      <c r="BD18" s="2741"/>
      <c r="BE18" s="2741"/>
      <c r="BF18" s="2741"/>
      <c r="BG18" s="2741"/>
      <c r="BH18" s="2741">
        <v>50</v>
      </c>
      <c r="BI18" s="2741"/>
      <c r="BJ18" s="2741">
        <v>4</v>
      </c>
      <c r="BK18" s="3620">
        <f>SUM(Y18:Y22)</f>
        <v>37920000</v>
      </c>
      <c r="BL18" s="3620">
        <f>SUM(Z18:Z22)</f>
        <v>30295000</v>
      </c>
      <c r="BM18" s="2492">
        <f>+BL18/BK18</f>
        <v>0.79891877637130804</v>
      </c>
      <c r="BN18" s="2741" t="s">
        <v>438</v>
      </c>
      <c r="BO18" s="2738" t="s">
        <v>761</v>
      </c>
      <c r="BP18" s="2741" t="s">
        <v>762</v>
      </c>
      <c r="BQ18" s="3644">
        <v>44211</v>
      </c>
      <c r="BR18" s="3644">
        <v>44242</v>
      </c>
      <c r="BS18" s="3644">
        <v>44561</v>
      </c>
      <c r="BT18" s="3644">
        <v>44391</v>
      </c>
      <c r="BU18" s="3510" t="s">
        <v>738</v>
      </c>
    </row>
    <row r="19" spans="1:73" ht="59.25" customHeight="1" x14ac:dyDescent="0.25">
      <c r="A19" s="2757"/>
      <c r="B19" s="2758"/>
      <c r="C19" s="2836"/>
      <c r="D19" s="2837"/>
      <c r="E19" s="3597"/>
      <c r="F19" s="3598"/>
      <c r="G19" s="3624"/>
      <c r="H19" s="3626"/>
      <c r="I19" s="3624"/>
      <c r="J19" s="3626"/>
      <c r="K19" s="3628"/>
      <c r="L19" s="3626"/>
      <c r="M19" s="3628"/>
      <c r="N19" s="3626"/>
      <c r="O19" s="3635"/>
      <c r="P19" s="3638"/>
      <c r="Q19" s="3385"/>
      <c r="R19" s="2476"/>
      <c r="S19" s="3632"/>
      <c r="T19" s="3633"/>
      <c r="U19" s="2702"/>
      <c r="V19" s="2699"/>
      <c r="W19" s="2699"/>
      <c r="X19" s="72">
        <v>40000000</v>
      </c>
      <c r="Y19" s="72">
        <v>0</v>
      </c>
      <c r="Z19" s="72">
        <v>0</v>
      </c>
      <c r="AA19" s="656" t="s">
        <v>763</v>
      </c>
      <c r="AB19" s="3641"/>
      <c r="AC19" s="3601"/>
      <c r="AD19" s="2742"/>
      <c r="AE19" s="2742"/>
      <c r="AF19" s="2742"/>
      <c r="AG19" s="2742"/>
      <c r="AH19" s="2742"/>
      <c r="AI19" s="2742"/>
      <c r="AJ19" s="2742"/>
      <c r="AK19" s="2742"/>
      <c r="AL19" s="2742"/>
      <c r="AM19" s="2742"/>
      <c r="AN19" s="2742"/>
      <c r="AO19" s="2742"/>
      <c r="AP19" s="2742"/>
      <c r="AQ19" s="2742"/>
      <c r="AR19" s="2742"/>
      <c r="AS19" s="2742"/>
      <c r="AT19" s="2742"/>
      <c r="AU19" s="2742"/>
      <c r="AV19" s="2742"/>
      <c r="AW19" s="2742"/>
      <c r="AX19" s="2742"/>
      <c r="AY19" s="2742"/>
      <c r="AZ19" s="2742"/>
      <c r="BA19" s="2742"/>
      <c r="BB19" s="2742"/>
      <c r="BC19" s="2742"/>
      <c r="BD19" s="2742"/>
      <c r="BE19" s="2742"/>
      <c r="BF19" s="2742"/>
      <c r="BG19" s="2742"/>
      <c r="BH19" s="2742"/>
      <c r="BI19" s="2742"/>
      <c r="BJ19" s="2742"/>
      <c r="BK19" s="3621"/>
      <c r="BL19" s="3621"/>
      <c r="BM19" s="2707"/>
      <c r="BN19" s="2742"/>
      <c r="BO19" s="2739"/>
      <c r="BP19" s="2742"/>
      <c r="BQ19" s="3645"/>
      <c r="BR19" s="3645"/>
      <c r="BS19" s="3645"/>
      <c r="BT19" s="3645"/>
      <c r="BU19" s="3491"/>
    </row>
    <row r="20" spans="1:73" ht="59.25" customHeight="1" x14ac:dyDescent="0.25">
      <c r="A20" s="2757"/>
      <c r="B20" s="2758"/>
      <c r="C20" s="2836"/>
      <c r="D20" s="2837"/>
      <c r="E20" s="3597"/>
      <c r="F20" s="3598"/>
      <c r="G20" s="3625"/>
      <c r="H20" s="3612"/>
      <c r="I20" s="3625"/>
      <c r="J20" s="3612"/>
      <c r="K20" s="3629"/>
      <c r="L20" s="3612"/>
      <c r="M20" s="3629"/>
      <c r="N20" s="3612"/>
      <c r="O20" s="3636"/>
      <c r="P20" s="3639"/>
      <c r="Q20" s="3385"/>
      <c r="R20" s="2476"/>
      <c r="S20" s="3608"/>
      <c r="T20" s="3633"/>
      <c r="U20" s="2702"/>
      <c r="V20" s="2700"/>
      <c r="W20" s="2700"/>
      <c r="X20" s="72">
        <v>335052526.97000003</v>
      </c>
      <c r="Y20" s="72">
        <v>0</v>
      </c>
      <c r="Z20" s="72">
        <v>0</v>
      </c>
      <c r="AA20" s="657" t="s">
        <v>764</v>
      </c>
      <c r="AB20" s="658">
        <v>88</v>
      </c>
      <c r="AC20" s="659" t="s">
        <v>391</v>
      </c>
      <c r="AD20" s="2742"/>
      <c r="AE20" s="2742"/>
      <c r="AF20" s="2742"/>
      <c r="AG20" s="2742"/>
      <c r="AH20" s="2742"/>
      <c r="AI20" s="2742"/>
      <c r="AJ20" s="2742"/>
      <c r="AK20" s="2742"/>
      <c r="AL20" s="2742"/>
      <c r="AM20" s="2742"/>
      <c r="AN20" s="2742"/>
      <c r="AO20" s="2742"/>
      <c r="AP20" s="2742"/>
      <c r="AQ20" s="2742"/>
      <c r="AR20" s="2742"/>
      <c r="AS20" s="2742"/>
      <c r="AT20" s="2742"/>
      <c r="AU20" s="2742"/>
      <c r="AV20" s="2742"/>
      <c r="AW20" s="2742"/>
      <c r="AX20" s="2742"/>
      <c r="AY20" s="2742"/>
      <c r="AZ20" s="2742"/>
      <c r="BA20" s="2742"/>
      <c r="BB20" s="2742"/>
      <c r="BC20" s="2742"/>
      <c r="BD20" s="2742"/>
      <c r="BE20" s="2742"/>
      <c r="BF20" s="2742"/>
      <c r="BG20" s="2742"/>
      <c r="BH20" s="2742"/>
      <c r="BI20" s="2742"/>
      <c r="BJ20" s="2742"/>
      <c r="BK20" s="3621"/>
      <c r="BL20" s="3621"/>
      <c r="BM20" s="2707"/>
      <c r="BN20" s="2742"/>
      <c r="BO20" s="2739"/>
      <c r="BP20" s="2742"/>
      <c r="BQ20" s="3645"/>
      <c r="BR20" s="3645"/>
      <c r="BS20" s="3645"/>
      <c r="BT20" s="3645"/>
      <c r="BU20" s="3491"/>
    </row>
    <row r="21" spans="1:73" ht="59.25" customHeight="1" x14ac:dyDescent="0.25">
      <c r="A21" s="2757"/>
      <c r="B21" s="2758"/>
      <c r="C21" s="2836"/>
      <c r="D21" s="2837"/>
      <c r="E21" s="3597"/>
      <c r="F21" s="3598"/>
      <c r="G21" s="571">
        <v>1702014</v>
      </c>
      <c r="H21" s="494" t="s">
        <v>765</v>
      </c>
      <c r="I21" s="571">
        <v>1702014</v>
      </c>
      <c r="J21" s="494" t="s">
        <v>765</v>
      </c>
      <c r="K21" s="495" t="s">
        <v>766</v>
      </c>
      <c r="L21" s="646" t="s">
        <v>767</v>
      </c>
      <c r="M21" s="495" t="s">
        <v>766</v>
      </c>
      <c r="N21" s="646" t="s">
        <v>767</v>
      </c>
      <c r="O21" s="647">
        <v>25</v>
      </c>
      <c r="P21" s="197">
        <v>0</v>
      </c>
      <c r="Q21" s="3385"/>
      <c r="R21" s="2476"/>
      <c r="S21" s="648">
        <f>+X21/T18</f>
        <v>8.4897246424309403E-2</v>
      </c>
      <c r="T21" s="3633"/>
      <c r="U21" s="2702"/>
      <c r="V21" s="208" t="s">
        <v>768</v>
      </c>
      <c r="W21" s="208" t="s">
        <v>769</v>
      </c>
      <c r="X21" s="72">
        <v>45000000</v>
      </c>
      <c r="Y21" s="72">
        <v>0</v>
      </c>
      <c r="Z21" s="72">
        <v>0</v>
      </c>
      <c r="AA21" s="644" t="s">
        <v>770</v>
      </c>
      <c r="AB21" s="649">
        <v>20</v>
      </c>
      <c r="AC21" s="103" t="s">
        <v>734</v>
      </c>
      <c r="AD21" s="2742"/>
      <c r="AE21" s="2742"/>
      <c r="AF21" s="2742"/>
      <c r="AG21" s="2742"/>
      <c r="AH21" s="2742"/>
      <c r="AI21" s="2742"/>
      <c r="AJ21" s="2742"/>
      <c r="AK21" s="2742"/>
      <c r="AL21" s="2742"/>
      <c r="AM21" s="2742"/>
      <c r="AN21" s="2742"/>
      <c r="AO21" s="2742"/>
      <c r="AP21" s="2742"/>
      <c r="AQ21" s="2742"/>
      <c r="AR21" s="2742"/>
      <c r="AS21" s="2742"/>
      <c r="AT21" s="2742"/>
      <c r="AU21" s="2742"/>
      <c r="AV21" s="2742"/>
      <c r="AW21" s="2742"/>
      <c r="AX21" s="2742"/>
      <c r="AY21" s="2742"/>
      <c r="AZ21" s="2742"/>
      <c r="BA21" s="2742"/>
      <c r="BB21" s="2742"/>
      <c r="BC21" s="2742"/>
      <c r="BD21" s="2742"/>
      <c r="BE21" s="2742"/>
      <c r="BF21" s="2742"/>
      <c r="BG21" s="2742"/>
      <c r="BH21" s="2742"/>
      <c r="BI21" s="2742"/>
      <c r="BJ21" s="2742"/>
      <c r="BK21" s="3621"/>
      <c r="BL21" s="3621"/>
      <c r="BM21" s="2707"/>
      <c r="BN21" s="2742"/>
      <c r="BO21" s="2739"/>
      <c r="BP21" s="2742"/>
      <c r="BQ21" s="3645"/>
      <c r="BR21" s="3645"/>
      <c r="BS21" s="3645"/>
      <c r="BT21" s="3645"/>
      <c r="BU21" s="3491"/>
    </row>
    <row r="22" spans="1:73" ht="59.25" customHeight="1" x14ac:dyDescent="0.25">
      <c r="A22" s="2757"/>
      <c r="B22" s="2758"/>
      <c r="C22" s="2836"/>
      <c r="D22" s="2837"/>
      <c r="E22" s="3597"/>
      <c r="F22" s="3598"/>
      <c r="G22" s="571">
        <v>1702021</v>
      </c>
      <c r="H22" s="494" t="s">
        <v>771</v>
      </c>
      <c r="I22" s="571">
        <v>1702021</v>
      </c>
      <c r="J22" s="494" t="s">
        <v>771</v>
      </c>
      <c r="K22" s="495" t="s">
        <v>772</v>
      </c>
      <c r="L22" s="646" t="s">
        <v>773</v>
      </c>
      <c r="M22" s="495" t="s">
        <v>772</v>
      </c>
      <c r="N22" s="646" t="s">
        <v>773</v>
      </c>
      <c r="O22" s="647">
        <v>150</v>
      </c>
      <c r="P22" s="197">
        <v>120</v>
      </c>
      <c r="Q22" s="3385"/>
      <c r="R22" s="2476"/>
      <c r="S22" s="648">
        <f>+X22/T18</f>
        <v>3.7732109521915289E-2</v>
      </c>
      <c r="T22" s="3633"/>
      <c r="U22" s="2703"/>
      <c r="V22" s="208" t="s">
        <v>774</v>
      </c>
      <c r="W22" s="208" t="s">
        <v>775</v>
      </c>
      <c r="X22" s="72">
        <v>20000000</v>
      </c>
      <c r="Y22" s="72">
        <v>7420000</v>
      </c>
      <c r="Z22" s="72">
        <v>7420000</v>
      </c>
      <c r="AA22" s="644" t="s">
        <v>776</v>
      </c>
      <c r="AB22" s="649">
        <v>20</v>
      </c>
      <c r="AC22" s="103" t="s">
        <v>734</v>
      </c>
      <c r="AD22" s="2743"/>
      <c r="AE22" s="2743"/>
      <c r="AF22" s="2743"/>
      <c r="AG22" s="2743"/>
      <c r="AH22" s="2743"/>
      <c r="AI22" s="2743"/>
      <c r="AJ22" s="2743"/>
      <c r="AK22" s="2743"/>
      <c r="AL22" s="2743"/>
      <c r="AM22" s="2743"/>
      <c r="AN22" s="2743"/>
      <c r="AO22" s="2743"/>
      <c r="AP22" s="2743"/>
      <c r="AQ22" s="2743"/>
      <c r="AR22" s="2743"/>
      <c r="AS22" s="2743"/>
      <c r="AT22" s="2743"/>
      <c r="AU22" s="2743"/>
      <c r="AV22" s="2743"/>
      <c r="AW22" s="2743"/>
      <c r="AX22" s="2743"/>
      <c r="AY22" s="2743"/>
      <c r="AZ22" s="2743"/>
      <c r="BA22" s="2743"/>
      <c r="BB22" s="2743"/>
      <c r="BC22" s="2743"/>
      <c r="BD22" s="2743"/>
      <c r="BE22" s="2743"/>
      <c r="BF22" s="2743"/>
      <c r="BG22" s="2743"/>
      <c r="BH22" s="2743"/>
      <c r="BI22" s="2743"/>
      <c r="BJ22" s="2743"/>
      <c r="BK22" s="3622"/>
      <c r="BL22" s="3622"/>
      <c r="BM22" s="2708"/>
      <c r="BN22" s="2743"/>
      <c r="BO22" s="2740"/>
      <c r="BP22" s="2743"/>
      <c r="BQ22" s="3646"/>
      <c r="BR22" s="3646">
        <v>44242</v>
      </c>
      <c r="BS22" s="3646">
        <v>44561</v>
      </c>
      <c r="BT22" s="3646">
        <v>44391</v>
      </c>
      <c r="BU22" s="3492"/>
    </row>
    <row r="23" spans="1:73" ht="37.5" customHeight="1" x14ac:dyDescent="0.25">
      <c r="A23" s="2757"/>
      <c r="B23" s="2758"/>
      <c r="C23" s="2836"/>
      <c r="D23" s="2837"/>
      <c r="E23" s="3597"/>
      <c r="F23" s="3598"/>
      <c r="G23" s="2646">
        <v>1702038</v>
      </c>
      <c r="H23" s="2809" t="s">
        <v>777</v>
      </c>
      <c r="I23" s="2646">
        <v>1702038</v>
      </c>
      <c r="J23" s="2809" t="s">
        <v>777</v>
      </c>
      <c r="K23" s="3642" t="s">
        <v>778</v>
      </c>
      <c r="L23" s="2478" t="s">
        <v>779</v>
      </c>
      <c r="M23" s="3642" t="s">
        <v>778</v>
      </c>
      <c r="N23" s="2478" t="s">
        <v>779</v>
      </c>
      <c r="O23" s="2970">
        <v>30</v>
      </c>
      <c r="P23" s="3025">
        <v>28</v>
      </c>
      <c r="Q23" s="3385" t="s">
        <v>780</v>
      </c>
      <c r="R23" s="2476" t="s">
        <v>781</v>
      </c>
      <c r="S23" s="3650">
        <f>+(X23+X24+X25)/T23</f>
        <v>1</v>
      </c>
      <c r="T23" s="3633">
        <f>SUM(X23:X25)</f>
        <v>188606585.66</v>
      </c>
      <c r="U23" s="2701" t="s">
        <v>782</v>
      </c>
      <c r="V23" s="2701" t="s">
        <v>783</v>
      </c>
      <c r="W23" s="2701" t="s">
        <v>784</v>
      </c>
      <c r="X23" s="72">
        <v>65000000</v>
      </c>
      <c r="Y23" s="72">
        <v>29340000</v>
      </c>
      <c r="Z23" s="72">
        <v>23570000</v>
      </c>
      <c r="AA23" s="644" t="s">
        <v>785</v>
      </c>
      <c r="AB23" s="649">
        <v>20</v>
      </c>
      <c r="AC23" s="103" t="s">
        <v>734</v>
      </c>
      <c r="AD23" s="3647">
        <v>480</v>
      </c>
      <c r="AE23" s="3647"/>
      <c r="AF23" s="3647">
        <v>500</v>
      </c>
      <c r="AG23" s="3647"/>
      <c r="AH23" s="3647"/>
      <c r="AI23" s="3647"/>
      <c r="AJ23" s="3647">
        <v>150</v>
      </c>
      <c r="AK23" s="3647"/>
      <c r="AL23" s="3647">
        <v>680</v>
      </c>
      <c r="AM23" s="3647"/>
      <c r="AN23" s="3647">
        <v>150</v>
      </c>
      <c r="AO23" s="3647"/>
      <c r="AP23" s="3647"/>
      <c r="AQ23" s="3647"/>
      <c r="AR23" s="3647"/>
      <c r="AS23" s="3647"/>
      <c r="AT23" s="3647"/>
      <c r="AU23" s="3647"/>
      <c r="AV23" s="3647"/>
      <c r="AW23" s="3647"/>
      <c r="AX23" s="3647"/>
      <c r="AY23" s="3647"/>
      <c r="AZ23" s="3647"/>
      <c r="BA23" s="3647"/>
      <c r="BB23" s="3647"/>
      <c r="BC23" s="3647"/>
      <c r="BD23" s="3647"/>
      <c r="BE23" s="3647"/>
      <c r="BF23" s="3647"/>
      <c r="BG23" s="3647"/>
      <c r="BH23" s="3647">
        <v>980</v>
      </c>
      <c r="BI23" s="3647"/>
      <c r="BJ23" s="3647">
        <v>3</v>
      </c>
      <c r="BK23" s="2693">
        <f>SUM(Y23:Y25)</f>
        <v>29340000</v>
      </c>
      <c r="BL23" s="2693">
        <f>SUM(Z23:Z25)</f>
        <v>23570000</v>
      </c>
      <c r="BM23" s="2696">
        <f>+BL23/BK23</f>
        <v>0.80334014996591685</v>
      </c>
      <c r="BN23" s="3647" t="s">
        <v>735</v>
      </c>
      <c r="BO23" s="3651" t="s">
        <v>786</v>
      </c>
      <c r="BP23" s="3647" t="s">
        <v>737</v>
      </c>
      <c r="BQ23" s="3644">
        <v>44211</v>
      </c>
      <c r="BR23" s="3644">
        <v>44245</v>
      </c>
      <c r="BS23" s="3644">
        <v>44561</v>
      </c>
      <c r="BT23" s="3644">
        <v>44371</v>
      </c>
      <c r="BU23" s="3510" t="s">
        <v>738</v>
      </c>
    </row>
    <row r="24" spans="1:73" ht="47.25" customHeight="1" x14ac:dyDescent="0.25">
      <c r="A24" s="2757"/>
      <c r="B24" s="2758"/>
      <c r="C24" s="2836"/>
      <c r="D24" s="2837"/>
      <c r="E24" s="3597"/>
      <c r="F24" s="3598"/>
      <c r="G24" s="2647"/>
      <c r="H24" s="2809"/>
      <c r="I24" s="2647"/>
      <c r="J24" s="2809"/>
      <c r="K24" s="3643"/>
      <c r="L24" s="2479"/>
      <c r="M24" s="3643"/>
      <c r="N24" s="2479"/>
      <c r="O24" s="2945"/>
      <c r="P24" s="3026"/>
      <c r="Q24" s="3385"/>
      <c r="R24" s="2476"/>
      <c r="S24" s="3650"/>
      <c r="T24" s="3633"/>
      <c r="U24" s="2702"/>
      <c r="V24" s="2702"/>
      <c r="W24" s="2703"/>
      <c r="X24" s="72">
        <v>105606585.66</v>
      </c>
      <c r="Y24" s="72">
        <v>0</v>
      </c>
      <c r="Z24" s="72">
        <v>0</v>
      </c>
      <c r="AA24" s="332" t="s">
        <v>787</v>
      </c>
      <c r="AB24" s="660">
        <v>195</v>
      </c>
      <c r="AC24" s="655" t="s">
        <v>751</v>
      </c>
      <c r="AD24" s="3648"/>
      <c r="AE24" s="3648"/>
      <c r="AF24" s="3648"/>
      <c r="AG24" s="3648"/>
      <c r="AH24" s="3648"/>
      <c r="AI24" s="3648"/>
      <c r="AJ24" s="3648"/>
      <c r="AK24" s="3648"/>
      <c r="AL24" s="3648"/>
      <c r="AM24" s="3648"/>
      <c r="AN24" s="3648"/>
      <c r="AO24" s="3648"/>
      <c r="AP24" s="3648"/>
      <c r="AQ24" s="3648"/>
      <c r="AR24" s="3648"/>
      <c r="AS24" s="3648"/>
      <c r="AT24" s="3648"/>
      <c r="AU24" s="3648"/>
      <c r="AV24" s="3648"/>
      <c r="AW24" s="3648"/>
      <c r="AX24" s="3648"/>
      <c r="AY24" s="3648"/>
      <c r="AZ24" s="3648"/>
      <c r="BA24" s="3648"/>
      <c r="BB24" s="3648"/>
      <c r="BC24" s="3648"/>
      <c r="BD24" s="3648"/>
      <c r="BE24" s="3648"/>
      <c r="BF24" s="3648"/>
      <c r="BG24" s="3648"/>
      <c r="BH24" s="3648"/>
      <c r="BI24" s="3648"/>
      <c r="BJ24" s="3648"/>
      <c r="BK24" s="2694"/>
      <c r="BL24" s="2694"/>
      <c r="BM24" s="2697"/>
      <c r="BN24" s="3648"/>
      <c r="BO24" s="3652"/>
      <c r="BP24" s="3648"/>
      <c r="BQ24" s="3645"/>
      <c r="BR24" s="3645"/>
      <c r="BS24" s="3645"/>
      <c r="BT24" s="3645"/>
      <c r="BU24" s="3491"/>
    </row>
    <row r="25" spans="1:73" ht="57" customHeight="1" x14ac:dyDescent="0.25">
      <c r="A25" s="2757"/>
      <c r="B25" s="2758"/>
      <c r="C25" s="2836"/>
      <c r="D25" s="2837"/>
      <c r="E25" s="3597"/>
      <c r="F25" s="3598"/>
      <c r="G25" s="2648"/>
      <c r="H25" s="2809"/>
      <c r="I25" s="2648"/>
      <c r="J25" s="2809"/>
      <c r="K25" s="465" t="s">
        <v>788</v>
      </c>
      <c r="L25" s="205" t="s">
        <v>789</v>
      </c>
      <c r="M25" s="465" t="s">
        <v>788</v>
      </c>
      <c r="N25" s="205" t="s">
        <v>789</v>
      </c>
      <c r="O25" s="647">
        <v>80</v>
      </c>
      <c r="P25" s="197">
        <v>0</v>
      </c>
      <c r="Q25" s="3385"/>
      <c r="R25" s="2476"/>
      <c r="S25" s="3650"/>
      <c r="T25" s="3633"/>
      <c r="U25" s="2703"/>
      <c r="V25" s="2703"/>
      <c r="W25" s="208" t="s">
        <v>790</v>
      </c>
      <c r="X25" s="72">
        <v>18000000</v>
      </c>
      <c r="Y25" s="72">
        <v>0</v>
      </c>
      <c r="Z25" s="72">
        <v>0</v>
      </c>
      <c r="AA25" s="644" t="s">
        <v>785</v>
      </c>
      <c r="AB25" s="649">
        <v>20</v>
      </c>
      <c r="AC25" s="103" t="s">
        <v>734</v>
      </c>
      <c r="AD25" s="3649"/>
      <c r="AE25" s="3649"/>
      <c r="AF25" s="3649"/>
      <c r="AG25" s="3649"/>
      <c r="AH25" s="3649"/>
      <c r="AI25" s="3649"/>
      <c r="AJ25" s="3649"/>
      <c r="AK25" s="3649"/>
      <c r="AL25" s="3649"/>
      <c r="AM25" s="3649"/>
      <c r="AN25" s="3649"/>
      <c r="AO25" s="3649"/>
      <c r="AP25" s="3649"/>
      <c r="AQ25" s="3649"/>
      <c r="AR25" s="3649"/>
      <c r="AS25" s="3649"/>
      <c r="AT25" s="3649"/>
      <c r="AU25" s="3649"/>
      <c r="AV25" s="3649"/>
      <c r="AW25" s="3649"/>
      <c r="AX25" s="3649"/>
      <c r="AY25" s="3649"/>
      <c r="AZ25" s="3649"/>
      <c r="BA25" s="3649"/>
      <c r="BB25" s="3649"/>
      <c r="BC25" s="3649"/>
      <c r="BD25" s="3649"/>
      <c r="BE25" s="3649"/>
      <c r="BF25" s="3649"/>
      <c r="BG25" s="3649"/>
      <c r="BH25" s="3649"/>
      <c r="BI25" s="3649"/>
      <c r="BJ25" s="3649"/>
      <c r="BK25" s="2695"/>
      <c r="BL25" s="2695"/>
      <c r="BM25" s="2698"/>
      <c r="BN25" s="3649"/>
      <c r="BO25" s="3653"/>
      <c r="BP25" s="3649"/>
      <c r="BQ25" s="3646"/>
      <c r="BR25" s="3646"/>
      <c r="BS25" s="3646">
        <v>44561</v>
      </c>
      <c r="BT25" s="3646">
        <v>44371</v>
      </c>
      <c r="BU25" s="3492"/>
    </row>
    <row r="26" spans="1:73" ht="50.25" customHeight="1" x14ac:dyDescent="0.25">
      <c r="A26" s="2757"/>
      <c r="B26" s="2758"/>
      <c r="C26" s="2836"/>
      <c r="D26" s="2837"/>
      <c r="E26" s="3597"/>
      <c r="F26" s="3598"/>
      <c r="G26" s="571">
        <v>1702023</v>
      </c>
      <c r="H26" s="494" t="s">
        <v>791</v>
      </c>
      <c r="I26" s="571">
        <v>1702023</v>
      </c>
      <c r="J26" s="494" t="s">
        <v>791</v>
      </c>
      <c r="K26" s="465" t="s">
        <v>792</v>
      </c>
      <c r="L26" s="205" t="s">
        <v>793</v>
      </c>
      <c r="M26" s="465" t="s">
        <v>792</v>
      </c>
      <c r="N26" s="205" t="s">
        <v>793</v>
      </c>
      <c r="O26" s="647">
        <v>1</v>
      </c>
      <c r="P26" s="197">
        <v>1</v>
      </c>
      <c r="Q26" s="2664" t="s">
        <v>794</v>
      </c>
      <c r="R26" s="2476" t="s">
        <v>795</v>
      </c>
      <c r="S26" s="661">
        <f>X26/T26</f>
        <v>0.5</v>
      </c>
      <c r="T26" s="3633">
        <f>SUM(X26:X27)</f>
        <v>90000000</v>
      </c>
      <c r="U26" s="2701" t="s">
        <v>795</v>
      </c>
      <c r="V26" s="662" t="s">
        <v>796</v>
      </c>
      <c r="W26" s="208" t="s">
        <v>797</v>
      </c>
      <c r="X26" s="72">
        <v>45000000</v>
      </c>
      <c r="Y26" s="72">
        <v>32310000</v>
      </c>
      <c r="Z26" s="72">
        <v>23985000</v>
      </c>
      <c r="AA26" s="644" t="s">
        <v>798</v>
      </c>
      <c r="AB26" s="649">
        <v>20</v>
      </c>
      <c r="AC26" s="103" t="s">
        <v>734</v>
      </c>
      <c r="AD26" s="3647">
        <v>65000</v>
      </c>
      <c r="AE26" s="3647"/>
      <c r="AF26" s="3647">
        <v>65000</v>
      </c>
      <c r="AG26" s="3647"/>
      <c r="AH26" s="3647">
        <v>22000</v>
      </c>
      <c r="AI26" s="3647"/>
      <c r="AJ26" s="3647">
        <v>14000</v>
      </c>
      <c r="AK26" s="3647"/>
      <c r="AL26" s="3647">
        <v>79000</v>
      </c>
      <c r="AM26" s="3647"/>
      <c r="AN26" s="3647">
        <v>15000</v>
      </c>
      <c r="AO26" s="3647"/>
      <c r="AP26" s="3647"/>
      <c r="AQ26" s="3647"/>
      <c r="AR26" s="3647"/>
      <c r="AS26" s="3647"/>
      <c r="AT26" s="3647"/>
      <c r="AU26" s="3647"/>
      <c r="AV26" s="3647"/>
      <c r="AW26" s="3647"/>
      <c r="AX26" s="3647"/>
      <c r="AY26" s="3647"/>
      <c r="AZ26" s="3647"/>
      <c r="BA26" s="3647"/>
      <c r="BB26" s="3647"/>
      <c r="BC26" s="3647"/>
      <c r="BD26" s="3647"/>
      <c r="BE26" s="3647"/>
      <c r="BF26" s="3647"/>
      <c r="BG26" s="3647"/>
      <c r="BH26" s="3647">
        <v>130000</v>
      </c>
      <c r="BI26" s="3647"/>
      <c r="BJ26" s="2741">
        <v>7</v>
      </c>
      <c r="BK26" s="2693">
        <f>SUM(Y26:Y27)</f>
        <v>65525000</v>
      </c>
      <c r="BL26" s="2693">
        <f>SUM(Z26:Z27)</f>
        <v>50195000</v>
      </c>
      <c r="BM26" s="2696">
        <f>+BL26/BK26</f>
        <v>0.76604349484929413</v>
      </c>
      <c r="BN26" s="3647">
        <v>20</v>
      </c>
      <c r="BO26" s="3651" t="s">
        <v>734</v>
      </c>
      <c r="BP26" s="3647" t="s">
        <v>762</v>
      </c>
      <c r="BQ26" s="3644">
        <v>44211</v>
      </c>
      <c r="BR26" s="3644">
        <v>44228</v>
      </c>
      <c r="BS26" s="3644">
        <v>44561</v>
      </c>
      <c r="BT26" s="3644">
        <v>44389</v>
      </c>
      <c r="BU26" s="3510" t="s">
        <v>738</v>
      </c>
    </row>
    <row r="27" spans="1:73" ht="75" customHeight="1" x14ac:dyDescent="0.25">
      <c r="A27" s="2757"/>
      <c r="B27" s="2758"/>
      <c r="C27" s="2836"/>
      <c r="D27" s="2837"/>
      <c r="E27" s="3597"/>
      <c r="F27" s="3598"/>
      <c r="G27" s="571">
        <v>1702024</v>
      </c>
      <c r="H27" s="494" t="s">
        <v>799</v>
      </c>
      <c r="I27" s="571">
        <v>1702024</v>
      </c>
      <c r="J27" s="494" t="s">
        <v>799</v>
      </c>
      <c r="K27" s="495" t="s">
        <v>800</v>
      </c>
      <c r="L27" s="646" t="s">
        <v>801</v>
      </c>
      <c r="M27" s="495" t="s">
        <v>800</v>
      </c>
      <c r="N27" s="646" t="s">
        <v>801</v>
      </c>
      <c r="O27" s="647">
        <v>12</v>
      </c>
      <c r="P27" s="197">
        <v>4</v>
      </c>
      <c r="Q27" s="2664"/>
      <c r="R27" s="2476"/>
      <c r="S27" s="661">
        <f>X27/T26</f>
        <v>0.5</v>
      </c>
      <c r="T27" s="3633"/>
      <c r="U27" s="2703"/>
      <c r="V27" s="662" t="s">
        <v>802</v>
      </c>
      <c r="W27" s="208" t="s">
        <v>803</v>
      </c>
      <c r="X27" s="72">
        <v>45000000</v>
      </c>
      <c r="Y27" s="72">
        <v>33215000</v>
      </c>
      <c r="Z27" s="72">
        <v>26210000</v>
      </c>
      <c r="AA27" s="644" t="s">
        <v>804</v>
      </c>
      <c r="AB27" s="649">
        <v>20</v>
      </c>
      <c r="AC27" s="103" t="s">
        <v>734</v>
      </c>
      <c r="AD27" s="3649"/>
      <c r="AE27" s="3649"/>
      <c r="AF27" s="3649"/>
      <c r="AG27" s="3649"/>
      <c r="AH27" s="3649"/>
      <c r="AI27" s="3649"/>
      <c r="AJ27" s="3649"/>
      <c r="AK27" s="3649"/>
      <c r="AL27" s="3649"/>
      <c r="AM27" s="3649"/>
      <c r="AN27" s="3649"/>
      <c r="AO27" s="3649"/>
      <c r="AP27" s="3649"/>
      <c r="AQ27" s="3649"/>
      <c r="AR27" s="3649"/>
      <c r="AS27" s="3649"/>
      <c r="AT27" s="3649"/>
      <c r="AU27" s="3649"/>
      <c r="AV27" s="3649"/>
      <c r="AW27" s="3649"/>
      <c r="AX27" s="3649"/>
      <c r="AY27" s="3649"/>
      <c r="AZ27" s="3649"/>
      <c r="BA27" s="3649"/>
      <c r="BB27" s="3649"/>
      <c r="BC27" s="3649"/>
      <c r="BD27" s="3649"/>
      <c r="BE27" s="3649"/>
      <c r="BF27" s="3649"/>
      <c r="BG27" s="3649"/>
      <c r="BH27" s="3649"/>
      <c r="BI27" s="3649"/>
      <c r="BJ27" s="2743"/>
      <c r="BK27" s="2695"/>
      <c r="BL27" s="2695"/>
      <c r="BM27" s="2698"/>
      <c r="BN27" s="3649"/>
      <c r="BO27" s="3653"/>
      <c r="BP27" s="3649"/>
      <c r="BQ27" s="3646"/>
      <c r="BR27" s="3646">
        <v>44228</v>
      </c>
      <c r="BS27" s="3646">
        <v>44561</v>
      </c>
      <c r="BT27" s="3646">
        <v>44379</v>
      </c>
      <c r="BU27" s="3492"/>
    </row>
    <row r="28" spans="1:73" ht="90" x14ac:dyDescent="0.25">
      <c r="A28" s="2757"/>
      <c r="B28" s="2758"/>
      <c r="C28" s="2836"/>
      <c r="D28" s="2837"/>
      <c r="E28" s="3599"/>
      <c r="F28" s="3600"/>
      <c r="G28" s="571">
        <v>1702025</v>
      </c>
      <c r="H28" s="494" t="s">
        <v>805</v>
      </c>
      <c r="I28" s="571">
        <v>1702025</v>
      </c>
      <c r="J28" s="494" t="s">
        <v>805</v>
      </c>
      <c r="K28" s="495" t="s">
        <v>806</v>
      </c>
      <c r="L28" s="646" t="s">
        <v>807</v>
      </c>
      <c r="M28" s="495" t="s">
        <v>806</v>
      </c>
      <c r="N28" s="646" t="s">
        <v>807</v>
      </c>
      <c r="O28" s="647">
        <v>25</v>
      </c>
      <c r="P28" s="197">
        <v>25</v>
      </c>
      <c r="Q28" s="404" t="s">
        <v>808</v>
      </c>
      <c r="R28" s="205" t="s">
        <v>809</v>
      </c>
      <c r="S28" s="661">
        <f>X28/T28</f>
        <v>1</v>
      </c>
      <c r="T28" s="663">
        <f>SUM(X28)</f>
        <v>27000000</v>
      </c>
      <c r="U28" s="208" t="s">
        <v>810</v>
      </c>
      <c r="V28" s="208" t="s">
        <v>811</v>
      </c>
      <c r="W28" s="208" t="s">
        <v>812</v>
      </c>
      <c r="X28" s="72">
        <v>27000000</v>
      </c>
      <c r="Y28" s="72">
        <v>26940000</v>
      </c>
      <c r="Z28" s="72">
        <v>25240000</v>
      </c>
      <c r="AA28" s="644" t="s">
        <v>813</v>
      </c>
      <c r="AB28" s="649">
        <v>20</v>
      </c>
      <c r="AC28" s="103" t="s">
        <v>734</v>
      </c>
      <c r="AD28" s="471">
        <v>1057</v>
      </c>
      <c r="AE28" s="471"/>
      <c r="AF28" s="471">
        <v>832</v>
      </c>
      <c r="AG28" s="471"/>
      <c r="AH28" s="471">
        <v>253</v>
      </c>
      <c r="AI28" s="471"/>
      <c r="AJ28" s="471">
        <v>142</v>
      </c>
      <c r="AK28" s="471"/>
      <c r="AL28" s="471">
        <v>1200</v>
      </c>
      <c r="AM28" s="471"/>
      <c r="AN28" s="471">
        <v>663</v>
      </c>
      <c r="AO28" s="471"/>
      <c r="AP28" s="471"/>
      <c r="AQ28" s="471"/>
      <c r="AR28" s="471"/>
      <c r="AS28" s="471"/>
      <c r="AT28" s="471"/>
      <c r="AU28" s="471"/>
      <c r="AV28" s="471"/>
      <c r="AW28" s="471"/>
      <c r="AX28" s="471"/>
      <c r="AY28" s="471"/>
      <c r="AZ28" s="471"/>
      <c r="BA28" s="471"/>
      <c r="BB28" s="471">
        <v>582</v>
      </c>
      <c r="BC28" s="471"/>
      <c r="BD28" s="471">
        <v>33</v>
      </c>
      <c r="BE28" s="471"/>
      <c r="BF28" s="471">
        <v>51</v>
      </c>
      <c r="BG28" s="471"/>
      <c r="BH28" s="471">
        <v>1889</v>
      </c>
      <c r="BI28" s="471"/>
      <c r="BJ28" s="471">
        <v>3</v>
      </c>
      <c r="BK28" s="532">
        <f>SUM(Y28)</f>
        <v>26940000</v>
      </c>
      <c r="BL28" s="532">
        <f>+Z28</f>
        <v>25240000</v>
      </c>
      <c r="BM28" s="664">
        <f>+BL28/BK28</f>
        <v>0.93689680772086115</v>
      </c>
      <c r="BN28" s="471">
        <v>20</v>
      </c>
      <c r="BO28" s="665" t="s">
        <v>734</v>
      </c>
      <c r="BP28" s="471" t="s">
        <v>737</v>
      </c>
      <c r="BQ28" s="535">
        <v>44211</v>
      </c>
      <c r="BR28" s="536">
        <v>44242</v>
      </c>
      <c r="BS28" s="536">
        <v>44561</v>
      </c>
      <c r="BT28" s="536">
        <v>44368</v>
      </c>
      <c r="BU28" s="408" t="s">
        <v>738</v>
      </c>
    </row>
    <row r="29" spans="1:73" ht="15.75" x14ac:dyDescent="0.25">
      <c r="A29" s="2757"/>
      <c r="B29" s="2758"/>
      <c r="C29" s="2836"/>
      <c r="D29" s="2837"/>
      <c r="E29" s="636">
        <v>1703</v>
      </c>
      <c r="F29" s="503" t="s">
        <v>814</v>
      </c>
      <c r="G29" s="503"/>
      <c r="H29" s="323"/>
      <c r="I29" s="503"/>
      <c r="J29" s="323"/>
      <c r="K29" s="503"/>
      <c r="L29" s="323"/>
      <c r="M29" s="503"/>
      <c r="N29" s="323"/>
      <c r="O29" s="188"/>
      <c r="P29" s="188"/>
      <c r="Q29" s="188"/>
      <c r="R29" s="323"/>
      <c r="S29" s="186"/>
      <c r="T29" s="322"/>
      <c r="U29" s="323"/>
      <c r="V29" s="323"/>
      <c r="W29" s="323"/>
      <c r="X29" s="491"/>
      <c r="Y29" s="491"/>
      <c r="Z29" s="491"/>
      <c r="AA29" s="637"/>
      <c r="AB29" s="666"/>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8"/>
      <c r="BL29" s="668"/>
      <c r="BM29" s="669"/>
      <c r="BN29" s="667"/>
      <c r="BO29" s="670"/>
      <c r="BP29" s="667"/>
      <c r="BQ29" s="671"/>
      <c r="BR29" s="671"/>
      <c r="BS29" s="671"/>
      <c r="BT29" s="671"/>
      <c r="BU29" s="672"/>
    </row>
    <row r="30" spans="1:73" ht="47.25" customHeight="1" x14ac:dyDescent="0.25">
      <c r="A30" s="2757"/>
      <c r="B30" s="2758"/>
      <c r="C30" s="2836"/>
      <c r="D30" s="2837"/>
      <c r="E30" s="3654"/>
      <c r="F30" s="3655"/>
      <c r="G30" s="2646">
        <v>1703013</v>
      </c>
      <c r="H30" s="3630" t="s">
        <v>815</v>
      </c>
      <c r="I30" s="2646">
        <v>1703013</v>
      </c>
      <c r="J30" s="3630" t="s">
        <v>815</v>
      </c>
      <c r="K30" s="3226" t="s">
        <v>816</v>
      </c>
      <c r="L30" s="2701" t="s">
        <v>817</v>
      </c>
      <c r="M30" s="3226" t="s">
        <v>816</v>
      </c>
      <c r="N30" s="2701" t="s">
        <v>817</v>
      </c>
      <c r="O30" s="2970">
        <v>100</v>
      </c>
      <c r="P30" s="3025">
        <v>50</v>
      </c>
      <c r="Q30" s="2325" t="s">
        <v>818</v>
      </c>
      <c r="R30" s="2701" t="s">
        <v>819</v>
      </c>
      <c r="S30" s="3658">
        <f>+(X30+X31)/T30</f>
        <v>1</v>
      </c>
      <c r="T30" s="3660">
        <f>SUM(X30:X31)</f>
        <v>325000000</v>
      </c>
      <c r="U30" s="2701" t="s">
        <v>820</v>
      </c>
      <c r="V30" s="2701" t="s">
        <v>821</v>
      </c>
      <c r="W30" s="2701" t="s">
        <v>822</v>
      </c>
      <c r="X30" s="72">
        <v>75000000</v>
      </c>
      <c r="Y30" s="673">
        <v>57700000</v>
      </c>
      <c r="Z30" s="673">
        <v>51930000</v>
      </c>
      <c r="AA30" s="674" t="s">
        <v>823</v>
      </c>
      <c r="AB30" s="675">
        <v>20</v>
      </c>
      <c r="AC30" s="234" t="s">
        <v>734</v>
      </c>
      <c r="AD30" s="3662">
        <v>270331</v>
      </c>
      <c r="AE30" s="3662"/>
      <c r="AF30" s="3662">
        <v>291286</v>
      </c>
      <c r="AG30" s="676"/>
      <c r="AH30" s="3662">
        <v>102045</v>
      </c>
      <c r="AI30" s="3662"/>
      <c r="AJ30" s="3662">
        <v>141228</v>
      </c>
      <c r="AK30" s="3662"/>
      <c r="AL30" s="3662">
        <v>310195</v>
      </c>
      <c r="AM30" s="3662"/>
      <c r="AN30" s="3662">
        <v>110694</v>
      </c>
      <c r="AO30" s="3662"/>
      <c r="AP30" s="3662"/>
      <c r="AQ30" s="3662"/>
      <c r="AR30" s="3662"/>
      <c r="AS30" s="3662"/>
      <c r="AT30" s="3662"/>
      <c r="AU30" s="3662"/>
      <c r="AV30" s="676"/>
      <c r="AW30" s="3662"/>
      <c r="AX30" s="3662"/>
      <c r="AY30" s="3662"/>
      <c r="AZ30" s="3662"/>
      <c r="BA30" s="3662"/>
      <c r="BB30" s="3662"/>
      <c r="BC30" s="3662"/>
      <c r="BD30" s="3662"/>
      <c r="BE30" s="3662"/>
      <c r="BF30" s="3662"/>
      <c r="BG30" s="3662"/>
      <c r="BH30" s="3662">
        <v>562117</v>
      </c>
      <c r="BI30" s="3662"/>
      <c r="BJ30" s="2741">
        <v>6</v>
      </c>
      <c r="BK30" s="3665">
        <v>307700000</v>
      </c>
      <c r="BL30" s="3665">
        <f>+Z30</f>
        <v>51930000</v>
      </c>
      <c r="BM30" s="3474">
        <f>+BL30/BK30</f>
        <v>0.16876828079298017</v>
      </c>
      <c r="BN30" s="677">
        <v>20</v>
      </c>
      <c r="BO30" s="678" t="s">
        <v>734</v>
      </c>
      <c r="BP30" s="3662" t="s">
        <v>762</v>
      </c>
      <c r="BQ30" s="2686">
        <v>44211</v>
      </c>
      <c r="BR30" s="2686">
        <v>44228</v>
      </c>
      <c r="BS30" s="2686">
        <v>44561</v>
      </c>
      <c r="BT30" s="2686">
        <v>44561</v>
      </c>
      <c r="BU30" s="3510" t="s">
        <v>738</v>
      </c>
    </row>
    <row r="31" spans="1:73" ht="47.25" customHeight="1" x14ac:dyDescent="0.25">
      <c r="A31" s="2757"/>
      <c r="B31" s="2758"/>
      <c r="C31" s="2836"/>
      <c r="D31" s="2837"/>
      <c r="E31" s="3656"/>
      <c r="F31" s="3657"/>
      <c r="G31" s="2648"/>
      <c r="H31" s="3631"/>
      <c r="I31" s="2648"/>
      <c r="J31" s="3631"/>
      <c r="K31" s="3224"/>
      <c r="L31" s="2703"/>
      <c r="M31" s="3224"/>
      <c r="N31" s="2703"/>
      <c r="O31" s="2945"/>
      <c r="P31" s="3026"/>
      <c r="Q31" s="2327"/>
      <c r="R31" s="2703"/>
      <c r="S31" s="3659"/>
      <c r="T31" s="3661"/>
      <c r="U31" s="2703"/>
      <c r="V31" s="2703"/>
      <c r="W31" s="2703"/>
      <c r="X31" s="72">
        <v>250000000</v>
      </c>
      <c r="Y31" s="72">
        <v>250000000</v>
      </c>
      <c r="Z31" s="72">
        <v>0</v>
      </c>
      <c r="AA31" s="64" t="s">
        <v>824</v>
      </c>
      <c r="AB31" s="471">
        <v>195</v>
      </c>
      <c r="AC31" s="512" t="s">
        <v>751</v>
      </c>
      <c r="AD31" s="3464"/>
      <c r="AE31" s="3464"/>
      <c r="AF31" s="3464"/>
      <c r="AG31" s="679"/>
      <c r="AH31" s="3464"/>
      <c r="AI31" s="3464"/>
      <c r="AJ31" s="3464"/>
      <c r="AK31" s="3464"/>
      <c r="AL31" s="3464"/>
      <c r="AM31" s="3464"/>
      <c r="AN31" s="3464"/>
      <c r="AO31" s="3464"/>
      <c r="AP31" s="3464"/>
      <c r="AQ31" s="3464"/>
      <c r="AR31" s="3464"/>
      <c r="AS31" s="3464"/>
      <c r="AT31" s="3464"/>
      <c r="AU31" s="3464"/>
      <c r="AV31" s="679"/>
      <c r="AW31" s="3464"/>
      <c r="AX31" s="3464"/>
      <c r="AY31" s="3464"/>
      <c r="AZ31" s="3464"/>
      <c r="BA31" s="3464"/>
      <c r="BB31" s="3464"/>
      <c r="BC31" s="3464"/>
      <c r="BD31" s="3464"/>
      <c r="BE31" s="3464"/>
      <c r="BF31" s="3464"/>
      <c r="BG31" s="3464"/>
      <c r="BH31" s="3464"/>
      <c r="BI31" s="3464"/>
      <c r="BJ31" s="2743"/>
      <c r="BK31" s="3666"/>
      <c r="BL31" s="3666"/>
      <c r="BM31" s="2463"/>
      <c r="BN31" s="471">
        <v>195</v>
      </c>
      <c r="BO31" s="665" t="s">
        <v>751</v>
      </c>
      <c r="BP31" s="3464"/>
      <c r="BQ31" s="2688"/>
      <c r="BR31" s="2688"/>
      <c r="BS31" s="2688"/>
      <c r="BT31" s="2688"/>
      <c r="BU31" s="3492"/>
    </row>
    <row r="32" spans="1:73" ht="15.75" x14ac:dyDescent="0.25">
      <c r="A32" s="2757"/>
      <c r="B32" s="2758"/>
      <c r="C32" s="2836"/>
      <c r="D32" s="2837"/>
      <c r="E32" s="636">
        <v>1704</v>
      </c>
      <c r="F32" s="2657" t="s">
        <v>825</v>
      </c>
      <c r="G32" s="2657"/>
      <c r="H32" s="2657"/>
      <c r="I32" s="2657"/>
      <c r="J32" s="2657"/>
      <c r="K32" s="2657"/>
      <c r="L32" s="2657"/>
      <c r="M32" s="2657"/>
      <c r="N32" s="323"/>
      <c r="O32" s="188"/>
      <c r="P32" s="188"/>
      <c r="Q32" s="188"/>
      <c r="R32" s="323"/>
      <c r="S32" s="186"/>
      <c r="T32" s="322"/>
      <c r="U32" s="323"/>
      <c r="V32" s="323"/>
      <c r="W32" s="323"/>
      <c r="X32" s="491"/>
      <c r="Y32" s="680"/>
      <c r="Z32" s="680"/>
      <c r="AA32" s="637"/>
      <c r="AB32" s="638"/>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c r="BD32" s="639"/>
      <c r="BE32" s="639"/>
      <c r="BF32" s="639"/>
      <c r="BG32" s="639"/>
      <c r="BH32" s="639"/>
      <c r="BI32" s="639"/>
      <c r="BJ32" s="639"/>
      <c r="BK32" s="681"/>
      <c r="BL32" s="681"/>
      <c r="BM32" s="640"/>
      <c r="BN32" s="639"/>
      <c r="BO32" s="641"/>
      <c r="BP32" s="639"/>
      <c r="BQ32" s="642"/>
      <c r="BR32" s="642"/>
      <c r="BS32" s="642"/>
      <c r="BT32" s="642"/>
      <c r="BU32" s="643"/>
    </row>
    <row r="33" spans="1:73" ht="60" customHeight="1" x14ac:dyDescent="0.25">
      <c r="A33" s="2757"/>
      <c r="B33" s="2758"/>
      <c r="C33" s="2836"/>
      <c r="D33" s="2837"/>
      <c r="E33" s="3654"/>
      <c r="F33" s="3655"/>
      <c r="G33" s="571">
        <v>1704002</v>
      </c>
      <c r="H33" s="510" t="s">
        <v>197</v>
      </c>
      <c r="I33" s="571">
        <v>1704002</v>
      </c>
      <c r="J33" s="510" t="s">
        <v>197</v>
      </c>
      <c r="K33" s="509" t="s">
        <v>826</v>
      </c>
      <c r="L33" s="511" t="s">
        <v>827</v>
      </c>
      <c r="M33" s="509" t="s">
        <v>826</v>
      </c>
      <c r="N33" s="511" t="s">
        <v>827</v>
      </c>
      <c r="O33" s="197">
        <v>1</v>
      </c>
      <c r="P33" s="197">
        <v>0</v>
      </c>
      <c r="Q33" s="3663" t="s">
        <v>828</v>
      </c>
      <c r="R33" s="2397" t="s">
        <v>829</v>
      </c>
      <c r="S33" s="661">
        <f>X33/T33</f>
        <v>0.6</v>
      </c>
      <c r="T33" s="3664">
        <f>SUM(X33:X34)</f>
        <v>70000000</v>
      </c>
      <c r="U33" s="2701" t="s">
        <v>830</v>
      </c>
      <c r="V33" s="208" t="s">
        <v>831</v>
      </c>
      <c r="W33" s="682" t="s">
        <v>832</v>
      </c>
      <c r="X33" s="523">
        <v>42000000</v>
      </c>
      <c r="Y33" s="523">
        <v>23080000</v>
      </c>
      <c r="Z33" s="523">
        <v>23080000</v>
      </c>
      <c r="AA33" s="644" t="s">
        <v>833</v>
      </c>
      <c r="AB33" s="649">
        <v>20</v>
      </c>
      <c r="AC33" s="103" t="s">
        <v>734</v>
      </c>
      <c r="AD33" s="3647">
        <v>295972</v>
      </c>
      <c r="AE33" s="3647"/>
      <c r="AF33" s="3647">
        <v>285580</v>
      </c>
      <c r="AG33" s="3647"/>
      <c r="AH33" s="3647">
        <v>135545</v>
      </c>
      <c r="AI33" s="3647"/>
      <c r="AJ33" s="3647">
        <v>44254</v>
      </c>
      <c r="AK33" s="3647"/>
      <c r="AL33" s="3647">
        <v>309146</v>
      </c>
      <c r="AM33" s="3647"/>
      <c r="AN33" s="3647">
        <v>92607</v>
      </c>
      <c r="AO33" s="3647"/>
      <c r="AP33" s="3647"/>
      <c r="AQ33" s="3647"/>
      <c r="AR33" s="3647"/>
      <c r="AS33" s="3647"/>
      <c r="AT33" s="3647"/>
      <c r="AU33" s="3647"/>
      <c r="AV33" s="3647"/>
      <c r="AW33" s="3647"/>
      <c r="AX33" s="3647"/>
      <c r="AY33" s="3647"/>
      <c r="AZ33" s="3647"/>
      <c r="BA33" s="3647"/>
      <c r="BB33" s="3647">
        <v>44350</v>
      </c>
      <c r="BC33" s="3647"/>
      <c r="BD33" s="3647">
        <v>21944</v>
      </c>
      <c r="BE33" s="3647"/>
      <c r="BF33" s="3647"/>
      <c r="BG33" s="3647"/>
      <c r="BH33" s="3647">
        <v>581552</v>
      </c>
      <c r="BI33" s="3647"/>
      <c r="BJ33" s="2741">
        <v>4</v>
      </c>
      <c r="BK33" s="2693">
        <f>SUM(Y33:Y34)</f>
        <v>42040000</v>
      </c>
      <c r="BL33" s="2693">
        <f>SUM(Z33:Z34)</f>
        <v>28645000</v>
      </c>
      <c r="BM33" s="2696">
        <f>+BL33/BK33</f>
        <v>0.68137488106565181</v>
      </c>
      <c r="BN33" s="3647">
        <v>20</v>
      </c>
      <c r="BO33" s="3651" t="s">
        <v>734</v>
      </c>
      <c r="BP33" s="3647" t="s">
        <v>762</v>
      </c>
      <c r="BQ33" s="3644">
        <v>44211</v>
      </c>
      <c r="BR33" s="3644">
        <v>44243</v>
      </c>
      <c r="BS33" s="3644">
        <v>44561</v>
      </c>
      <c r="BT33" s="3644">
        <v>44420</v>
      </c>
      <c r="BU33" s="3510" t="s">
        <v>738</v>
      </c>
    </row>
    <row r="34" spans="1:73" ht="60" customHeight="1" x14ac:dyDescent="0.25">
      <c r="A34" s="2757"/>
      <c r="B34" s="2758"/>
      <c r="C34" s="2836"/>
      <c r="D34" s="2837"/>
      <c r="E34" s="3656"/>
      <c r="F34" s="3657"/>
      <c r="G34" s="571">
        <v>1704017</v>
      </c>
      <c r="H34" s="510" t="s">
        <v>834</v>
      </c>
      <c r="I34" s="571">
        <v>1704017</v>
      </c>
      <c r="J34" s="510" t="s">
        <v>834</v>
      </c>
      <c r="K34" s="509" t="s">
        <v>835</v>
      </c>
      <c r="L34" s="511" t="s">
        <v>836</v>
      </c>
      <c r="M34" s="509" t="s">
        <v>835</v>
      </c>
      <c r="N34" s="511" t="s">
        <v>836</v>
      </c>
      <c r="O34" s="197">
        <v>150</v>
      </c>
      <c r="P34" s="197">
        <v>55</v>
      </c>
      <c r="Q34" s="3663"/>
      <c r="R34" s="2397"/>
      <c r="S34" s="661">
        <f>X34/T33</f>
        <v>0.4</v>
      </c>
      <c r="T34" s="3664"/>
      <c r="U34" s="2703"/>
      <c r="V34" s="208" t="s">
        <v>837</v>
      </c>
      <c r="W34" s="682" t="s">
        <v>838</v>
      </c>
      <c r="X34" s="523">
        <v>28000000</v>
      </c>
      <c r="Y34" s="523">
        <v>18960000</v>
      </c>
      <c r="Z34" s="523">
        <v>5565000</v>
      </c>
      <c r="AA34" s="644" t="s">
        <v>839</v>
      </c>
      <c r="AB34" s="649">
        <v>20</v>
      </c>
      <c r="AC34" s="103" t="s">
        <v>734</v>
      </c>
      <c r="AD34" s="3649"/>
      <c r="AE34" s="3649"/>
      <c r="AF34" s="3649"/>
      <c r="AG34" s="3649"/>
      <c r="AH34" s="3649"/>
      <c r="AI34" s="3649"/>
      <c r="AJ34" s="3649"/>
      <c r="AK34" s="3649"/>
      <c r="AL34" s="3649"/>
      <c r="AM34" s="3649"/>
      <c r="AN34" s="3649"/>
      <c r="AO34" s="3649"/>
      <c r="AP34" s="3649"/>
      <c r="AQ34" s="3649"/>
      <c r="AR34" s="3649"/>
      <c r="AS34" s="3649"/>
      <c r="AT34" s="3649"/>
      <c r="AU34" s="3649"/>
      <c r="AV34" s="3649"/>
      <c r="AW34" s="3649"/>
      <c r="AX34" s="3649"/>
      <c r="AY34" s="3649"/>
      <c r="AZ34" s="3649"/>
      <c r="BA34" s="3649"/>
      <c r="BB34" s="3649"/>
      <c r="BC34" s="3649"/>
      <c r="BD34" s="3649"/>
      <c r="BE34" s="3649"/>
      <c r="BF34" s="3649"/>
      <c r="BG34" s="3649"/>
      <c r="BH34" s="3649"/>
      <c r="BI34" s="3649"/>
      <c r="BJ34" s="2743"/>
      <c r="BK34" s="2695"/>
      <c r="BL34" s="2695"/>
      <c r="BM34" s="2698"/>
      <c r="BN34" s="3649"/>
      <c r="BO34" s="3653"/>
      <c r="BP34" s="3649"/>
      <c r="BQ34" s="3646"/>
      <c r="BR34" s="3646">
        <v>44243</v>
      </c>
      <c r="BS34" s="3646">
        <v>44561</v>
      </c>
      <c r="BT34" s="3646">
        <v>44377</v>
      </c>
      <c r="BU34" s="3492"/>
    </row>
    <row r="35" spans="1:73" ht="15.75" x14ac:dyDescent="0.25">
      <c r="A35" s="2757"/>
      <c r="B35" s="2758"/>
      <c r="C35" s="2836"/>
      <c r="D35" s="2837"/>
      <c r="E35" s="636">
        <v>1706</v>
      </c>
      <c r="F35" s="2657" t="s">
        <v>840</v>
      </c>
      <c r="G35" s="2657"/>
      <c r="H35" s="2657"/>
      <c r="I35" s="2657"/>
      <c r="J35" s="2657"/>
      <c r="K35" s="2657"/>
      <c r="L35" s="2657"/>
      <c r="M35" s="2657"/>
      <c r="N35" s="323"/>
      <c r="O35" s="188"/>
      <c r="P35" s="188"/>
      <c r="Q35" s="188"/>
      <c r="R35" s="323"/>
      <c r="S35" s="186"/>
      <c r="T35" s="322"/>
      <c r="U35" s="323"/>
      <c r="V35" s="323"/>
      <c r="W35" s="323"/>
      <c r="X35" s="491"/>
      <c r="Y35" s="491"/>
      <c r="Z35" s="491"/>
      <c r="AA35" s="637"/>
      <c r="AB35" s="666"/>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7"/>
      <c r="BG35" s="667"/>
      <c r="BH35" s="667"/>
      <c r="BI35" s="667"/>
      <c r="BJ35" s="667"/>
      <c r="BK35" s="668"/>
      <c r="BL35" s="668"/>
      <c r="BM35" s="669"/>
      <c r="BN35" s="667"/>
      <c r="BO35" s="670"/>
      <c r="BP35" s="667"/>
      <c r="BQ35" s="671"/>
      <c r="BR35" s="671"/>
      <c r="BS35" s="671"/>
      <c r="BT35" s="671"/>
      <c r="BU35" s="672"/>
    </row>
    <row r="36" spans="1:73" ht="75" x14ac:dyDescent="0.25">
      <c r="A36" s="2757"/>
      <c r="B36" s="2758"/>
      <c r="C36" s="2836"/>
      <c r="D36" s="2837"/>
      <c r="E36" s="3667"/>
      <c r="F36" s="3668"/>
      <c r="G36" s="571">
        <v>1706004</v>
      </c>
      <c r="H36" s="494" t="s">
        <v>841</v>
      </c>
      <c r="I36" s="571">
        <v>1706004</v>
      </c>
      <c r="J36" s="494" t="s">
        <v>841</v>
      </c>
      <c r="K36" s="465" t="s">
        <v>842</v>
      </c>
      <c r="L36" s="205" t="s">
        <v>843</v>
      </c>
      <c r="M36" s="465" t="s">
        <v>842</v>
      </c>
      <c r="N36" s="205" t="s">
        <v>843</v>
      </c>
      <c r="O36" s="647">
        <v>10</v>
      </c>
      <c r="P36" s="197">
        <v>0</v>
      </c>
      <c r="Q36" s="404" t="s">
        <v>844</v>
      </c>
      <c r="R36" s="205" t="s">
        <v>845</v>
      </c>
      <c r="S36" s="661">
        <f>X36/T36</f>
        <v>1</v>
      </c>
      <c r="T36" s="663">
        <f>SUM(X36)</f>
        <v>20000000</v>
      </c>
      <c r="U36" s="208" t="s">
        <v>846</v>
      </c>
      <c r="V36" s="208" t="s">
        <v>847</v>
      </c>
      <c r="W36" s="208" t="s">
        <v>848</v>
      </c>
      <c r="X36" s="72">
        <v>20000000</v>
      </c>
      <c r="Y36" s="72">
        <v>0</v>
      </c>
      <c r="Z36" s="72">
        <v>0</v>
      </c>
      <c r="AA36" s="644" t="s">
        <v>849</v>
      </c>
      <c r="AB36" s="649">
        <v>20</v>
      </c>
      <c r="AC36" s="103" t="s">
        <v>734</v>
      </c>
      <c r="AD36" s="471">
        <v>1233</v>
      </c>
      <c r="AE36" s="471"/>
      <c r="AF36" s="471">
        <v>656</v>
      </c>
      <c r="AG36" s="471"/>
      <c r="AH36" s="471">
        <v>253</v>
      </c>
      <c r="AI36" s="471"/>
      <c r="AJ36" s="471">
        <v>142</v>
      </c>
      <c r="AK36" s="471"/>
      <c r="AL36" s="471">
        <v>1200</v>
      </c>
      <c r="AM36" s="471"/>
      <c r="AN36" s="471">
        <v>663</v>
      </c>
      <c r="AO36" s="471"/>
      <c r="AP36" s="471">
        <v>126</v>
      </c>
      <c r="AQ36" s="471"/>
      <c r="AR36" s="471">
        <v>120</v>
      </c>
      <c r="AS36" s="471"/>
      <c r="AT36" s="471"/>
      <c r="AU36" s="471"/>
      <c r="AV36" s="471"/>
      <c r="AW36" s="471"/>
      <c r="AX36" s="471"/>
      <c r="AY36" s="471"/>
      <c r="AZ36" s="471"/>
      <c r="BA36" s="471"/>
      <c r="BB36" s="471">
        <v>582</v>
      </c>
      <c r="BC36" s="471"/>
      <c r="BD36" s="471">
        <v>33</v>
      </c>
      <c r="BE36" s="471"/>
      <c r="BF36" s="471">
        <v>51</v>
      </c>
      <c r="BG36" s="471"/>
      <c r="BH36" s="471">
        <v>1889</v>
      </c>
      <c r="BI36" s="471"/>
      <c r="BJ36" s="471">
        <v>0</v>
      </c>
      <c r="BK36" s="532">
        <v>0</v>
      </c>
      <c r="BL36" s="532">
        <v>0</v>
      </c>
      <c r="BM36" s="664"/>
      <c r="BN36" s="683">
        <v>20</v>
      </c>
      <c r="BO36" s="684" t="s">
        <v>734</v>
      </c>
      <c r="BP36" s="471"/>
      <c r="BQ36" s="535"/>
      <c r="BR36" s="536"/>
      <c r="BS36" s="536"/>
      <c r="BT36" s="536"/>
      <c r="BU36" s="408" t="s">
        <v>738</v>
      </c>
    </row>
    <row r="37" spans="1:73" ht="15.75" x14ac:dyDescent="0.25">
      <c r="A37" s="2757"/>
      <c r="B37" s="2758"/>
      <c r="C37" s="2836"/>
      <c r="D37" s="2837"/>
      <c r="E37" s="636">
        <v>1707</v>
      </c>
      <c r="F37" s="2657" t="s">
        <v>850</v>
      </c>
      <c r="G37" s="2657"/>
      <c r="H37" s="2657"/>
      <c r="I37" s="2657"/>
      <c r="J37" s="2657"/>
      <c r="K37" s="2657"/>
      <c r="L37" s="2657"/>
      <c r="M37" s="188"/>
      <c r="N37" s="323"/>
      <c r="O37" s="188"/>
      <c r="P37" s="188"/>
      <c r="Q37" s="188"/>
      <c r="R37" s="323"/>
      <c r="S37" s="186"/>
      <c r="T37" s="322"/>
      <c r="U37" s="323"/>
      <c r="V37" s="323"/>
      <c r="W37" s="323"/>
      <c r="X37" s="491"/>
      <c r="Y37" s="491"/>
      <c r="Z37" s="491"/>
      <c r="AA37" s="637"/>
      <c r="AB37" s="666"/>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c r="BA37" s="667"/>
      <c r="BB37" s="667"/>
      <c r="BC37" s="667"/>
      <c r="BD37" s="667"/>
      <c r="BE37" s="667"/>
      <c r="BF37" s="667"/>
      <c r="BG37" s="667"/>
      <c r="BH37" s="667"/>
      <c r="BI37" s="667"/>
      <c r="BJ37" s="667"/>
      <c r="BK37" s="668"/>
      <c r="BL37" s="668"/>
      <c r="BM37" s="669"/>
      <c r="BN37" s="669"/>
      <c r="BO37" s="669"/>
      <c r="BP37" s="667"/>
      <c r="BQ37" s="671"/>
      <c r="BR37" s="671"/>
      <c r="BS37" s="671"/>
      <c r="BT37" s="671"/>
      <c r="BU37" s="672"/>
    </row>
    <row r="38" spans="1:73" ht="90" x14ac:dyDescent="0.25">
      <c r="A38" s="2757"/>
      <c r="B38" s="2758"/>
      <c r="C38" s="2836"/>
      <c r="D38" s="2837"/>
      <c r="E38" s="3667"/>
      <c r="F38" s="3668"/>
      <c r="G38" s="571">
        <v>1707069</v>
      </c>
      <c r="H38" s="494" t="s">
        <v>851</v>
      </c>
      <c r="I38" s="571">
        <v>1707069</v>
      </c>
      <c r="J38" s="494" t="s">
        <v>851</v>
      </c>
      <c r="K38" s="465" t="s">
        <v>852</v>
      </c>
      <c r="L38" s="205" t="s">
        <v>853</v>
      </c>
      <c r="M38" s="465" t="s">
        <v>852</v>
      </c>
      <c r="N38" s="205" t="s">
        <v>853</v>
      </c>
      <c r="O38" s="647">
        <v>5</v>
      </c>
      <c r="P38" s="197">
        <v>0</v>
      </c>
      <c r="Q38" s="512" t="s">
        <v>854</v>
      </c>
      <c r="R38" s="208" t="s">
        <v>855</v>
      </c>
      <c r="S38" s="661">
        <f>X38/T38</f>
        <v>1</v>
      </c>
      <c r="T38" s="663">
        <f>SUM(X38)</f>
        <v>43000000</v>
      </c>
      <c r="U38" s="208" t="s">
        <v>856</v>
      </c>
      <c r="V38" s="208" t="s">
        <v>857</v>
      </c>
      <c r="W38" s="208" t="s">
        <v>858</v>
      </c>
      <c r="X38" s="72">
        <v>43000000</v>
      </c>
      <c r="Y38" s="72">
        <v>0</v>
      </c>
      <c r="Z38" s="72">
        <v>0</v>
      </c>
      <c r="AA38" s="644" t="s">
        <v>859</v>
      </c>
      <c r="AB38" s="649">
        <v>20</v>
      </c>
      <c r="AC38" s="103" t="s">
        <v>734</v>
      </c>
      <c r="AD38" s="471">
        <v>1233</v>
      </c>
      <c r="AE38" s="471"/>
      <c r="AF38" s="471">
        <v>656</v>
      </c>
      <c r="AG38" s="471"/>
      <c r="AH38" s="471">
        <v>253</v>
      </c>
      <c r="AI38" s="471"/>
      <c r="AJ38" s="471">
        <v>142</v>
      </c>
      <c r="AK38" s="471"/>
      <c r="AL38" s="471">
        <v>1200</v>
      </c>
      <c r="AM38" s="471"/>
      <c r="AN38" s="471">
        <v>663</v>
      </c>
      <c r="AO38" s="471"/>
      <c r="AP38" s="471">
        <v>126</v>
      </c>
      <c r="AQ38" s="471"/>
      <c r="AR38" s="471">
        <v>120</v>
      </c>
      <c r="AS38" s="471"/>
      <c r="AT38" s="471"/>
      <c r="AU38" s="471"/>
      <c r="AV38" s="471"/>
      <c r="AW38" s="471"/>
      <c r="AX38" s="471"/>
      <c r="AY38" s="471"/>
      <c r="AZ38" s="471"/>
      <c r="BA38" s="471"/>
      <c r="BB38" s="471">
        <v>582</v>
      </c>
      <c r="BC38" s="471"/>
      <c r="BD38" s="471">
        <v>33</v>
      </c>
      <c r="BE38" s="471"/>
      <c r="BF38" s="471">
        <v>51</v>
      </c>
      <c r="BG38" s="471"/>
      <c r="BH38" s="471">
        <v>1889</v>
      </c>
      <c r="BI38" s="471"/>
      <c r="BJ38" s="471">
        <v>0</v>
      </c>
      <c r="BK38" s="532">
        <f>SUM(Y38)</f>
        <v>0</v>
      </c>
      <c r="BL38" s="532">
        <f>SUM(Z38)</f>
        <v>0</v>
      </c>
      <c r="BM38" s="664"/>
      <c r="BN38" s="683">
        <v>20</v>
      </c>
      <c r="BO38" s="684" t="s">
        <v>734</v>
      </c>
      <c r="BP38" s="471"/>
      <c r="BQ38" s="536"/>
      <c r="BR38" s="536"/>
      <c r="BS38" s="536"/>
      <c r="BT38" s="536"/>
      <c r="BU38" s="408" t="s">
        <v>738</v>
      </c>
    </row>
    <row r="39" spans="1:73" ht="15.75" x14ac:dyDescent="0.25">
      <c r="A39" s="2757"/>
      <c r="B39" s="2758"/>
      <c r="C39" s="2836"/>
      <c r="D39" s="2837"/>
      <c r="E39" s="636">
        <v>1708</v>
      </c>
      <c r="F39" s="2657" t="s">
        <v>860</v>
      </c>
      <c r="G39" s="2657"/>
      <c r="H39" s="2657"/>
      <c r="I39" s="2657"/>
      <c r="J39" s="2657"/>
      <c r="K39" s="2657"/>
      <c r="L39" s="2657"/>
      <c r="M39" s="188"/>
      <c r="N39" s="323"/>
      <c r="O39" s="188"/>
      <c r="P39" s="188"/>
      <c r="Q39" s="188"/>
      <c r="R39" s="323"/>
      <c r="S39" s="186"/>
      <c r="T39" s="322"/>
      <c r="U39" s="323"/>
      <c r="V39" s="323"/>
      <c r="W39" s="323"/>
      <c r="X39" s="491"/>
      <c r="Y39" s="491"/>
      <c r="Z39" s="491"/>
      <c r="AA39" s="637"/>
      <c r="AB39" s="666"/>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8"/>
      <c r="BL39" s="668"/>
      <c r="BM39" s="669"/>
      <c r="BN39" s="669"/>
      <c r="BO39" s="669"/>
      <c r="BP39" s="667"/>
      <c r="BQ39" s="671"/>
      <c r="BR39" s="671"/>
      <c r="BS39" s="671"/>
      <c r="BT39" s="671"/>
      <c r="BU39" s="672"/>
    </row>
    <row r="40" spans="1:73" ht="75" customHeight="1" x14ac:dyDescent="0.25">
      <c r="A40" s="2757"/>
      <c r="B40" s="2758"/>
      <c r="C40" s="2836"/>
      <c r="D40" s="2837"/>
      <c r="E40" s="3654"/>
      <c r="F40" s="3655"/>
      <c r="G40" s="571">
        <v>1708016</v>
      </c>
      <c r="H40" s="494" t="s">
        <v>197</v>
      </c>
      <c r="I40" s="571">
        <v>1708016</v>
      </c>
      <c r="J40" s="494" t="s">
        <v>197</v>
      </c>
      <c r="K40" s="495" t="s">
        <v>861</v>
      </c>
      <c r="L40" s="646" t="s">
        <v>862</v>
      </c>
      <c r="M40" s="495" t="s">
        <v>861</v>
      </c>
      <c r="N40" s="646" t="s">
        <v>862</v>
      </c>
      <c r="O40" s="647">
        <v>2</v>
      </c>
      <c r="P40" s="197">
        <v>0</v>
      </c>
      <c r="Q40" s="2664" t="s">
        <v>863</v>
      </c>
      <c r="R40" s="2475" t="s">
        <v>864</v>
      </c>
      <c r="S40" s="661">
        <f>X40/T40</f>
        <v>0.5</v>
      </c>
      <c r="T40" s="3664">
        <f>SUM(X40:X41)</f>
        <v>40000000</v>
      </c>
      <c r="U40" s="2701" t="s">
        <v>865</v>
      </c>
      <c r="V40" s="208" t="s">
        <v>866</v>
      </c>
      <c r="W40" s="685" t="s">
        <v>867</v>
      </c>
      <c r="X40" s="523">
        <v>20000000</v>
      </c>
      <c r="Y40" s="523">
        <v>17555000</v>
      </c>
      <c r="Z40" s="523">
        <v>6675000</v>
      </c>
      <c r="AA40" s="644" t="s">
        <v>868</v>
      </c>
      <c r="AB40" s="649">
        <v>20</v>
      </c>
      <c r="AC40" s="103" t="s">
        <v>734</v>
      </c>
      <c r="AD40" s="471">
        <v>295972</v>
      </c>
      <c r="AE40" s="471"/>
      <c r="AF40" s="471">
        <v>285580</v>
      </c>
      <c r="AG40" s="471"/>
      <c r="AH40" s="471">
        <v>135545</v>
      </c>
      <c r="AI40" s="471"/>
      <c r="AJ40" s="471">
        <v>44254</v>
      </c>
      <c r="AK40" s="471"/>
      <c r="AL40" s="471">
        <v>309146</v>
      </c>
      <c r="AM40" s="471"/>
      <c r="AN40" s="471">
        <v>92607</v>
      </c>
      <c r="AO40" s="471"/>
      <c r="AP40" s="471"/>
      <c r="AQ40" s="471"/>
      <c r="AR40" s="471"/>
      <c r="AS40" s="471"/>
      <c r="AT40" s="471"/>
      <c r="AU40" s="471"/>
      <c r="AV40" s="471"/>
      <c r="AW40" s="471"/>
      <c r="AX40" s="471"/>
      <c r="AY40" s="471"/>
      <c r="AZ40" s="471"/>
      <c r="BA40" s="471"/>
      <c r="BB40" s="471">
        <v>44350</v>
      </c>
      <c r="BC40" s="471"/>
      <c r="BD40" s="471">
        <v>21944</v>
      </c>
      <c r="BE40" s="471"/>
      <c r="BF40" s="471"/>
      <c r="BG40" s="471"/>
      <c r="BH40" s="471">
        <v>581552</v>
      </c>
      <c r="BI40" s="471"/>
      <c r="BJ40" s="2741">
        <v>2</v>
      </c>
      <c r="BK40" s="3665">
        <f>SUM(Y40:Y41)</f>
        <v>17555000</v>
      </c>
      <c r="BL40" s="3665">
        <f>SUM(Z40:Z41)</f>
        <v>6675000</v>
      </c>
      <c r="BM40" s="3474">
        <f>+BL40/BK40</f>
        <v>0.38023355169467388</v>
      </c>
      <c r="BN40" s="3662">
        <v>20</v>
      </c>
      <c r="BO40" s="3669" t="s">
        <v>734</v>
      </c>
      <c r="BP40" s="3662" t="s">
        <v>762</v>
      </c>
      <c r="BQ40" s="2683">
        <v>44211</v>
      </c>
      <c r="BR40" s="2686">
        <v>44271</v>
      </c>
      <c r="BS40" s="2686">
        <v>44561</v>
      </c>
      <c r="BT40" s="2686">
        <v>44467</v>
      </c>
      <c r="BU40" s="3510" t="s">
        <v>738</v>
      </c>
    </row>
    <row r="41" spans="1:73" ht="45" x14ac:dyDescent="0.25">
      <c r="A41" s="2757"/>
      <c r="B41" s="2758"/>
      <c r="C41" s="2836"/>
      <c r="D41" s="2837"/>
      <c r="E41" s="3656"/>
      <c r="F41" s="3657"/>
      <c r="G41" s="571">
        <v>1708051</v>
      </c>
      <c r="H41" s="494" t="s">
        <v>869</v>
      </c>
      <c r="I41" s="571">
        <v>1708051</v>
      </c>
      <c r="J41" s="494" t="s">
        <v>869</v>
      </c>
      <c r="K41" s="495" t="s">
        <v>870</v>
      </c>
      <c r="L41" s="646" t="s">
        <v>871</v>
      </c>
      <c r="M41" s="495" t="s">
        <v>870</v>
      </c>
      <c r="N41" s="646" t="s">
        <v>871</v>
      </c>
      <c r="O41" s="647">
        <v>1</v>
      </c>
      <c r="P41" s="197">
        <v>0</v>
      </c>
      <c r="Q41" s="2664"/>
      <c r="R41" s="2475"/>
      <c r="S41" s="661">
        <f>X41/T40</f>
        <v>0.5</v>
      </c>
      <c r="T41" s="3664"/>
      <c r="U41" s="2703"/>
      <c r="V41" s="208" t="s">
        <v>872</v>
      </c>
      <c r="W41" s="685" t="s">
        <v>873</v>
      </c>
      <c r="X41" s="523">
        <v>20000000</v>
      </c>
      <c r="Y41" s="523">
        <v>0</v>
      </c>
      <c r="Z41" s="523">
        <v>0</v>
      </c>
      <c r="AA41" s="644" t="s">
        <v>874</v>
      </c>
      <c r="AB41" s="649">
        <v>20</v>
      </c>
      <c r="AC41" s="103" t="s">
        <v>734</v>
      </c>
      <c r="AD41" s="471">
        <v>3000</v>
      </c>
      <c r="AE41" s="471"/>
      <c r="AF41" s="471">
        <v>3000</v>
      </c>
      <c r="AG41" s="471"/>
      <c r="AH41" s="471">
        <v>2000</v>
      </c>
      <c r="AI41" s="471"/>
      <c r="AJ41" s="471">
        <v>1000</v>
      </c>
      <c r="AK41" s="471"/>
      <c r="AL41" s="471">
        <v>2500</v>
      </c>
      <c r="AM41" s="471"/>
      <c r="AN41" s="471">
        <v>500</v>
      </c>
      <c r="AO41" s="471"/>
      <c r="AP41" s="471"/>
      <c r="AQ41" s="471"/>
      <c r="AR41" s="471"/>
      <c r="AS41" s="471"/>
      <c r="AT41" s="471"/>
      <c r="AU41" s="471"/>
      <c r="AV41" s="471"/>
      <c r="AW41" s="471"/>
      <c r="AX41" s="471"/>
      <c r="AY41" s="471"/>
      <c r="AZ41" s="471"/>
      <c r="BA41" s="471"/>
      <c r="BB41" s="471"/>
      <c r="BC41" s="471"/>
      <c r="BD41" s="471"/>
      <c r="BE41" s="471"/>
      <c r="BF41" s="471"/>
      <c r="BG41" s="471"/>
      <c r="BH41" s="471">
        <v>6000</v>
      </c>
      <c r="BI41" s="471"/>
      <c r="BJ41" s="2743"/>
      <c r="BK41" s="3666"/>
      <c r="BL41" s="3666"/>
      <c r="BM41" s="2464"/>
      <c r="BN41" s="3464"/>
      <c r="BO41" s="3670"/>
      <c r="BP41" s="3464"/>
      <c r="BQ41" s="2685"/>
      <c r="BR41" s="2688"/>
      <c r="BS41" s="2688"/>
      <c r="BT41" s="2688"/>
      <c r="BU41" s="3492"/>
    </row>
    <row r="42" spans="1:73" ht="15.75" x14ac:dyDescent="0.25">
      <c r="A42" s="2757"/>
      <c r="B42" s="2758"/>
      <c r="C42" s="2836"/>
      <c r="D42" s="2837"/>
      <c r="E42" s="636">
        <v>1709</v>
      </c>
      <c r="F42" s="2657" t="s">
        <v>875</v>
      </c>
      <c r="G42" s="2657"/>
      <c r="H42" s="2657"/>
      <c r="I42" s="2657"/>
      <c r="J42" s="2657"/>
      <c r="K42" s="2657"/>
      <c r="L42" s="2657"/>
      <c r="M42" s="188"/>
      <c r="N42" s="323"/>
      <c r="O42" s="188"/>
      <c r="P42" s="188"/>
      <c r="Q42" s="188"/>
      <c r="R42" s="323"/>
      <c r="S42" s="186"/>
      <c r="T42" s="322"/>
      <c r="U42" s="323"/>
      <c r="V42" s="323"/>
      <c r="W42" s="323"/>
      <c r="X42" s="491"/>
      <c r="Y42" s="491"/>
      <c r="Z42" s="491"/>
      <c r="AA42" s="637"/>
      <c r="AB42" s="666"/>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c r="BK42" s="668"/>
      <c r="BL42" s="668"/>
      <c r="BM42" s="669"/>
      <c r="BN42" s="667"/>
      <c r="BO42" s="670"/>
      <c r="BP42" s="667"/>
      <c r="BQ42" s="671"/>
      <c r="BR42" s="671"/>
      <c r="BS42" s="671"/>
      <c r="BT42" s="671"/>
      <c r="BU42" s="672"/>
    </row>
    <row r="43" spans="1:73" ht="45" customHeight="1" x14ac:dyDescent="0.25">
      <c r="A43" s="2757"/>
      <c r="B43" s="2758"/>
      <c r="C43" s="2836"/>
      <c r="D43" s="2837"/>
      <c r="E43" s="3595"/>
      <c r="F43" s="3596"/>
      <c r="G43" s="571">
        <v>1709019</v>
      </c>
      <c r="H43" s="510" t="s">
        <v>876</v>
      </c>
      <c r="I43" s="571">
        <v>1709019</v>
      </c>
      <c r="J43" s="510" t="s">
        <v>876</v>
      </c>
      <c r="K43" s="495" t="s">
        <v>877</v>
      </c>
      <c r="L43" s="198" t="s">
        <v>876</v>
      </c>
      <c r="M43" s="495" t="s">
        <v>877</v>
      </c>
      <c r="N43" s="198" t="s">
        <v>876</v>
      </c>
      <c r="O43" s="197">
        <v>4</v>
      </c>
      <c r="P43" s="197">
        <v>0</v>
      </c>
      <c r="Q43" s="3663" t="s">
        <v>878</v>
      </c>
      <c r="R43" s="2285" t="s">
        <v>879</v>
      </c>
      <c r="S43" s="648">
        <f>X43/T43</f>
        <v>0.39814814814814814</v>
      </c>
      <c r="T43" s="3664">
        <f>SUM(X43:X46)</f>
        <v>108000000</v>
      </c>
      <c r="U43" s="2428" t="s">
        <v>880</v>
      </c>
      <c r="V43" s="252" t="s">
        <v>881</v>
      </c>
      <c r="W43" s="252" t="s">
        <v>882</v>
      </c>
      <c r="X43" s="523">
        <v>43000000</v>
      </c>
      <c r="Y43" s="523">
        <v>0</v>
      </c>
      <c r="Z43" s="523">
        <v>0</v>
      </c>
      <c r="AA43" s="644" t="s">
        <v>883</v>
      </c>
      <c r="AB43" s="649">
        <v>20</v>
      </c>
      <c r="AC43" s="103" t="s">
        <v>734</v>
      </c>
      <c r="AD43" s="2741">
        <v>600</v>
      </c>
      <c r="AE43" s="2741"/>
      <c r="AF43" s="2741">
        <v>600</v>
      </c>
      <c r="AG43" s="2741"/>
      <c r="AH43" s="2741">
        <v>125</v>
      </c>
      <c r="AI43" s="2741"/>
      <c r="AJ43" s="2741">
        <v>75</v>
      </c>
      <c r="AK43" s="2741"/>
      <c r="AL43" s="2741">
        <v>300</v>
      </c>
      <c r="AM43" s="2741"/>
      <c r="AN43" s="2741">
        <v>700</v>
      </c>
      <c r="AO43" s="2741"/>
      <c r="AP43" s="2741">
        <v>50</v>
      </c>
      <c r="AQ43" s="2741"/>
      <c r="AR43" s="2741">
        <v>30</v>
      </c>
      <c r="AS43" s="2741"/>
      <c r="AT43" s="2741"/>
      <c r="AU43" s="2741"/>
      <c r="AV43" s="2741"/>
      <c r="AW43" s="2741"/>
      <c r="AX43" s="2741"/>
      <c r="AY43" s="2741"/>
      <c r="AZ43" s="2741"/>
      <c r="BA43" s="2741"/>
      <c r="BB43" s="2741">
        <v>10</v>
      </c>
      <c r="BC43" s="2741"/>
      <c r="BD43" s="2741">
        <v>10</v>
      </c>
      <c r="BE43" s="2741"/>
      <c r="BF43" s="2741"/>
      <c r="BG43" s="2741"/>
      <c r="BH43" s="2741">
        <v>1200</v>
      </c>
      <c r="BI43" s="2741"/>
      <c r="BJ43" s="2741">
        <v>3</v>
      </c>
      <c r="BK43" s="3620">
        <f>SUM(Y43:Y46)</f>
        <v>35433654</v>
      </c>
      <c r="BL43" s="3620">
        <f>SUM(Z43:Z46)</f>
        <v>20195000</v>
      </c>
      <c r="BM43" s="2492">
        <f>+BL43/BK43</f>
        <v>0.56993839811158054</v>
      </c>
      <c r="BN43" s="2741">
        <v>20</v>
      </c>
      <c r="BO43" s="2738" t="s">
        <v>734</v>
      </c>
      <c r="BP43" s="2741" t="s">
        <v>737</v>
      </c>
      <c r="BQ43" s="3672">
        <v>44211</v>
      </c>
      <c r="BR43" s="3675">
        <v>44252</v>
      </c>
      <c r="BS43" s="3675">
        <v>44561</v>
      </c>
      <c r="BT43" s="3675">
        <v>44554</v>
      </c>
      <c r="BU43" s="3510" t="s">
        <v>738</v>
      </c>
    </row>
    <row r="44" spans="1:73" ht="36.75" customHeight="1" x14ac:dyDescent="0.25">
      <c r="A44" s="2757"/>
      <c r="B44" s="2758"/>
      <c r="C44" s="2836"/>
      <c r="D44" s="2837"/>
      <c r="E44" s="3597"/>
      <c r="F44" s="3598"/>
      <c r="G44" s="2682">
        <v>1709034</v>
      </c>
      <c r="H44" s="2397" t="s">
        <v>884</v>
      </c>
      <c r="I44" s="2682">
        <v>1709034</v>
      </c>
      <c r="J44" s="2397" t="s">
        <v>884</v>
      </c>
      <c r="K44" s="3671" t="s">
        <v>885</v>
      </c>
      <c r="L44" s="2469" t="s">
        <v>884</v>
      </c>
      <c r="M44" s="3671" t="s">
        <v>885</v>
      </c>
      <c r="N44" s="2469" t="s">
        <v>884</v>
      </c>
      <c r="O44" s="2468">
        <v>3</v>
      </c>
      <c r="P44" s="3025">
        <v>0</v>
      </c>
      <c r="Q44" s="3663"/>
      <c r="R44" s="2285"/>
      <c r="S44" s="3602">
        <f>SUM(X44:X45)/T43</f>
        <v>0.39814814814814814</v>
      </c>
      <c r="T44" s="3664"/>
      <c r="U44" s="2429"/>
      <c r="V44" s="2295" t="s">
        <v>886</v>
      </c>
      <c r="W44" s="2295" t="s">
        <v>887</v>
      </c>
      <c r="X44" s="523">
        <v>30000000</v>
      </c>
      <c r="Y44" s="523">
        <v>11540000</v>
      </c>
      <c r="Z44" s="523">
        <v>8655000</v>
      </c>
      <c r="AA44" s="644" t="s">
        <v>888</v>
      </c>
      <c r="AB44" s="3616">
        <v>20</v>
      </c>
      <c r="AC44" s="2392" t="s">
        <v>734</v>
      </c>
      <c r="AD44" s="2742"/>
      <c r="AE44" s="2742"/>
      <c r="AF44" s="2742"/>
      <c r="AG44" s="2742"/>
      <c r="AH44" s="2742"/>
      <c r="AI44" s="2742"/>
      <c r="AJ44" s="2742"/>
      <c r="AK44" s="2742"/>
      <c r="AL44" s="2742"/>
      <c r="AM44" s="2742"/>
      <c r="AN44" s="2742"/>
      <c r="AO44" s="2742"/>
      <c r="AP44" s="2742"/>
      <c r="AQ44" s="2742"/>
      <c r="AR44" s="2742"/>
      <c r="AS44" s="2742"/>
      <c r="AT44" s="2742"/>
      <c r="AU44" s="2742"/>
      <c r="AV44" s="2742"/>
      <c r="AW44" s="2742"/>
      <c r="AX44" s="2742"/>
      <c r="AY44" s="2742"/>
      <c r="AZ44" s="2742"/>
      <c r="BA44" s="2742"/>
      <c r="BB44" s="2742"/>
      <c r="BC44" s="2742"/>
      <c r="BD44" s="2742"/>
      <c r="BE44" s="2742"/>
      <c r="BF44" s="2742"/>
      <c r="BG44" s="2742"/>
      <c r="BH44" s="2742"/>
      <c r="BI44" s="2742"/>
      <c r="BJ44" s="2742"/>
      <c r="BK44" s="3621"/>
      <c r="BL44" s="3621"/>
      <c r="BM44" s="2707"/>
      <c r="BN44" s="2742"/>
      <c r="BO44" s="2739"/>
      <c r="BP44" s="2742"/>
      <c r="BQ44" s="3673"/>
      <c r="BR44" s="3676"/>
      <c r="BS44" s="3676"/>
      <c r="BT44" s="3676"/>
      <c r="BU44" s="3491"/>
    </row>
    <row r="45" spans="1:73" ht="36.75" customHeight="1" x14ac:dyDescent="0.25">
      <c r="A45" s="2757"/>
      <c r="B45" s="2758"/>
      <c r="C45" s="2836"/>
      <c r="D45" s="2837"/>
      <c r="E45" s="3597"/>
      <c r="F45" s="3598"/>
      <c r="G45" s="2682"/>
      <c r="H45" s="2397"/>
      <c r="I45" s="2682"/>
      <c r="J45" s="2397"/>
      <c r="K45" s="3671"/>
      <c r="L45" s="2469"/>
      <c r="M45" s="3671"/>
      <c r="N45" s="2469"/>
      <c r="O45" s="2468"/>
      <c r="P45" s="3026"/>
      <c r="Q45" s="3663"/>
      <c r="R45" s="2285"/>
      <c r="S45" s="3602"/>
      <c r="T45" s="3664"/>
      <c r="U45" s="2429"/>
      <c r="V45" s="2700"/>
      <c r="W45" s="2700"/>
      <c r="X45" s="523">
        <v>13000000</v>
      </c>
      <c r="Y45" s="523">
        <v>11540000</v>
      </c>
      <c r="Z45" s="523">
        <v>11540000</v>
      </c>
      <c r="AA45" s="674" t="s">
        <v>889</v>
      </c>
      <c r="AB45" s="3617"/>
      <c r="AC45" s="2388"/>
      <c r="AD45" s="2742"/>
      <c r="AE45" s="2742"/>
      <c r="AF45" s="2742"/>
      <c r="AG45" s="2742"/>
      <c r="AH45" s="2742"/>
      <c r="AI45" s="2742"/>
      <c r="AJ45" s="2742"/>
      <c r="AK45" s="2742"/>
      <c r="AL45" s="2742"/>
      <c r="AM45" s="2742"/>
      <c r="AN45" s="2742"/>
      <c r="AO45" s="2742"/>
      <c r="AP45" s="2742"/>
      <c r="AQ45" s="2742"/>
      <c r="AR45" s="2742"/>
      <c r="AS45" s="2742"/>
      <c r="AT45" s="2742"/>
      <c r="AU45" s="2742"/>
      <c r="AV45" s="2742"/>
      <c r="AW45" s="2742"/>
      <c r="AX45" s="2742"/>
      <c r="AY45" s="2742"/>
      <c r="AZ45" s="2742"/>
      <c r="BA45" s="2742"/>
      <c r="BB45" s="2742"/>
      <c r="BC45" s="2742"/>
      <c r="BD45" s="2742"/>
      <c r="BE45" s="2742"/>
      <c r="BF45" s="2742"/>
      <c r="BG45" s="2742"/>
      <c r="BH45" s="2742"/>
      <c r="BI45" s="2742"/>
      <c r="BJ45" s="2742"/>
      <c r="BK45" s="3621"/>
      <c r="BL45" s="3621"/>
      <c r="BM45" s="2707"/>
      <c r="BN45" s="2742"/>
      <c r="BO45" s="2739"/>
      <c r="BP45" s="2742"/>
      <c r="BQ45" s="3673"/>
      <c r="BR45" s="3676">
        <v>44252</v>
      </c>
      <c r="BS45" s="3676">
        <v>44561</v>
      </c>
      <c r="BT45" s="3676">
        <v>44379</v>
      </c>
      <c r="BU45" s="3491"/>
    </row>
    <row r="46" spans="1:73" ht="45" x14ac:dyDescent="0.25">
      <c r="A46" s="2757"/>
      <c r="B46" s="2758"/>
      <c r="C46" s="2838"/>
      <c r="D46" s="2839"/>
      <c r="E46" s="3599"/>
      <c r="F46" s="3600"/>
      <c r="G46" s="571">
        <v>1709093</v>
      </c>
      <c r="H46" s="510" t="s">
        <v>890</v>
      </c>
      <c r="I46" s="571">
        <v>1709093</v>
      </c>
      <c r="J46" s="510" t="s">
        <v>890</v>
      </c>
      <c r="K46" s="509" t="s">
        <v>891</v>
      </c>
      <c r="L46" s="511" t="s">
        <v>892</v>
      </c>
      <c r="M46" s="509" t="s">
        <v>891</v>
      </c>
      <c r="N46" s="511" t="s">
        <v>892</v>
      </c>
      <c r="O46" s="197">
        <v>2</v>
      </c>
      <c r="P46" s="197">
        <v>0</v>
      </c>
      <c r="Q46" s="3663"/>
      <c r="R46" s="2285"/>
      <c r="S46" s="648">
        <f>X46/T43</f>
        <v>0.20370370370370369</v>
      </c>
      <c r="T46" s="3664"/>
      <c r="U46" s="2430"/>
      <c r="V46" s="511" t="s">
        <v>893</v>
      </c>
      <c r="W46" s="252" t="s">
        <v>894</v>
      </c>
      <c r="X46" s="523">
        <v>22000000</v>
      </c>
      <c r="Y46" s="523">
        <v>12353654</v>
      </c>
      <c r="Z46" s="523">
        <v>0</v>
      </c>
      <c r="AA46" s="674" t="s">
        <v>895</v>
      </c>
      <c r="AB46" s="675">
        <v>20</v>
      </c>
      <c r="AC46" s="234" t="s">
        <v>734</v>
      </c>
      <c r="AD46" s="2742"/>
      <c r="AE46" s="2742"/>
      <c r="AF46" s="2742"/>
      <c r="AG46" s="2742"/>
      <c r="AH46" s="2742"/>
      <c r="AI46" s="2742"/>
      <c r="AJ46" s="2742"/>
      <c r="AK46" s="2742"/>
      <c r="AL46" s="2742"/>
      <c r="AM46" s="2742"/>
      <c r="AN46" s="2742"/>
      <c r="AO46" s="2742"/>
      <c r="AP46" s="2742"/>
      <c r="AQ46" s="2742"/>
      <c r="AR46" s="2742"/>
      <c r="AS46" s="2742"/>
      <c r="AT46" s="2742"/>
      <c r="AU46" s="2742"/>
      <c r="AV46" s="2742"/>
      <c r="AW46" s="2742"/>
      <c r="AX46" s="2742"/>
      <c r="AY46" s="2742"/>
      <c r="AZ46" s="2742"/>
      <c r="BA46" s="2742"/>
      <c r="BB46" s="2742"/>
      <c r="BC46" s="2742"/>
      <c r="BD46" s="2742"/>
      <c r="BE46" s="2742"/>
      <c r="BF46" s="2742"/>
      <c r="BG46" s="2742"/>
      <c r="BH46" s="2742"/>
      <c r="BI46" s="2742"/>
      <c r="BJ46" s="2742"/>
      <c r="BK46" s="3621"/>
      <c r="BL46" s="3621"/>
      <c r="BM46" s="2707"/>
      <c r="BN46" s="2742"/>
      <c r="BO46" s="2739"/>
      <c r="BP46" s="2742"/>
      <c r="BQ46" s="3674"/>
      <c r="BR46" s="3677"/>
      <c r="BS46" s="3677"/>
      <c r="BT46" s="3677"/>
      <c r="BU46" s="3491"/>
    </row>
    <row r="47" spans="1:73" ht="23.25" customHeight="1" x14ac:dyDescent="0.25">
      <c r="A47" s="2757"/>
      <c r="B47" s="2758"/>
      <c r="C47" s="474">
        <v>35</v>
      </c>
      <c r="D47" s="2656" t="s">
        <v>896</v>
      </c>
      <c r="E47" s="2656"/>
      <c r="F47" s="2656"/>
      <c r="G47" s="2656"/>
      <c r="H47" s="2656"/>
      <c r="I47" s="2656"/>
      <c r="J47" s="2656"/>
      <c r="K47" s="686"/>
      <c r="L47" s="506"/>
      <c r="M47" s="538"/>
      <c r="N47" s="506"/>
      <c r="O47" s="565"/>
      <c r="P47" s="565"/>
      <c r="Q47" s="687"/>
      <c r="R47" s="478"/>
      <c r="S47" s="688"/>
      <c r="T47" s="689"/>
      <c r="U47" s="478"/>
      <c r="V47" s="690"/>
      <c r="W47" s="478"/>
      <c r="X47" s="691"/>
      <c r="Y47" s="691"/>
      <c r="Z47" s="691"/>
      <c r="AA47" s="692"/>
      <c r="AB47" s="693"/>
      <c r="AC47" s="694"/>
      <c r="AD47" s="695"/>
      <c r="AE47" s="695"/>
      <c r="AF47" s="695"/>
      <c r="AG47" s="695"/>
      <c r="AH47" s="695"/>
      <c r="AI47" s="695"/>
      <c r="AJ47" s="695"/>
      <c r="AK47" s="695"/>
      <c r="AL47" s="695"/>
      <c r="AM47" s="695"/>
      <c r="AN47" s="695"/>
      <c r="AO47" s="695"/>
      <c r="AP47" s="696"/>
      <c r="AQ47" s="696"/>
      <c r="AR47" s="696"/>
      <c r="AS47" s="696"/>
      <c r="AT47" s="696"/>
      <c r="AU47" s="696"/>
      <c r="AV47" s="696"/>
      <c r="AW47" s="696"/>
      <c r="AX47" s="696"/>
      <c r="AY47" s="696"/>
      <c r="AZ47" s="696"/>
      <c r="BA47" s="696"/>
      <c r="BB47" s="696"/>
      <c r="BC47" s="696"/>
      <c r="BD47" s="696"/>
      <c r="BE47" s="696"/>
      <c r="BF47" s="695"/>
      <c r="BG47" s="695"/>
      <c r="BH47" s="695"/>
      <c r="BI47" s="695"/>
      <c r="BJ47" s="695"/>
      <c r="BK47" s="697"/>
      <c r="BL47" s="697"/>
      <c r="BM47" s="698"/>
      <c r="BN47" s="695"/>
      <c r="BO47" s="699"/>
      <c r="BP47" s="695"/>
      <c r="BQ47" s="700"/>
      <c r="BR47" s="700"/>
      <c r="BS47" s="700"/>
      <c r="BT47" s="700"/>
      <c r="BU47" s="701"/>
    </row>
    <row r="48" spans="1:73" ht="23.25" customHeight="1" x14ac:dyDescent="0.25">
      <c r="A48" s="2757"/>
      <c r="B48" s="2758"/>
      <c r="C48" s="2813"/>
      <c r="D48" s="2814"/>
      <c r="E48" s="636">
        <v>3502</v>
      </c>
      <c r="F48" s="2657" t="s">
        <v>897</v>
      </c>
      <c r="G48" s="2657"/>
      <c r="H48" s="2657"/>
      <c r="I48" s="2657"/>
      <c r="J48" s="2657"/>
      <c r="K48" s="2657"/>
      <c r="L48" s="2657"/>
      <c r="M48" s="188"/>
      <c r="N48" s="323"/>
      <c r="O48" s="188"/>
      <c r="P48" s="188"/>
      <c r="Q48" s="188"/>
      <c r="R48" s="323"/>
      <c r="S48" s="186"/>
      <c r="T48" s="322"/>
      <c r="U48" s="323"/>
      <c r="V48" s="323"/>
      <c r="W48" s="323"/>
      <c r="X48" s="491"/>
      <c r="Y48" s="491"/>
      <c r="Z48" s="491"/>
      <c r="AA48" s="637"/>
      <c r="AB48" s="638"/>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81"/>
      <c r="BL48" s="681"/>
      <c r="BM48" s="640"/>
      <c r="BN48" s="639"/>
      <c r="BO48" s="641"/>
      <c r="BP48" s="639"/>
      <c r="BQ48" s="642"/>
      <c r="BR48" s="642"/>
      <c r="BS48" s="642"/>
      <c r="BT48" s="642"/>
      <c r="BU48" s="643"/>
    </row>
    <row r="49" spans="1:73" ht="75" customHeight="1" x14ac:dyDescent="0.25">
      <c r="A49" s="2757"/>
      <c r="B49" s="2758"/>
      <c r="C49" s="2405"/>
      <c r="D49" s="2263"/>
      <c r="E49" s="3595"/>
      <c r="F49" s="3596"/>
      <c r="G49" s="571">
        <v>3502017</v>
      </c>
      <c r="H49" s="494" t="s">
        <v>898</v>
      </c>
      <c r="I49" s="571">
        <v>3502017</v>
      </c>
      <c r="J49" s="494" t="s">
        <v>898</v>
      </c>
      <c r="K49" s="495" t="s">
        <v>899</v>
      </c>
      <c r="L49" s="646" t="s">
        <v>900</v>
      </c>
      <c r="M49" s="495" t="s">
        <v>899</v>
      </c>
      <c r="N49" s="646" t="s">
        <v>900</v>
      </c>
      <c r="O49" s="647">
        <v>6</v>
      </c>
      <c r="P49" s="197">
        <v>5</v>
      </c>
      <c r="Q49" s="3385" t="s">
        <v>901</v>
      </c>
      <c r="R49" s="2475" t="s">
        <v>902</v>
      </c>
      <c r="S49" s="648">
        <f>X49/T49</f>
        <v>0.5</v>
      </c>
      <c r="T49" s="3664">
        <f>SUM(X49:X50)</f>
        <v>36000000</v>
      </c>
      <c r="U49" s="2428" t="s">
        <v>903</v>
      </c>
      <c r="V49" s="2295" t="s">
        <v>904</v>
      </c>
      <c r="W49" s="252" t="s">
        <v>905</v>
      </c>
      <c r="X49" s="72">
        <v>18000000</v>
      </c>
      <c r="Y49" s="72">
        <v>11540000</v>
      </c>
      <c r="Z49" s="72">
        <v>2885000</v>
      </c>
      <c r="AA49" s="644" t="s">
        <v>906</v>
      </c>
      <c r="AB49" s="649">
        <v>20</v>
      </c>
      <c r="AC49" s="103" t="s">
        <v>734</v>
      </c>
      <c r="AD49" s="2741">
        <v>655</v>
      </c>
      <c r="AE49" s="2741"/>
      <c r="AF49" s="2741">
        <v>1234</v>
      </c>
      <c r="AG49" s="2741"/>
      <c r="AH49" s="2741">
        <v>253</v>
      </c>
      <c r="AI49" s="2741"/>
      <c r="AJ49" s="2741">
        <v>172</v>
      </c>
      <c r="AK49" s="2741"/>
      <c r="AL49" s="2741">
        <v>1200</v>
      </c>
      <c r="AM49" s="2741"/>
      <c r="AN49" s="2741">
        <v>633</v>
      </c>
      <c r="AO49" s="2741"/>
      <c r="AP49" s="2741">
        <v>126</v>
      </c>
      <c r="AQ49" s="2741"/>
      <c r="AR49" s="2741">
        <v>120</v>
      </c>
      <c r="AS49" s="2741"/>
      <c r="AT49" s="2741"/>
      <c r="AU49" s="2741"/>
      <c r="AV49" s="2741"/>
      <c r="AW49" s="2741"/>
      <c r="AX49" s="2741"/>
      <c r="AY49" s="2741"/>
      <c r="AZ49" s="2741"/>
      <c r="BA49" s="2741"/>
      <c r="BB49" s="2741">
        <v>582</v>
      </c>
      <c r="BC49" s="2741"/>
      <c r="BD49" s="2741">
        <v>33</v>
      </c>
      <c r="BE49" s="2741"/>
      <c r="BF49" s="2741">
        <v>51</v>
      </c>
      <c r="BG49" s="2741"/>
      <c r="BH49" s="2741">
        <v>1889</v>
      </c>
      <c r="BI49" s="2741"/>
      <c r="BJ49" s="2741">
        <v>2</v>
      </c>
      <c r="BK49" s="3620">
        <f>SUM(Y49:Y50)</f>
        <v>25540000</v>
      </c>
      <c r="BL49" s="3620">
        <f>SUM(Z49:Z50)</f>
        <v>9885000</v>
      </c>
      <c r="BM49" s="2492">
        <f>+BL49/BK49</f>
        <v>0.38703993735317149</v>
      </c>
      <c r="BN49" s="2741">
        <v>20</v>
      </c>
      <c r="BO49" s="2738" t="s">
        <v>734</v>
      </c>
      <c r="BP49" s="2741"/>
      <c r="BQ49" s="2686"/>
      <c r="BR49" s="2686">
        <v>44293</v>
      </c>
      <c r="BS49" s="2686">
        <v>44561</v>
      </c>
      <c r="BT49" s="2686">
        <v>44448</v>
      </c>
      <c r="BU49" s="3510" t="s">
        <v>738</v>
      </c>
    </row>
    <row r="50" spans="1:73" ht="45" x14ac:dyDescent="0.25">
      <c r="A50" s="2759"/>
      <c r="B50" s="2760"/>
      <c r="C50" s="2406"/>
      <c r="D50" s="2815"/>
      <c r="E50" s="3599"/>
      <c r="F50" s="3600"/>
      <c r="G50" s="571">
        <v>3502007</v>
      </c>
      <c r="H50" s="494" t="s">
        <v>907</v>
      </c>
      <c r="I50" s="571">
        <v>3502007</v>
      </c>
      <c r="J50" s="494" t="s">
        <v>907</v>
      </c>
      <c r="K50" s="465" t="s">
        <v>908</v>
      </c>
      <c r="L50" s="205" t="s">
        <v>909</v>
      </c>
      <c r="M50" s="465" t="s">
        <v>908</v>
      </c>
      <c r="N50" s="205" t="s">
        <v>909</v>
      </c>
      <c r="O50" s="465">
        <v>5</v>
      </c>
      <c r="P50" s="529">
        <v>3</v>
      </c>
      <c r="Q50" s="3385"/>
      <c r="R50" s="2475"/>
      <c r="S50" s="648">
        <f>X50/T49</f>
        <v>0.5</v>
      </c>
      <c r="T50" s="3664"/>
      <c r="U50" s="2430"/>
      <c r="V50" s="2700"/>
      <c r="W50" s="252" t="s">
        <v>910</v>
      </c>
      <c r="X50" s="72">
        <v>18000000</v>
      </c>
      <c r="Y50" s="72">
        <v>14000000</v>
      </c>
      <c r="Z50" s="72">
        <v>7000000</v>
      </c>
      <c r="AA50" s="644" t="s">
        <v>911</v>
      </c>
      <c r="AB50" s="675">
        <v>20</v>
      </c>
      <c r="AC50" s="234" t="s">
        <v>734</v>
      </c>
      <c r="AD50" s="2742"/>
      <c r="AE50" s="2742"/>
      <c r="AF50" s="2742"/>
      <c r="AG50" s="2742"/>
      <c r="AH50" s="2742"/>
      <c r="AI50" s="2742"/>
      <c r="AJ50" s="2742"/>
      <c r="AK50" s="2742"/>
      <c r="AL50" s="2742"/>
      <c r="AM50" s="2742"/>
      <c r="AN50" s="2742"/>
      <c r="AO50" s="2742"/>
      <c r="AP50" s="2742"/>
      <c r="AQ50" s="2742"/>
      <c r="AR50" s="2742"/>
      <c r="AS50" s="2742"/>
      <c r="AT50" s="2742"/>
      <c r="AU50" s="2742"/>
      <c r="AV50" s="2742"/>
      <c r="AW50" s="2742"/>
      <c r="AX50" s="2742"/>
      <c r="AY50" s="2742"/>
      <c r="AZ50" s="2742"/>
      <c r="BA50" s="2742"/>
      <c r="BB50" s="2742"/>
      <c r="BC50" s="2742"/>
      <c r="BD50" s="2742"/>
      <c r="BE50" s="2742"/>
      <c r="BF50" s="2742"/>
      <c r="BG50" s="2742"/>
      <c r="BH50" s="2742"/>
      <c r="BI50" s="2742"/>
      <c r="BJ50" s="2742"/>
      <c r="BK50" s="3621"/>
      <c r="BL50" s="3621"/>
      <c r="BM50" s="2707"/>
      <c r="BN50" s="2742"/>
      <c r="BO50" s="2739"/>
      <c r="BP50" s="2742"/>
      <c r="BQ50" s="3509"/>
      <c r="BR50" s="3509"/>
      <c r="BS50" s="2687"/>
      <c r="BT50" s="3509"/>
      <c r="BU50" s="3491"/>
    </row>
    <row r="51" spans="1:73" ht="15.75" x14ac:dyDescent="0.25">
      <c r="A51" s="453">
        <v>3</v>
      </c>
      <c r="B51" s="2675" t="s">
        <v>525</v>
      </c>
      <c r="C51" s="2675"/>
      <c r="D51" s="2675"/>
      <c r="E51" s="2675"/>
      <c r="F51" s="2675"/>
      <c r="G51" s="2675"/>
      <c r="H51" s="2675"/>
      <c r="I51" s="299"/>
      <c r="J51" s="298"/>
      <c r="K51" s="299"/>
      <c r="L51" s="298"/>
      <c r="M51" s="299"/>
      <c r="N51" s="298"/>
      <c r="O51" s="299"/>
      <c r="P51" s="299"/>
      <c r="Q51" s="299"/>
      <c r="R51" s="298"/>
      <c r="S51" s="302"/>
      <c r="T51" s="304"/>
      <c r="U51" s="298"/>
      <c r="V51" s="298"/>
      <c r="W51" s="298"/>
      <c r="X51" s="517"/>
      <c r="Y51" s="517"/>
      <c r="Z51" s="517"/>
      <c r="AA51" s="20"/>
      <c r="AB51" s="381"/>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702"/>
      <c r="BL51" s="702"/>
      <c r="BM51" s="629"/>
      <c r="BN51" s="377"/>
      <c r="BO51" s="376"/>
      <c r="BP51" s="377"/>
      <c r="BQ51" s="703"/>
      <c r="BR51" s="703"/>
      <c r="BS51" s="703"/>
      <c r="BT51" s="703"/>
      <c r="BU51" s="704"/>
    </row>
    <row r="52" spans="1:73" s="70" customFormat="1" ht="15.75" x14ac:dyDescent="0.25">
      <c r="A52" s="2755"/>
      <c r="B52" s="2756"/>
      <c r="C52" s="474">
        <v>32</v>
      </c>
      <c r="D52" s="2656" t="s">
        <v>587</v>
      </c>
      <c r="E52" s="2656"/>
      <c r="F52" s="2656"/>
      <c r="G52" s="2656"/>
      <c r="H52" s="2656"/>
      <c r="I52" s="2656"/>
      <c r="J52" s="2656"/>
      <c r="K52" s="2656"/>
      <c r="L52" s="313"/>
      <c r="M52" s="312"/>
      <c r="N52" s="313"/>
      <c r="O52" s="312"/>
      <c r="P52" s="312"/>
      <c r="Q52" s="312"/>
      <c r="R52" s="313"/>
      <c r="S52" s="315"/>
      <c r="T52" s="317"/>
      <c r="U52" s="313"/>
      <c r="V52" s="313"/>
      <c r="W52" s="313"/>
      <c r="X52" s="519"/>
      <c r="Y52" s="519"/>
      <c r="Z52" s="519"/>
      <c r="AA52" s="630"/>
      <c r="AB52" s="631"/>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632"/>
      <c r="BF52" s="632"/>
      <c r="BG52" s="632"/>
      <c r="BH52" s="632"/>
      <c r="BI52" s="632"/>
      <c r="BJ52" s="632"/>
      <c r="BK52" s="705"/>
      <c r="BL52" s="705"/>
      <c r="BM52" s="633"/>
      <c r="BN52" s="632"/>
      <c r="BO52" s="630"/>
      <c r="BP52" s="632"/>
      <c r="BQ52" s="634"/>
      <c r="BR52" s="634"/>
      <c r="BS52" s="634"/>
      <c r="BT52" s="634"/>
      <c r="BU52" s="635"/>
    </row>
    <row r="53" spans="1:73" ht="15.75" x14ac:dyDescent="0.25">
      <c r="A53" s="2757"/>
      <c r="B53" s="2758"/>
      <c r="C53" s="2813"/>
      <c r="D53" s="2814"/>
      <c r="E53" s="188">
        <v>3201</v>
      </c>
      <c r="F53" s="2657" t="s">
        <v>912</v>
      </c>
      <c r="G53" s="2657"/>
      <c r="H53" s="2657"/>
      <c r="I53" s="2657"/>
      <c r="J53" s="2657"/>
      <c r="K53" s="2657"/>
      <c r="L53" s="2657"/>
      <c r="M53" s="188"/>
      <c r="N53" s="323"/>
      <c r="O53" s="188"/>
      <c r="P53" s="188"/>
      <c r="Q53" s="188"/>
      <c r="R53" s="323"/>
      <c r="S53" s="188"/>
      <c r="T53" s="188"/>
      <c r="U53" s="323"/>
      <c r="V53" s="323"/>
      <c r="W53" s="323"/>
      <c r="X53" s="491"/>
      <c r="Y53" s="491"/>
      <c r="Z53" s="491"/>
      <c r="AA53" s="637"/>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706"/>
      <c r="BL53" s="706"/>
      <c r="BM53" s="707"/>
      <c r="BN53" s="569"/>
      <c r="BO53" s="637"/>
      <c r="BP53" s="569"/>
      <c r="BQ53" s="569"/>
      <c r="BR53" s="569"/>
      <c r="BS53" s="569"/>
      <c r="BT53" s="569"/>
      <c r="BU53" s="569"/>
    </row>
    <row r="54" spans="1:73" ht="69.75" customHeight="1" x14ac:dyDescent="0.25">
      <c r="A54" s="2757"/>
      <c r="B54" s="2758"/>
      <c r="C54" s="2405"/>
      <c r="D54" s="2263"/>
      <c r="E54" s="2755"/>
      <c r="F54" s="2756"/>
      <c r="G54" s="404">
        <v>3201013</v>
      </c>
      <c r="H54" s="205" t="s">
        <v>913</v>
      </c>
      <c r="I54" s="404">
        <v>3201013</v>
      </c>
      <c r="J54" s="205" t="s">
        <v>913</v>
      </c>
      <c r="K54" s="404">
        <v>320101300</v>
      </c>
      <c r="L54" s="205" t="s">
        <v>914</v>
      </c>
      <c r="M54" s="404">
        <v>320101300</v>
      </c>
      <c r="N54" s="205" t="s">
        <v>914</v>
      </c>
      <c r="O54" s="573">
        <v>1</v>
      </c>
      <c r="P54" s="472">
        <v>1</v>
      </c>
      <c r="Q54" s="3385" t="s">
        <v>915</v>
      </c>
      <c r="R54" s="2476" t="s">
        <v>916</v>
      </c>
      <c r="S54" s="708">
        <f>X54/T54</f>
        <v>0.3902439024390244</v>
      </c>
      <c r="T54" s="3679">
        <f>SUM(X54:X55)</f>
        <v>82000000</v>
      </c>
      <c r="U54" s="2701" t="s">
        <v>917</v>
      </c>
      <c r="V54" s="2425" t="s">
        <v>918</v>
      </c>
      <c r="W54" s="511" t="s">
        <v>919</v>
      </c>
      <c r="X54" s="82">
        <v>32000000</v>
      </c>
      <c r="Y54" s="82">
        <v>22467500</v>
      </c>
      <c r="Z54" s="82">
        <v>11955000</v>
      </c>
      <c r="AA54" s="644" t="s">
        <v>920</v>
      </c>
      <c r="AB54" s="3680">
        <v>20</v>
      </c>
      <c r="AC54" s="3440" t="s">
        <v>734</v>
      </c>
      <c r="AD54" s="3678">
        <v>39408</v>
      </c>
      <c r="AE54" s="3678"/>
      <c r="AF54" s="3678">
        <v>38892</v>
      </c>
      <c r="AG54" s="3678"/>
      <c r="AH54" s="3678">
        <v>15324</v>
      </c>
      <c r="AI54" s="3678"/>
      <c r="AJ54" s="3678">
        <v>7104</v>
      </c>
      <c r="AK54" s="3678"/>
      <c r="AL54" s="3678">
        <v>40867</v>
      </c>
      <c r="AM54" s="3678"/>
      <c r="AN54" s="3678">
        <v>15005</v>
      </c>
      <c r="AO54" s="3678"/>
      <c r="AP54" s="3678"/>
      <c r="AQ54" s="3678"/>
      <c r="AR54" s="3678"/>
      <c r="AS54" s="3678"/>
      <c r="AT54" s="3678"/>
      <c r="AU54" s="3678"/>
      <c r="AV54" s="3678"/>
      <c r="AW54" s="3678"/>
      <c r="AX54" s="3678"/>
      <c r="AY54" s="3678"/>
      <c r="AZ54" s="3678"/>
      <c r="BA54" s="3678"/>
      <c r="BB54" s="3678"/>
      <c r="BC54" s="3678"/>
      <c r="BD54" s="3678"/>
      <c r="BE54" s="3678"/>
      <c r="BF54" s="3678"/>
      <c r="BG54" s="3678"/>
      <c r="BH54" s="3678">
        <f>SUM(AD54:AF55)</f>
        <v>78300</v>
      </c>
      <c r="BI54" s="3678"/>
      <c r="BJ54" s="3678">
        <v>3</v>
      </c>
      <c r="BK54" s="3692">
        <f>SUM(Y54:Y55)</f>
        <v>22467500</v>
      </c>
      <c r="BL54" s="3692">
        <f>SUM(Z54:Z55)</f>
        <v>11955000</v>
      </c>
      <c r="BM54" s="3693">
        <f>+BL54/BK54</f>
        <v>0.53210192500278175</v>
      </c>
      <c r="BN54" s="3678">
        <v>20</v>
      </c>
      <c r="BO54" s="3689" t="s">
        <v>734</v>
      </c>
      <c r="BP54" s="3678" t="s">
        <v>921</v>
      </c>
      <c r="BQ54" s="3690">
        <v>44211</v>
      </c>
      <c r="BR54" s="3681">
        <v>44250</v>
      </c>
      <c r="BS54" s="3681">
        <v>44561</v>
      </c>
      <c r="BT54" s="3681">
        <v>44384</v>
      </c>
      <c r="BU54" s="3440" t="s">
        <v>738</v>
      </c>
    </row>
    <row r="55" spans="1:73" ht="69.75" customHeight="1" x14ac:dyDescent="0.25">
      <c r="A55" s="2757"/>
      <c r="B55" s="2758"/>
      <c r="C55" s="2405"/>
      <c r="D55" s="2263"/>
      <c r="E55" s="2759"/>
      <c r="F55" s="2760"/>
      <c r="G55" s="404">
        <v>3201008</v>
      </c>
      <c r="H55" s="205" t="s">
        <v>922</v>
      </c>
      <c r="I55" s="404">
        <v>3201008</v>
      </c>
      <c r="J55" s="205" t="s">
        <v>922</v>
      </c>
      <c r="K55" s="404">
        <v>320100805</v>
      </c>
      <c r="L55" s="205" t="s">
        <v>923</v>
      </c>
      <c r="M55" s="404">
        <v>320100805</v>
      </c>
      <c r="N55" s="205" t="s">
        <v>923</v>
      </c>
      <c r="O55" s="573">
        <v>2</v>
      </c>
      <c r="P55" s="472">
        <v>1</v>
      </c>
      <c r="Q55" s="3385"/>
      <c r="R55" s="2476"/>
      <c r="S55" s="708">
        <f>X55/T54</f>
        <v>0.6097560975609756</v>
      </c>
      <c r="T55" s="3679"/>
      <c r="U55" s="2703"/>
      <c r="V55" s="2427"/>
      <c r="W55" s="511" t="s">
        <v>924</v>
      </c>
      <c r="X55" s="82">
        <v>50000000</v>
      </c>
      <c r="Y55" s="82">
        <v>0</v>
      </c>
      <c r="Z55" s="82">
        <v>0</v>
      </c>
      <c r="AA55" s="644" t="s">
        <v>925</v>
      </c>
      <c r="AB55" s="3680"/>
      <c r="AC55" s="3440"/>
      <c r="AD55" s="3678"/>
      <c r="AE55" s="3678"/>
      <c r="AF55" s="3678"/>
      <c r="AG55" s="3678"/>
      <c r="AH55" s="3678"/>
      <c r="AI55" s="3678"/>
      <c r="AJ55" s="3678"/>
      <c r="AK55" s="3678"/>
      <c r="AL55" s="3678"/>
      <c r="AM55" s="3678"/>
      <c r="AN55" s="3678"/>
      <c r="AO55" s="3678"/>
      <c r="AP55" s="3678"/>
      <c r="AQ55" s="3678"/>
      <c r="AR55" s="3678"/>
      <c r="AS55" s="3678"/>
      <c r="AT55" s="3678"/>
      <c r="AU55" s="3678"/>
      <c r="AV55" s="3678"/>
      <c r="AW55" s="3678"/>
      <c r="AX55" s="3678"/>
      <c r="AY55" s="3678"/>
      <c r="AZ55" s="3678"/>
      <c r="BA55" s="3678"/>
      <c r="BB55" s="3678"/>
      <c r="BC55" s="3678"/>
      <c r="BD55" s="3678"/>
      <c r="BE55" s="3678"/>
      <c r="BF55" s="3678"/>
      <c r="BG55" s="3678"/>
      <c r="BH55" s="3678"/>
      <c r="BI55" s="3678"/>
      <c r="BJ55" s="3678"/>
      <c r="BK55" s="3692"/>
      <c r="BL55" s="3692"/>
      <c r="BM55" s="3693"/>
      <c r="BN55" s="3678"/>
      <c r="BO55" s="3689"/>
      <c r="BP55" s="3678"/>
      <c r="BQ55" s="3691"/>
      <c r="BR55" s="3682"/>
      <c r="BS55" s="3682"/>
      <c r="BT55" s="3682"/>
      <c r="BU55" s="3440"/>
    </row>
    <row r="56" spans="1:73" ht="15.75" x14ac:dyDescent="0.25">
      <c r="A56" s="2757"/>
      <c r="B56" s="2758"/>
      <c r="C56" s="2405"/>
      <c r="D56" s="2263"/>
      <c r="E56" s="636">
        <v>3202</v>
      </c>
      <c r="F56" s="2657" t="s">
        <v>926</v>
      </c>
      <c r="G56" s="2657"/>
      <c r="H56" s="2657"/>
      <c r="I56" s="2657"/>
      <c r="J56" s="2657"/>
      <c r="K56" s="2657"/>
      <c r="L56" s="2657"/>
      <c r="M56" s="188"/>
      <c r="N56" s="323"/>
      <c r="O56" s="188"/>
      <c r="P56" s="188"/>
      <c r="Q56" s="188"/>
      <c r="R56" s="323"/>
      <c r="S56" s="188"/>
      <c r="T56" s="188"/>
      <c r="U56" s="323"/>
      <c r="V56" s="323"/>
      <c r="W56" s="323"/>
      <c r="X56" s="491"/>
      <c r="Y56" s="491"/>
      <c r="Z56" s="491"/>
      <c r="AA56" s="637"/>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681"/>
      <c r="BL56" s="681"/>
      <c r="BM56" s="640"/>
      <c r="BN56" s="639"/>
      <c r="BO56" s="641"/>
      <c r="BP56" s="639"/>
      <c r="BQ56" s="639"/>
      <c r="BR56" s="639"/>
      <c r="BS56" s="639"/>
      <c r="BT56" s="639"/>
      <c r="BU56" s="639"/>
    </row>
    <row r="57" spans="1:73" ht="39" customHeight="1" x14ac:dyDescent="0.25">
      <c r="A57" s="2757"/>
      <c r="B57" s="2758"/>
      <c r="C57" s="2405"/>
      <c r="D57" s="2263"/>
      <c r="E57" s="3683"/>
      <c r="F57" s="3684"/>
      <c r="G57" s="2682" t="s">
        <v>927</v>
      </c>
      <c r="H57" s="2809" t="s">
        <v>928</v>
      </c>
      <c r="I57" s="2682" t="s">
        <v>927</v>
      </c>
      <c r="J57" s="2809" t="s">
        <v>928</v>
      </c>
      <c r="K57" s="2812" t="s">
        <v>929</v>
      </c>
      <c r="L57" s="3312" t="s">
        <v>930</v>
      </c>
      <c r="M57" s="2812" t="s">
        <v>929</v>
      </c>
      <c r="N57" s="3312" t="s">
        <v>930</v>
      </c>
      <c r="O57" s="2946">
        <v>600</v>
      </c>
      <c r="P57" s="3025">
        <v>0</v>
      </c>
      <c r="Q57" s="3408" t="s">
        <v>931</v>
      </c>
      <c r="R57" s="2809" t="s">
        <v>932</v>
      </c>
      <c r="S57" s="3602">
        <f>SUM(X57:X59)/T57</f>
        <v>0.19203384449166835</v>
      </c>
      <c r="T57" s="2256">
        <f>SUM(X57:X64)</f>
        <v>1145631389</v>
      </c>
      <c r="U57" s="2428" t="s">
        <v>933</v>
      </c>
      <c r="V57" s="2425" t="s">
        <v>934</v>
      </c>
      <c r="W57" s="2425" t="s">
        <v>935</v>
      </c>
      <c r="X57" s="82">
        <v>189900000</v>
      </c>
      <c r="Y57" s="82">
        <v>0</v>
      </c>
      <c r="Z57" s="82">
        <v>0</v>
      </c>
      <c r="AA57" s="644" t="s">
        <v>936</v>
      </c>
      <c r="AB57" s="709">
        <v>20</v>
      </c>
      <c r="AC57" s="103" t="s">
        <v>734</v>
      </c>
      <c r="AD57" s="2258">
        <v>291786</v>
      </c>
      <c r="AE57" s="2258"/>
      <c r="AF57" s="2258">
        <v>270331</v>
      </c>
      <c r="AG57" s="2258"/>
      <c r="AH57" s="2258">
        <v>102045</v>
      </c>
      <c r="AI57" s="2258"/>
      <c r="AJ57" s="2258">
        <v>39183</v>
      </c>
      <c r="AK57" s="2258"/>
      <c r="AL57" s="2258">
        <v>310195</v>
      </c>
      <c r="AM57" s="2258"/>
      <c r="AN57" s="2258">
        <v>110694</v>
      </c>
      <c r="AO57" s="2258"/>
      <c r="AP57" s="2258"/>
      <c r="AQ57" s="2258"/>
      <c r="AR57" s="2258"/>
      <c r="AS57" s="2258"/>
      <c r="AT57" s="2258"/>
      <c r="AU57" s="2258"/>
      <c r="AV57" s="2258"/>
      <c r="AW57" s="2258"/>
      <c r="AX57" s="2258"/>
      <c r="AY57" s="2258"/>
      <c r="AZ57" s="2258"/>
      <c r="BA57" s="2258"/>
      <c r="BB57" s="2258"/>
      <c r="BC57" s="2258"/>
      <c r="BD57" s="2258"/>
      <c r="BE57" s="2258"/>
      <c r="BF57" s="2258"/>
      <c r="BG57" s="2258"/>
      <c r="BH57" s="2258">
        <v>562117</v>
      </c>
      <c r="BI57" s="2258"/>
      <c r="BJ57" s="2258">
        <v>22</v>
      </c>
      <c r="BK57" s="2652">
        <f>SUM(Y57:Y64)</f>
        <v>301366665</v>
      </c>
      <c r="BL57" s="2652">
        <f>SUM(Z57:Z64)</f>
        <v>106325832</v>
      </c>
      <c r="BM57" s="2255">
        <f>+BL57/BK57</f>
        <v>0.35281218644404483</v>
      </c>
      <c r="BN57" s="2258" t="s">
        <v>438</v>
      </c>
      <c r="BO57" s="3697" t="s">
        <v>761</v>
      </c>
      <c r="BP57" s="2258" t="s">
        <v>921</v>
      </c>
      <c r="BQ57" s="3698">
        <v>44211</v>
      </c>
      <c r="BR57" s="3701">
        <v>44242</v>
      </c>
      <c r="BS57" s="3701">
        <v>44561</v>
      </c>
      <c r="BT57" s="2416">
        <v>44544</v>
      </c>
      <c r="BU57" s="2654" t="s">
        <v>738</v>
      </c>
    </row>
    <row r="58" spans="1:73" ht="39" customHeight="1" x14ac:dyDescent="0.25">
      <c r="A58" s="2757"/>
      <c r="B58" s="2758"/>
      <c r="C58" s="2405"/>
      <c r="D58" s="2263"/>
      <c r="E58" s="3685"/>
      <c r="F58" s="3686"/>
      <c r="G58" s="2682"/>
      <c r="H58" s="2809"/>
      <c r="I58" s="2682"/>
      <c r="J58" s="2809"/>
      <c r="K58" s="2812"/>
      <c r="L58" s="3312"/>
      <c r="M58" s="2812"/>
      <c r="N58" s="3312"/>
      <c r="O58" s="2946"/>
      <c r="P58" s="2943"/>
      <c r="Q58" s="3409"/>
      <c r="R58" s="2809"/>
      <c r="S58" s="3602"/>
      <c r="T58" s="2256"/>
      <c r="U58" s="2429"/>
      <c r="V58" s="2426"/>
      <c r="W58" s="2426"/>
      <c r="X58" s="82">
        <v>10100000</v>
      </c>
      <c r="Y58" s="82"/>
      <c r="Z58" s="82"/>
      <c r="AA58" s="644" t="s">
        <v>937</v>
      </c>
      <c r="AB58" s="709"/>
      <c r="AC58" s="103" t="s">
        <v>734</v>
      </c>
      <c r="AD58" s="2258"/>
      <c r="AE58" s="2258"/>
      <c r="AF58" s="2258"/>
      <c r="AG58" s="2258"/>
      <c r="AH58" s="2258"/>
      <c r="AI58" s="2258"/>
      <c r="AJ58" s="2258"/>
      <c r="AK58" s="2258"/>
      <c r="AL58" s="2258"/>
      <c r="AM58" s="2258"/>
      <c r="AN58" s="2258"/>
      <c r="AO58" s="2258"/>
      <c r="AP58" s="2258"/>
      <c r="AQ58" s="2258"/>
      <c r="AR58" s="2258"/>
      <c r="AS58" s="2258"/>
      <c r="AT58" s="2258"/>
      <c r="AU58" s="2258"/>
      <c r="AV58" s="2258"/>
      <c r="AW58" s="2258"/>
      <c r="AX58" s="2258"/>
      <c r="AY58" s="2258"/>
      <c r="AZ58" s="2258"/>
      <c r="BA58" s="2258"/>
      <c r="BB58" s="2258"/>
      <c r="BC58" s="2258"/>
      <c r="BD58" s="2258"/>
      <c r="BE58" s="2258"/>
      <c r="BF58" s="2258"/>
      <c r="BG58" s="2258"/>
      <c r="BH58" s="2258"/>
      <c r="BI58" s="2258"/>
      <c r="BJ58" s="2258"/>
      <c r="BK58" s="2652"/>
      <c r="BL58" s="2652"/>
      <c r="BM58" s="2255"/>
      <c r="BN58" s="2258"/>
      <c r="BO58" s="3697"/>
      <c r="BP58" s="2258"/>
      <c r="BQ58" s="3699"/>
      <c r="BR58" s="3702"/>
      <c r="BS58" s="3702"/>
      <c r="BT58" s="2416"/>
      <c r="BU58" s="2654"/>
    </row>
    <row r="59" spans="1:73" ht="39" customHeight="1" x14ac:dyDescent="0.25">
      <c r="A59" s="2757"/>
      <c r="B59" s="2758"/>
      <c r="C59" s="2405"/>
      <c r="D59" s="2263"/>
      <c r="E59" s="3685"/>
      <c r="F59" s="3686"/>
      <c r="G59" s="2682"/>
      <c r="H59" s="2809"/>
      <c r="I59" s="2682"/>
      <c r="J59" s="2809"/>
      <c r="K59" s="2812"/>
      <c r="L59" s="3312"/>
      <c r="M59" s="2812"/>
      <c r="N59" s="3312"/>
      <c r="O59" s="2946"/>
      <c r="P59" s="3026"/>
      <c r="Q59" s="3409"/>
      <c r="R59" s="2809"/>
      <c r="S59" s="3602"/>
      <c r="T59" s="2256"/>
      <c r="U59" s="2429"/>
      <c r="V59" s="2426"/>
      <c r="W59" s="2427"/>
      <c r="X59" s="82">
        <v>20000000</v>
      </c>
      <c r="Y59" s="82">
        <v>20000000</v>
      </c>
      <c r="Z59" s="82">
        <v>0</v>
      </c>
      <c r="AA59" s="644" t="s">
        <v>938</v>
      </c>
      <c r="AB59" s="709">
        <v>20</v>
      </c>
      <c r="AC59" s="103" t="s">
        <v>734</v>
      </c>
      <c r="AD59" s="2258"/>
      <c r="AE59" s="2258"/>
      <c r="AF59" s="2258"/>
      <c r="AG59" s="2258"/>
      <c r="AH59" s="2258"/>
      <c r="AI59" s="2258"/>
      <c r="AJ59" s="2258"/>
      <c r="AK59" s="2258"/>
      <c r="AL59" s="2258"/>
      <c r="AM59" s="2258"/>
      <c r="AN59" s="2258"/>
      <c r="AO59" s="2258"/>
      <c r="AP59" s="2258"/>
      <c r="AQ59" s="2258"/>
      <c r="AR59" s="2258"/>
      <c r="AS59" s="2258"/>
      <c r="AT59" s="2258"/>
      <c r="AU59" s="2258"/>
      <c r="AV59" s="2258"/>
      <c r="AW59" s="2258"/>
      <c r="AX59" s="2258"/>
      <c r="AY59" s="2258"/>
      <c r="AZ59" s="2258"/>
      <c r="BA59" s="2258"/>
      <c r="BB59" s="2258"/>
      <c r="BC59" s="2258"/>
      <c r="BD59" s="2258"/>
      <c r="BE59" s="2258"/>
      <c r="BF59" s="2258"/>
      <c r="BG59" s="2258"/>
      <c r="BH59" s="2258"/>
      <c r="BI59" s="2258"/>
      <c r="BJ59" s="2258"/>
      <c r="BK59" s="2652"/>
      <c r="BL59" s="2652"/>
      <c r="BM59" s="2255"/>
      <c r="BN59" s="2258"/>
      <c r="BO59" s="3697"/>
      <c r="BP59" s="2258"/>
      <c r="BQ59" s="3699"/>
      <c r="BR59" s="3702"/>
      <c r="BS59" s="3702"/>
      <c r="BT59" s="2416"/>
      <c r="BU59" s="2654"/>
    </row>
    <row r="60" spans="1:73" ht="39" customHeight="1" x14ac:dyDescent="0.25">
      <c r="A60" s="2757"/>
      <c r="B60" s="2758"/>
      <c r="C60" s="2405"/>
      <c r="D60" s="2263"/>
      <c r="E60" s="3685"/>
      <c r="F60" s="3686"/>
      <c r="G60" s="571">
        <v>3202037</v>
      </c>
      <c r="H60" s="494" t="s">
        <v>939</v>
      </c>
      <c r="I60" s="571">
        <v>3202037</v>
      </c>
      <c r="J60" s="494" t="s">
        <v>939</v>
      </c>
      <c r="K60" s="495">
        <v>320203704</v>
      </c>
      <c r="L60" s="646" t="s">
        <v>940</v>
      </c>
      <c r="M60" s="495" t="s">
        <v>941</v>
      </c>
      <c r="N60" s="646" t="s">
        <v>940</v>
      </c>
      <c r="O60" s="647">
        <v>40</v>
      </c>
      <c r="P60" s="197">
        <v>0</v>
      </c>
      <c r="Q60" s="3409"/>
      <c r="R60" s="2809"/>
      <c r="S60" s="648">
        <f>X60/T57</f>
        <v>8.3140342447443186E-2</v>
      </c>
      <c r="T60" s="2256"/>
      <c r="U60" s="2429"/>
      <c r="V60" s="2426"/>
      <c r="W60" s="511" t="s">
        <v>942</v>
      </c>
      <c r="X60" s="523">
        <f>82575952+12672234</f>
        <v>95248186</v>
      </c>
      <c r="Y60" s="523">
        <v>0</v>
      </c>
      <c r="Z60" s="523">
        <v>0</v>
      </c>
      <c r="AA60" s="644" t="s">
        <v>943</v>
      </c>
      <c r="AB60" s="709">
        <v>20</v>
      </c>
      <c r="AC60" s="103" t="s">
        <v>734</v>
      </c>
      <c r="AD60" s="2258"/>
      <c r="AE60" s="2258"/>
      <c r="AF60" s="2258"/>
      <c r="AG60" s="2258"/>
      <c r="AH60" s="2258"/>
      <c r="AI60" s="2258"/>
      <c r="AJ60" s="2258"/>
      <c r="AK60" s="2258"/>
      <c r="AL60" s="2258"/>
      <c r="AM60" s="2258"/>
      <c r="AN60" s="2258"/>
      <c r="AO60" s="2258"/>
      <c r="AP60" s="2258"/>
      <c r="AQ60" s="2258"/>
      <c r="AR60" s="2258"/>
      <c r="AS60" s="2258"/>
      <c r="AT60" s="2258"/>
      <c r="AU60" s="2258"/>
      <c r="AV60" s="2258"/>
      <c r="AW60" s="2258"/>
      <c r="AX60" s="2258"/>
      <c r="AY60" s="2258"/>
      <c r="AZ60" s="2258"/>
      <c r="BA60" s="2258"/>
      <c r="BB60" s="2258"/>
      <c r="BC60" s="2258"/>
      <c r="BD60" s="2258"/>
      <c r="BE60" s="2258"/>
      <c r="BF60" s="2258"/>
      <c r="BG60" s="2258"/>
      <c r="BH60" s="2258"/>
      <c r="BI60" s="2258"/>
      <c r="BJ60" s="2258"/>
      <c r="BK60" s="2652"/>
      <c r="BL60" s="2652"/>
      <c r="BM60" s="2255"/>
      <c r="BN60" s="2258"/>
      <c r="BO60" s="3697"/>
      <c r="BP60" s="2258"/>
      <c r="BQ60" s="3699"/>
      <c r="BR60" s="3702"/>
      <c r="BS60" s="3702"/>
      <c r="BT60" s="2416"/>
      <c r="BU60" s="2654"/>
    </row>
    <row r="61" spans="1:73" ht="39" customHeight="1" x14ac:dyDescent="0.25">
      <c r="A61" s="2757"/>
      <c r="B61" s="2758"/>
      <c r="C61" s="2405"/>
      <c r="D61" s="2263"/>
      <c r="E61" s="3685"/>
      <c r="F61" s="3686"/>
      <c r="G61" s="3695">
        <v>3202037</v>
      </c>
      <c r="H61" s="2809" t="s">
        <v>944</v>
      </c>
      <c r="I61" s="3695">
        <v>3202037</v>
      </c>
      <c r="J61" s="2809" t="s">
        <v>939</v>
      </c>
      <c r="K61" s="3695">
        <v>320203700</v>
      </c>
      <c r="L61" s="2946" t="s">
        <v>945</v>
      </c>
      <c r="M61" s="3696">
        <v>320203700</v>
      </c>
      <c r="N61" s="3312" t="s">
        <v>946</v>
      </c>
      <c r="O61" s="2946">
        <v>60</v>
      </c>
      <c r="P61" s="2468">
        <v>8.1999999999999993</v>
      </c>
      <c r="Q61" s="3409"/>
      <c r="R61" s="2809"/>
      <c r="S61" s="3607">
        <f>SUM(X61:X63)/T57</f>
        <v>0.62008007970179668</v>
      </c>
      <c r="T61" s="2256"/>
      <c r="U61" s="2429"/>
      <c r="V61" s="2426"/>
      <c r="W61" s="2425" t="s">
        <v>947</v>
      </c>
      <c r="X61" s="523">
        <v>290383203</v>
      </c>
      <c r="Y61" s="523">
        <v>9900000</v>
      </c>
      <c r="Z61" s="523">
        <v>0</v>
      </c>
      <c r="AA61" s="341" t="s">
        <v>948</v>
      </c>
      <c r="AB61" s="202">
        <v>88</v>
      </c>
      <c r="AC61" s="710" t="s">
        <v>391</v>
      </c>
      <c r="AD61" s="2258"/>
      <c r="AE61" s="2258"/>
      <c r="AF61" s="2258"/>
      <c r="AG61" s="2258"/>
      <c r="AH61" s="2258"/>
      <c r="AI61" s="2258"/>
      <c r="AJ61" s="2258"/>
      <c r="AK61" s="2258"/>
      <c r="AL61" s="2258"/>
      <c r="AM61" s="2258"/>
      <c r="AN61" s="2258"/>
      <c r="AO61" s="2258"/>
      <c r="AP61" s="2258"/>
      <c r="AQ61" s="2258"/>
      <c r="AR61" s="2258"/>
      <c r="AS61" s="2258"/>
      <c r="AT61" s="2258"/>
      <c r="AU61" s="2258"/>
      <c r="AV61" s="2258"/>
      <c r="AW61" s="2258"/>
      <c r="AX61" s="2258"/>
      <c r="AY61" s="2258"/>
      <c r="AZ61" s="2258"/>
      <c r="BA61" s="2258"/>
      <c r="BB61" s="2258"/>
      <c r="BC61" s="2258"/>
      <c r="BD61" s="2258"/>
      <c r="BE61" s="2258"/>
      <c r="BF61" s="2258"/>
      <c r="BG61" s="2258"/>
      <c r="BH61" s="2258"/>
      <c r="BI61" s="2258"/>
      <c r="BJ61" s="2258"/>
      <c r="BK61" s="2652"/>
      <c r="BL61" s="2652"/>
      <c r="BM61" s="2255"/>
      <c r="BN61" s="2258"/>
      <c r="BO61" s="3697"/>
      <c r="BP61" s="2258"/>
      <c r="BQ61" s="3699"/>
      <c r="BR61" s="3702"/>
      <c r="BS61" s="3702"/>
      <c r="BT61" s="2416"/>
      <c r="BU61" s="2654"/>
    </row>
    <row r="62" spans="1:73" ht="39" customHeight="1" x14ac:dyDescent="0.25">
      <c r="A62" s="2757"/>
      <c r="B62" s="2758"/>
      <c r="C62" s="2405"/>
      <c r="D62" s="2263"/>
      <c r="E62" s="3685"/>
      <c r="F62" s="3686"/>
      <c r="G62" s="3695"/>
      <c r="H62" s="2809"/>
      <c r="I62" s="3695"/>
      <c r="J62" s="2809"/>
      <c r="K62" s="3695"/>
      <c r="L62" s="2946"/>
      <c r="M62" s="3696"/>
      <c r="N62" s="3312"/>
      <c r="O62" s="2946"/>
      <c r="P62" s="2468"/>
      <c r="Q62" s="3409"/>
      <c r="R62" s="2809"/>
      <c r="S62" s="3632"/>
      <c r="T62" s="2256"/>
      <c r="U62" s="2429"/>
      <c r="V62" s="2426"/>
      <c r="W62" s="2426"/>
      <c r="X62" s="523">
        <f>400000000+20000000-20000000</f>
        <v>400000000</v>
      </c>
      <c r="Y62" s="523">
        <v>243260000</v>
      </c>
      <c r="Z62" s="523">
        <v>97670832</v>
      </c>
      <c r="AA62" s="644" t="s">
        <v>949</v>
      </c>
      <c r="AB62" s="709">
        <v>20</v>
      </c>
      <c r="AC62" s="103" t="s">
        <v>734</v>
      </c>
      <c r="AD62" s="2258"/>
      <c r="AE62" s="2258"/>
      <c r="AF62" s="2258"/>
      <c r="AG62" s="2258"/>
      <c r="AH62" s="2258"/>
      <c r="AI62" s="2258"/>
      <c r="AJ62" s="2258"/>
      <c r="AK62" s="2258"/>
      <c r="AL62" s="2258"/>
      <c r="AM62" s="2258"/>
      <c r="AN62" s="2258"/>
      <c r="AO62" s="2258"/>
      <c r="AP62" s="2258"/>
      <c r="AQ62" s="2258"/>
      <c r="AR62" s="2258"/>
      <c r="AS62" s="2258"/>
      <c r="AT62" s="2258"/>
      <c r="AU62" s="2258"/>
      <c r="AV62" s="2258"/>
      <c r="AW62" s="2258"/>
      <c r="AX62" s="2258"/>
      <c r="AY62" s="2258"/>
      <c r="AZ62" s="2258"/>
      <c r="BA62" s="2258"/>
      <c r="BB62" s="2258"/>
      <c r="BC62" s="2258"/>
      <c r="BD62" s="2258"/>
      <c r="BE62" s="2258"/>
      <c r="BF62" s="2258"/>
      <c r="BG62" s="2258"/>
      <c r="BH62" s="2258"/>
      <c r="BI62" s="2258"/>
      <c r="BJ62" s="2258"/>
      <c r="BK62" s="2652"/>
      <c r="BL62" s="2652"/>
      <c r="BM62" s="2255"/>
      <c r="BN62" s="2258"/>
      <c r="BO62" s="3697"/>
      <c r="BP62" s="2258"/>
      <c r="BQ62" s="3699"/>
      <c r="BR62" s="3702">
        <v>44242</v>
      </c>
      <c r="BS62" s="3702" t="s">
        <v>950</v>
      </c>
      <c r="BT62" s="2416">
        <v>44369</v>
      </c>
      <c r="BU62" s="2654"/>
    </row>
    <row r="63" spans="1:73" ht="39" customHeight="1" x14ac:dyDescent="0.25">
      <c r="A63" s="2757"/>
      <c r="B63" s="2758"/>
      <c r="C63" s="2405"/>
      <c r="D63" s="2263"/>
      <c r="E63" s="3685"/>
      <c r="F63" s="3686"/>
      <c r="G63" s="3695"/>
      <c r="H63" s="2809"/>
      <c r="I63" s="3695"/>
      <c r="J63" s="2809"/>
      <c r="K63" s="3695"/>
      <c r="L63" s="2946"/>
      <c r="M63" s="3696"/>
      <c r="N63" s="3312"/>
      <c r="O63" s="2946"/>
      <c r="P63" s="2468"/>
      <c r="Q63" s="3409"/>
      <c r="R63" s="2809"/>
      <c r="S63" s="3608"/>
      <c r="T63" s="2256"/>
      <c r="U63" s="2429"/>
      <c r="V63" s="2426"/>
      <c r="W63" s="2427"/>
      <c r="X63" s="523">
        <v>20000000</v>
      </c>
      <c r="Y63" s="523">
        <v>16666665</v>
      </c>
      <c r="Z63" s="523">
        <v>0</v>
      </c>
      <c r="AA63" s="644" t="s">
        <v>951</v>
      </c>
      <c r="AB63" s="709">
        <v>20</v>
      </c>
      <c r="AC63" s="103" t="s">
        <v>734</v>
      </c>
      <c r="AD63" s="2258"/>
      <c r="AE63" s="2258"/>
      <c r="AF63" s="2258"/>
      <c r="AG63" s="2258"/>
      <c r="AH63" s="2258"/>
      <c r="AI63" s="2258"/>
      <c r="AJ63" s="2258"/>
      <c r="AK63" s="2258"/>
      <c r="AL63" s="2258"/>
      <c r="AM63" s="2258"/>
      <c r="AN63" s="2258"/>
      <c r="AO63" s="2258"/>
      <c r="AP63" s="2258"/>
      <c r="AQ63" s="2258"/>
      <c r="AR63" s="2258"/>
      <c r="AS63" s="2258"/>
      <c r="AT63" s="2258"/>
      <c r="AU63" s="2258"/>
      <c r="AV63" s="2258"/>
      <c r="AW63" s="2258"/>
      <c r="AX63" s="2258"/>
      <c r="AY63" s="2258"/>
      <c r="AZ63" s="2258"/>
      <c r="BA63" s="2258"/>
      <c r="BB63" s="2258"/>
      <c r="BC63" s="2258"/>
      <c r="BD63" s="2258"/>
      <c r="BE63" s="2258"/>
      <c r="BF63" s="2258"/>
      <c r="BG63" s="2258"/>
      <c r="BH63" s="2258"/>
      <c r="BI63" s="2258"/>
      <c r="BJ63" s="2258"/>
      <c r="BK63" s="2652"/>
      <c r="BL63" s="2652"/>
      <c r="BM63" s="2255"/>
      <c r="BN63" s="2258"/>
      <c r="BO63" s="3697"/>
      <c r="BP63" s="2258"/>
      <c r="BQ63" s="3699"/>
      <c r="BR63" s="3702"/>
      <c r="BS63" s="3702"/>
      <c r="BT63" s="2416"/>
      <c r="BU63" s="2654"/>
    </row>
    <row r="64" spans="1:73" ht="39" customHeight="1" x14ac:dyDescent="0.25">
      <c r="A64" s="2757"/>
      <c r="B64" s="2758"/>
      <c r="C64" s="2405"/>
      <c r="D64" s="2263"/>
      <c r="E64" s="3685"/>
      <c r="F64" s="3686"/>
      <c r="G64" s="244">
        <v>3202043</v>
      </c>
      <c r="H64" s="494" t="s">
        <v>952</v>
      </c>
      <c r="I64" s="571">
        <v>3202043</v>
      </c>
      <c r="J64" s="494" t="s">
        <v>952</v>
      </c>
      <c r="K64" s="244">
        <v>3202043</v>
      </c>
      <c r="L64" s="646" t="s">
        <v>953</v>
      </c>
      <c r="M64" s="495">
        <v>320204300</v>
      </c>
      <c r="N64" s="646" t="s">
        <v>953</v>
      </c>
      <c r="O64" s="711">
        <v>1</v>
      </c>
      <c r="P64" s="712">
        <v>0</v>
      </c>
      <c r="Q64" s="3601"/>
      <c r="R64" s="2809"/>
      <c r="S64" s="648">
        <f>X64/T57</f>
        <v>0.10474573335909182</v>
      </c>
      <c r="T64" s="2256"/>
      <c r="U64" s="2430"/>
      <c r="V64" s="2427"/>
      <c r="W64" s="511" t="s">
        <v>954</v>
      </c>
      <c r="X64" s="523">
        <f>100000000+20000000</f>
        <v>120000000</v>
      </c>
      <c r="Y64" s="523">
        <v>11540000</v>
      </c>
      <c r="Z64" s="523">
        <v>8655000</v>
      </c>
      <c r="AA64" s="644" t="s">
        <v>955</v>
      </c>
      <c r="AB64" s="713">
        <v>20</v>
      </c>
      <c r="AC64" s="103" t="s">
        <v>734</v>
      </c>
      <c r="AD64" s="2258"/>
      <c r="AE64" s="2258"/>
      <c r="AF64" s="2258"/>
      <c r="AG64" s="2258"/>
      <c r="AH64" s="2258"/>
      <c r="AI64" s="2258"/>
      <c r="AJ64" s="2258"/>
      <c r="AK64" s="2258"/>
      <c r="AL64" s="2258"/>
      <c r="AM64" s="2258"/>
      <c r="AN64" s="2258"/>
      <c r="AO64" s="2258"/>
      <c r="AP64" s="2258"/>
      <c r="AQ64" s="2258"/>
      <c r="AR64" s="2258"/>
      <c r="AS64" s="2258"/>
      <c r="AT64" s="2258"/>
      <c r="AU64" s="2258"/>
      <c r="AV64" s="2258"/>
      <c r="AW64" s="2258"/>
      <c r="AX64" s="2258"/>
      <c r="AY64" s="2258"/>
      <c r="AZ64" s="2258"/>
      <c r="BA64" s="2258"/>
      <c r="BB64" s="2258"/>
      <c r="BC64" s="2258"/>
      <c r="BD64" s="2258"/>
      <c r="BE64" s="2258"/>
      <c r="BF64" s="2258"/>
      <c r="BG64" s="2258"/>
      <c r="BH64" s="2258"/>
      <c r="BI64" s="2258"/>
      <c r="BJ64" s="2258"/>
      <c r="BK64" s="2652"/>
      <c r="BL64" s="2652"/>
      <c r="BM64" s="2255"/>
      <c r="BN64" s="2258"/>
      <c r="BO64" s="3697"/>
      <c r="BP64" s="2258"/>
      <c r="BQ64" s="3700"/>
      <c r="BR64" s="3703"/>
      <c r="BS64" s="3703"/>
      <c r="BT64" s="2416"/>
      <c r="BU64" s="2654"/>
    </row>
    <row r="65" spans="1:73" ht="88.5" customHeight="1" x14ac:dyDescent="0.25">
      <c r="A65" s="2757"/>
      <c r="B65" s="2758"/>
      <c r="C65" s="2405"/>
      <c r="D65" s="2263"/>
      <c r="E65" s="3685"/>
      <c r="F65" s="3686"/>
      <c r="G65" s="2798">
        <v>32020141</v>
      </c>
      <c r="H65" s="2809" t="s">
        <v>956</v>
      </c>
      <c r="I65" s="2798">
        <v>3202014</v>
      </c>
      <c r="J65" s="2397" t="s">
        <v>957</v>
      </c>
      <c r="K65" s="3694" t="s">
        <v>74</v>
      </c>
      <c r="L65" s="3312" t="s">
        <v>958</v>
      </c>
      <c r="M65" s="3694">
        <v>320201402</v>
      </c>
      <c r="N65" s="2469" t="s">
        <v>959</v>
      </c>
      <c r="O65" s="3707">
        <v>1</v>
      </c>
      <c r="P65" s="2955">
        <v>1</v>
      </c>
      <c r="Q65" s="3663" t="s">
        <v>960</v>
      </c>
      <c r="R65" s="2397" t="s">
        <v>961</v>
      </c>
      <c r="S65" s="3704">
        <f>SUM(X65:X66)/T65</f>
        <v>1</v>
      </c>
      <c r="T65" s="3705">
        <f>SUM(X65:X66)</f>
        <v>36000000</v>
      </c>
      <c r="U65" s="2701" t="s">
        <v>962</v>
      </c>
      <c r="V65" s="2701" t="s">
        <v>963</v>
      </c>
      <c r="W65" s="2701" t="s">
        <v>964</v>
      </c>
      <c r="X65" s="523">
        <f>36000000-4400000</f>
        <v>31600000</v>
      </c>
      <c r="Y65" s="523">
        <v>22100000</v>
      </c>
      <c r="Z65" s="523">
        <v>10550000</v>
      </c>
      <c r="AA65" s="644" t="s">
        <v>965</v>
      </c>
      <c r="AB65" s="3706">
        <v>20</v>
      </c>
      <c r="AC65" s="2254" t="s">
        <v>734</v>
      </c>
      <c r="AD65" s="2728">
        <v>6100</v>
      </c>
      <c r="AE65" s="2728"/>
      <c r="AF65" s="2728">
        <v>5060</v>
      </c>
      <c r="AG65" s="2728"/>
      <c r="AH65" s="2728">
        <v>2550</v>
      </c>
      <c r="AI65" s="2728"/>
      <c r="AJ65" s="2728">
        <v>2150</v>
      </c>
      <c r="AK65" s="2728"/>
      <c r="AL65" s="2728">
        <v>5500</v>
      </c>
      <c r="AM65" s="2728"/>
      <c r="AN65" s="2728">
        <v>960</v>
      </c>
      <c r="AO65" s="2728"/>
      <c r="AP65" s="2728"/>
      <c r="AQ65" s="2728"/>
      <c r="AR65" s="2728"/>
      <c r="AS65" s="2728"/>
      <c r="AT65" s="2728"/>
      <c r="AU65" s="2728"/>
      <c r="AV65" s="2728"/>
      <c r="AW65" s="2728"/>
      <c r="AX65" s="2728"/>
      <c r="AY65" s="2728"/>
      <c r="AZ65" s="2728"/>
      <c r="BA65" s="2728"/>
      <c r="BB65" s="2728">
        <v>400</v>
      </c>
      <c r="BC65" s="2728"/>
      <c r="BD65" s="2728">
        <v>100</v>
      </c>
      <c r="BE65" s="2728"/>
      <c r="BF65" s="2728">
        <v>200</v>
      </c>
      <c r="BG65" s="2728"/>
      <c r="BH65" s="2728">
        <v>11160</v>
      </c>
      <c r="BI65" s="2728"/>
      <c r="BJ65" s="2258">
        <v>2</v>
      </c>
      <c r="BK65" s="3711">
        <f>SUM(Y65:Y66)</f>
        <v>26500000</v>
      </c>
      <c r="BL65" s="3711">
        <f>SUM(Z65:Z66)</f>
        <v>10550000</v>
      </c>
      <c r="BM65" s="3710">
        <f>+BL65/BK65</f>
        <v>0.39811320754716983</v>
      </c>
      <c r="BN65" s="2728">
        <v>20</v>
      </c>
      <c r="BO65" s="3715" t="s">
        <v>734</v>
      </c>
      <c r="BP65" s="2728" t="s">
        <v>921</v>
      </c>
      <c r="BQ65" s="3716">
        <v>44211</v>
      </c>
      <c r="BR65" s="2383">
        <v>44243</v>
      </c>
      <c r="BS65" s="2383">
        <v>44561</v>
      </c>
      <c r="BT65" s="2383">
        <v>44470</v>
      </c>
      <c r="BU65" s="3713" t="s">
        <v>738</v>
      </c>
    </row>
    <row r="66" spans="1:73" ht="88.5" customHeight="1" x14ac:dyDescent="0.25">
      <c r="A66" s="2757"/>
      <c r="B66" s="2758"/>
      <c r="C66" s="2405"/>
      <c r="D66" s="2263"/>
      <c r="E66" s="3685"/>
      <c r="F66" s="3686"/>
      <c r="G66" s="2798"/>
      <c r="H66" s="2809"/>
      <c r="I66" s="2798"/>
      <c r="J66" s="2397"/>
      <c r="K66" s="3694"/>
      <c r="L66" s="3312"/>
      <c r="M66" s="3694"/>
      <c r="N66" s="2469"/>
      <c r="O66" s="3707"/>
      <c r="P66" s="2957"/>
      <c r="Q66" s="3663"/>
      <c r="R66" s="2397"/>
      <c r="S66" s="3704"/>
      <c r="T66" s="3705"/>
      <c r="U66" s="2703"/>
      <c r="V66" s="2703"/>
      <c r="W66" s="2703"/>
      <c r="X66" s="523">
        <v>4400000</v>
      </c>
      <c r="Y66" s="523">
        <v>4400000</v>
      </c>
      <c r="Z66" s="523">
        <v>0</v>
      </c>
      <c r="AA66" s="644" t="s">
        <v>966</v>
      </c>
      <c r="AB66" s="3706"/>
      <c r="AC66" s="2254"/>
      <c r="AD66" s="2728"/>
      <c r="AE66" s="2728"/>
      <c r="AF66" s="2728"/>
      <c r="AG66" s="2728"/>
      <c r="AH66" s="2728"/>
      <c r="AI66" s="2728"/>
      <c r="AJ66" s="2728"/>
      <c r="AK66" s="2728"/>
      <c r="AL66" s="2728"/>
      <c r="AM66" s="2728"/>
      <c r="AN66" s="2728"/>
      <c r="AO66" s="2728"/>
      <c r="AP66" s="2728"/>
      <c r="AQ66" s="2728"/>
      <c r="AR66" s="2728"/>
      <c r="AS66" s="2728"/>
      <c r="AT66" s="2728"/>
      <c r="AU66" s="2728"/>
      <c r="AV66" s="2728"/>
      <c r="AW66" s="2728"/>
      <c r="AX66" s="2728"/>
      <c r="AY66" s="2728"/>
      <c r="AZ66" s="2728"/>
      <c r="BA66" s="2728"/>
      <c r="BB66" s="2728"/>
      <c r="BC66" s="2728"/>
      <c r="BD66" s="2728"/>
      <c r="BE66" s="2728"/>
      <c r="BF66" s="2728"/>
      <c r="BG66" s="2728"/>
      <c r="BH66" s="2728"/>
      <c r="BI66" s="2728"/>
      <c r="BJ66" s="2258"/>
      <c r="BK66" s="3711"/>
      <c r="BL66" s="3711"/>
      <c r="BM66" s="3710"/>
      <c r="BN66" s="2728"/>
      <c r="BO66" s="3715"/>
      <c r="BP66" s="2728"/>
      <c r="BQ66" s="3717"/>
      <c r="BR66" s="3619"/>
      <c r="BS66" s="3619"/>
      <c r="BT66" s="3619"/>
      <c r="BU66" s="3714"/>
    </row>
    <row r="67" spans="1:73" ht="52.5" customHeight="1" x14ac:dyDescent="0.25">
      <c r="A67" s="2757"/>
      <c r="B67" s="2758"/>
      <c r="C67" s="2405"/>
      <c r="D67" s="2263"/>
      <c r="E67" s="3685"/>
      <c r="F67" s="3686"/>
      <c r="G67" s="3642">
        <v>3202014</v>
      </c>
      <c r="H67" s="3630" t="s">
        <v>967</v>
      </c>
      <c r="I67" s="3642">
        <v>3202014</v>
      </c>
      <c r="J67" s="3630" t="s">
        <v>957</v>
      </c>
      <c r="K67" s="3642" t="s">
        <v>74</v>
      </c>
      <c r="L67" s="2972" t="s">
        <v>968</v>
      </c>
      <c r="M67" s="3642">
        <v>320201402</v>
      </c>
      <c r="N67" s="2972" t="s">
        <v>959</v>
      </c>
      <c r="O67" s="2955">
        <v>1</v>
      </c>
      <c r="P67" s="2955">
        <v>1</v>
      </c>
      <c r="Q67" s="3408" t="s">
        <v>969</v>
      </c>
      <c r="R67" s="2425" t="s">
        <v>970</v>
      </c>
      <c r="S67" s="3658">
        <f>SUM(X67:X69)/T67</f>
        <v>1</v>
      </c>
      <c r="T67" s="3718">
        <f>SUM(X67:X69)</f>
        <v>54000000</v>
      </c>
      <c r="U67" s="2701" t="s">
        <v>971</v>
      </c>
      <c r="V67" s="2701" t="s">
        <v>972</v>
      </c>
      <c r="W67" s="2701" t="s">
        <v>973</v>
      </c>
      <c r="X67" s="523">
        <v>39700000</v>
      </c>
      <c r="Y67" s="523">
        <v>19140000</v>
      </c>
      <c r="Z67" s="523">
        <v>13705000</v>
      </c>
      <c r="AA67" s="644" t="s">
        <v>974</v>
      </c>
      <c r="AB67" s="3721">
        <v>20</v>
      </c>
      <c r="AC67" s="2254" t="s">
        <v>734</v>
      </c>
      <c r="AD67" s="3662">
        <v>6100</v>
      </c>
      <c r="AE67" s="3662"/>
      <c r="AF67" s="3662">
        <v>5060</v>
      </c>
      <c r="AG67" s="3662"/>
      <c r="AH67" s="3662">
        <v>2550</v>
      </c>
      <c r="AI67" s="3662"/>
      <c r="AJ67" s="3662">
        <v>2150</v>
      </c>
      <c r="AK67" s="3662"/>
      <c r="AL67" s="3662">
        <v>5500</v>
      </c>
      <c r="AM67" s="3662"/>
      <c r="AN67" s="3662">
        <v>960</v>
      </c>
      <c r="AO67" s="3662"/>
      <c r="AP67" s="3662"/>
      <c r="AQ67" s="3662"/>
      <c r="AR67" s="3662"/>
      <c r="AS67" s="3662"/>
      <c r="AT67" s="3662"/>
      <c r="AU67" s="3662"/>
      <c r="AV67" s="3662"/>
      <c r="AW67" s="3662"/>
      <c r="AX67" s="3662"/>
      <c r="AY67" s="3662"/>
      <c r="AZ67" s="3662"/>
      <c r="BA67" s="3662"/>
      <c r="BB67" s="3662">
        <v>400</v>
      </c>
      <c r="BC67" s="3662"/>
      <c r="BD67" s="3662">
        <v>100</v>
      </c>
      <c r="BE67" s="3662"/>
      <c r="BF67" s="3662">
        <v>200</v>
      </c>
      <c r="BG67" s="3662"/>
      <c r="BH67" s="3662">
        <v>11160</v>
      </c>
      <c r="BI67" s="3662"/>
      <c r="BJ67" s="2741">
        <v>3</v>
      </c>
      <c r="BK67" s="3665">
        <f>SUM(Y67:Y68)</f>
        <v>19140000</v>
      </c>
      <c r="BL67" s="3665">
        <f>SUM(Z67:Z68)</f>
        <v>13705000</v>
      </c>
      <c r="BM67" s="3474">
        <f>+BL67/BK67</f>
        <v>0.71603970741901779</v>
      </c>
      <c r="BN67" s="3662">
        <v>20</v>
      </c>
      <c r="BO67" s="3662" t="s">
        <v>734</v>
      </c>
      <c r="BP67" s="3662" t="s">
        <v>921</v>
      </c>
      <c r="BQ67" s="3716">
        <v>44211</v>
      </c>
      <c r="BR67" s="2383">
        <v>44250</v>
      </c>
      <c r="BS67" s="2383">
        <v>44561</v>
      </c>
      <c r="BT67" s="2383">
        <v>44552</v>
      </c>
      <c r="BU67" s="2654" t="s">
        <v>738</v>
      </c>
    </row>
    <row r="68" spans="1:73" ht="52.5" customHeight="1" x14ac:dyDescent="0.25">
      <c r="A68" s="2757"/>
      <c r="B68" s="2758"/>
      <c r="C68" s="2405"/>
      <c r="D68" s="2263"/>
      <c r="E68" s="3685"/>
      <c r="F68" s="3686"/>
      <c r="G68" s="3708"/>
      <c r="H68" s="3709"/>
      <c r="I68" s="3708"/>
      <c r="J68" s="3709"/>
      <c r="K68" s="3708"/>
      <c r="L68" s="2973"/>
      <c r="M68" s="3708"/>
      <c r="N68" s="2973"/>
      <c r="O68" s="2956"/>
      <c r="P68" s="2956"/>
      <c r="Q68" s="3409"/>
      <c r="R68" s="2426"/>
      <c r="S68" s="3712"/>
      <c r="T68" s="3719"/>
      <c r="U68" s="2702"/>
      <c r="V68" s="2702"/>
      <c r="W68" s="2702"/>
      <c r="X68" s="523">
        <v>6000000</v>
      </c>
      <c r="Y68" s="82">
        <v>0</v>
      </c>
      <c r="Z68" s="82">
        <v>0</v>
      </c>
      <c r="AA68" s="644" t="s">
        <v>975</v>
      </c>
      <c r="AB68" s="3706"/>
      <c r="AC68" s="2254"/>
      <c r="AD68" s="3463"/>
      <c r="AE68" s="3463"/>
      <c r="AF68" s="3463"/>
      <c r="AG68" s="3463"/>
      <c r="AH68" s="3463"/>
      <c r="AI68" s="3463"/>
      <c r="AJ68" s="3463"/>
      <c r="AK68" s="3463"/>
      <c r="AL68" s="3463"/>
      <c r="AM68" s="3463"/>
      <c r="AN68" s="3463"/>
      <c r="AO68" s="3463"/>
      <c r="AP68" s="3463"/>
      <c r="AQ68" s="3463"/>
      <c r="AR68" s="3463"/>
      <c r="AS68" s="3463"/>
      <c r="AT68" s="3463"/>
      <c r="AU68" s="3463"/>
      <c r="AV68" s="3463"/>
      <c r="AW68" s="3463"/>
      <c r="AX68" s="3463"/>
      <c r="AY68" s="3463"/>
      <c r="AZ68" s="3463"/>
      <c r="BA68" s="3463"/>
      <c r="BB68" s="3463"/>
      <c r="BC68" s="3463"/>
      <c r="BD68" s="3463"/>
      <c r="BE68" s="3463"/>
      <c r="BF68" s="3463"/>
      <c r="BG68" s="3463"/>
      <c r="BH68" s="3463"/>
      <c r="BI68" s="3463"/>
      <c r="BJ68" s="2742"/>
      <c r="BK68" s="3722"/>
      <c r="BL68" s="3722"/>
      <c r="BM68" s="2463"/>
      <c r="BN68" s="3463"/>
      <c r="BO68" s="3463"/>
      <c r="BP68" s="3463"/>
      <c r="BQ68" s="3731"/>
      <c r="BR68" s="3618"/>
      <c r="BS68" s="3618"/>
      <c r="BT68" s="3618"/>
      <c r="BU68" s="2654"/>
    </row>
    <row r="69" spans="1:73" ht="52.5" customHeight="1" x14ac:dyDescent="0.25">
      <c r="A69" s="2757"/>
      <c r="B69" s="2758"/>
      <c r="C69" s="2405"/>
      <c r="D69" s="2263"/>
      <c r="E69" s="3687"/>
      <c r="F69" s="3688"/>
      <c r="G69" s="3643"/>
      <c r="H69" s="3631"/>
      <c r="I69" s="3643"/>
      <c r="J69" s="3631"/>
      <c r="K69" s="3643"/>
      <c r="L69" s="2974"/>
      <c r="M69" s="3643"/>
      <c r="N69" s="2974"/>
      <c r="O69" s="2957"/>
      <c r="P69" s="2957"/>
      <c r="Q69" s="3601"/>
      <c r="R69" s="2427"/>
      <c r="S69" s="3659"/>
      <c r="T69" s="3720"/>
      <c r="U69" s="2703"/>
      <c r="V69" s="2703"/>
      <c r="W69" s="2703"/>
      <c r="X69" s="523">
        <v>8300000</v>
      </c>
      <c r="Y69" s="82">
        <v>0</v>
      </c>
      <c r="Z69" s="82">
        <v>0</v>
      </c>
      <c r="AA69" s="714" t="s">
        <v>976</v>
      </c>
      <c r="AB69" s="715"/>
      <c r="AC69" s="103" t="s">
        <v>734</v>
      </c>
      <c r="AD69" s="3464"/>
      <c r="AE69" s="3464"/>
      <c r="AF69" s="3464"/>
      <c r="AG69" s="3464"/>
      <c r="AH69" s="3464"/>
      <c r="AI69" s="3464"/>
      <c r="AJ69" s="3464"/>
      <c r="AK69" s="3464"/>
      <c r="AL69" s="3464"/>
      <c r="AM69" s="3464"/>
      <c r="AN69" s="3464"/>
      <c r="AO69" s="3464"/>
      <c r="AP69" s="3464"/>
      <c r="AQ69" s="3464"/>
      <c r="AR69" s="3464"/>
      <c r="AS69" s="3464"/>
      <c r="AT69" s="3464"/>
      <c r="AU69" s="3464"/>
      <c r="AV69" s="3464"/>
      <c r="AW69" s="3464"/>
      <c r="AX69" s="3464"/>
      <c r="AY69" s="3464"/>
      <c r="AZ69" s="3464"/>
      <c r="BA69" s="3464"/>
      <c r="BB69" s="3464"/>
      <c r="BC69" s="3464"/>
      <c r="BD69" s="3464"/>
      <c r="BE69" s="3464"/>
      <c r="BF69" s="3464"/>
      <c r="BG69" s="3464"/>
      <c r="BH69" s="3464"/>
      <c r="BI69" s="3464"/>
      <c r="BJ69" s="2743"/>
      <c r="BK69" s="3666"/>
      <c r="BL69" s="3666"/>
      <c r="BM69" s="2464"/>
      <c r="BN69" s="3464"/>
      <c r="BO69" s="3464"/>
      <c r="BP69" s="3464"/>
      <c r="BQ69" s="3717"/>
      <c r="BR69" s="3619"/>
      <c r="BS69" s="3619"/>
      <c r="BT69" s="3619"/>
      <c r="BU69" s="2654"/>
    </row>
    <row r="70" spans="1:73" ht="15.75" x14ac:dyDescent="0.25">
      <c r="A70" s="2757"/>
      <c r="B70" s="2758"/>
      <c r="C70" s="2405"/>
      <c r="D70" s="2263"/>
      <c r="E70" s="636">
        <v>3204</v>
      </c>
      <c r="F70" s="503" t="s">
        <v>977</v>
      </c>
      <c r="G70" s="503"/>
      <c r="H70" s="323"/>
      <c r="I70" s="503"/>
      <c r="J70" s="323"/>
      <c r="K70" s="503"/>
      <c r="L70" s="323"/>
      <c r="M70" s="188"/>
      <c r="N70" s="323"/>
      <c r="O70" s="188"/>
      <c r="P70" s="188"/>
      <c r="Q70" s="188"/>
      <c r="R70" s="323"/>
      <c r="S70" s="186"/>
      <c r="T70" s="322"/>
      <c r="U70" s="323"/>
      <c r="V70" s="323"/>
      <c r="W70" s="323"/>
      <c r="X70" s="491"/>
      <c r="Y70" s="491"/>
      <c r="Z70" s="491"/>
      <c r="AA70" s="637"/>
      <c r="AB70" s="63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491"/>
      <c r="BL70" s="491"/>
      <c r="BM70" s="492"/>
      <c r="BN70" s="188"/>
      <c r="BO70" s="323"/>
      <c r="BP70" s="188"/>
      <c r="BQ70" s="324"/>
      <c r="BR70" s="324"/>
      <c r="BS70" s="324"/>
      <c r="BT70" s="324"/>
      <c r="BU70" s="643"/>
    </row>
    <row r="71" spans="1:73" ht="90" x14ac:dyDescent="0.25">
      <c r="A71" s="2757"/>
      <c r="B71" s="2758"/>
      <c r="C71" s="2405"/>
      <c r="D71" s="2263"/>
      <c r="E71" s="513"/>
      <c r="F71" s="513"/>
      <c r="G71" s="716">
        <v>3204012</v>
      </c>
      <c r="H71" s="717" t="s">
        <v>978</v>
      </c>
      <c r="I71" s="716">
        <v>3204012</v>
      </c>
      <c r="J71" s="717" t="s">
        <v>978</v>
      </c>
      <c r="K71" s="718" t="s">
        <v>979</v>
      </c>
      <c r="L71" s="719" t="s">
        <v>980</v>
      </c>
      <c r="M71" s="720" t="s">
        <v>979</v>
      </c>
      <c r="N71" s="721" t="s">
        <v>980</v>
      </c>
      <c r="O71" s="722">
        <v>2</v>
      </c>
      <c r="P71" s="723">
        <v>2</v>
      </c>
      <c r="Q71" s="724" t="s">
        <v>981</v>
      </c>
      <c r="R71" s="725" t="s">
        <v>982</v>
      </c>
      <c r="S71" s="726">
        <f>X71/T71</f>
        <v>1</v>
      </c>
      <c r="T71" s="727">
        <f>SUM(X71)</f>
        <v>120000000</v>
      </c>
      <c r="U71" s="728" t="s">
        <v>983</v>
      </c>
      <c r="V71" s="728" t="s">
        <v>984</v>
      </c>
      <c r="W71" s="239" t="s">
        <v>985</v>
      </c>
      <c r="X71" s="729">
        <v>120000000</v>
      </c>
      <c r="Y71" s="730">
        <v>24740000</v>
      </c>
      <c r="Z71" s="730">
        <v>21855000</v>
      </c>
      <c r="AA71" s="341" t="s">
        <v>986</v>
      </c>
      <c r="AB71" s="709">
        <v>20</v>
      </c>
      <c r="AC71" s="103" t="s">
        <v>734</v>
      </c>
      <c r="AD71" s="471">
        <v>6100</v>
      </c>
      <c r="AE71" s="471"/>
      <c r="AF71" s="471">
        <v>5060</v>
      </c>
      <c r="AG71" s="471"/>
      <c r="AH71" s="471">
        <v>2550</v>
      </c>
      <c r="AI71" s="471"/>
      <c r="AJ71" s="471">
        <v>2150</v>
      </c>
      <c r="AK71" s="471"/>
      <c r="AL71" s="471">
        <v>5500</v>
      </c>
      <c r="AM71" s="471"/>
      <c r="AN71" s="471">
        <v>960</v>
      </c>
      <c r="AO71" s="471"/>
      <c r="AP71" s="471"/>
      <c r="AQ71" s="471"/>
      <c r="AR71" s="471"/>
      <c r="AS71" s="471"/>
      <c r="AT71" s="471"/>
      <c r="AU71" s="471"/>
      <c r="AV71" s="471"/>
      <c r="AW71" s="471"/>
      <c r="AX71" s="471"/>
      <c r="AY71" s="471"/>
      <c r="AZ71" s="471"/>
      <c r="BA71" s="471"/>
      <c r="BB71" s="471">
        <v>400</v>
      </c>
      <c r="BC71" s="471"/>
      <c r="BD71" s="471">
        <v>100</v>
      </c>
      <c r="BE71" s="471"/>
      <c r="BF71" s="471">
        <v>200</v>
      </c>
      <c r="BG71" s="471"/>
      <c r="BH71" s="471">
        <v>11160</v>
      </c>
      <c r="BI71" s="471"/>
      <c r="BJ71" s="471">
        <v>2</v>
      </c>
      <c r="BK71" s="532">
        <f>+Y71</f>
        <v>24740000</v>
      </c>
      <c r="BL71" s="532">
        <f>+Z71</f>
        <v>21855000</v>
      </c>
      <c r="BM71" s="664">
        <f>+BL71/BK71</f>
        <v>0.88338722716248985</v>
      </c>
      <c r="BN71" s="471">
        <v>20</v>
      </c>
      <c r="BO71" s="665" t="s">
        <v>734</v>
      </c>
      <c r="BP71" s="471" t="s">
        <v>921</v>
      </c>
      <c r="BQ71" s="535">
        <v>44211</v>
      </c>
      <c r="BR71" s="536">
        <v>44242</v>
      </c>
      <c r="BS71" s="536">
        <v>44561</v>
      </c>
      <c r="BT71" s="536">
        <v>44361</v>
      </c>
      <c r="BU71" s="731" t="s">
        <v>738</v>
      </c>
    </row>
    <row r="72" spans="1:73" ht="15.75" x14ac:dyDescent="0.25">
      <c r="A72" s="2757"/>
      <c r="B72" s="2758"/>
      <c r="C72" s="2405"/>
      <c r="D72" s="2263"/>
      <c r="E72" s="732">
        <v>3205</v>
      </c>
      <c r="F72" s="3723" t="s">
        <v>588</v>
      </c>
      <c r="G72" s="3724"/>
      <c r="H72" s="3724"/>
      <c r="I72" s="3724"/>
      <c r="J72" s="3724"/>
      <c r="K72" s="3724"/>
      <c r="L72" s="3724"/>
      <c r="M72" s="667"/>
      <c r="N72" s="670"/>
      <c r="O72" s="667"/>
      <c r="P72" s="667"/>
      <c r="Q72" s="667"/>
      <c r="R72" s="670"/>
      <c r="S72" s="733"/>
      <c r="T72" s="734"/>
      <c r="U72" s="670"/>
      <c r="V72" s="670"/>
      <c r="W72" s="670"/>
      <c r="X72" s="668"/>
      <c r="Y72" s="735"/>
      <c r="Z72" s="735"/>
      <c r="AA72" s="637"/>
      <c r="AB72" s="666"/>
      <c r="AC72" s="667"/>
      <c r="AD72" s="667"/>
      <c r="AE72" s="667"/>
      <c r="AF72" s="667"/>
      <c r="AG72" s="667"/>
      <c r="AH72" s="667"/>
      <c r="AI72" s="667"/>
      <c r="AJ72" s="667"/>
      <c r="AK72" s="667"/>
      <c r="AL72" s="667"/>
      <c r="AM72" s="667"/>
      <c r="AN72" s="667"/>
      <c r="AO72" s="667"/>
      <c r="AP72" s="667"/>
      <c r="AQ72" s="667"/>
      <c r="AR72" s="667"/>
      <c r="AS72" s="667"/>
      <c r="AT72" s="667"/>
      <c r="AU72" s="667"/>
      <c r="AV72" s="667"/>
      <c r="AW72" s="667"/>
      <c r="AX72" s="667"/>
      <c r="AY72" s="667"/>
      <c r="AZ72" s="667"/>
      <c r="BA72" s="667"/>
      <c r="BB72" s="667"/>
      <c r="BC72" s="667"/>
      <c r="BD72" s="667"/>
      <c r="BE72" s="667"/>
      <c r="BF72" s="667"/>
      <c r="BG72" s="667"/>
      <c r="BH72" s="667"/>
      <c r="BI72" s="667"/>
      <c r="BJ72" s="667"/>
      <c r="BK72" s="668"/>
      <c r="BL72" s="668"/>
      <c r="BM72" s="669"/>
      <c r="BN72" s="667"/>
      <c r="BO72" s="670"/>
      <c r="BP72" s="667"/>
      <c r="BQ72" s="671"/>
      <c r="BR72" s="671"/>
      <c r="BS72" s="671"/>
      <c r="BT72" s="671"/>
      <c r="BU72" s="672"/>
    </row>
    <row r="73" spans="1:73" ht="45" customHeight="1" x14ac:dyDescent="0.25">
      <c r="A73" s="2757"/>
      <c r="B73" s="2758"/>
      <c r="C73" s="2405"/>
      <c r="D73" s="2263"/>
      <c r="E73" s="736"/>
      <c r="F73" s="736"/>
      <c r="G73" s="737" t="s">
        <v>987</v>
      </c>
      <c r="H73" s="738" t="s">
        <v>988</v>
      </c>
      <c r="I73" s="737" t="s">
        <v>987</v>
      </c>
      <c r="J73" s="738" t="s">
        <v>988</v>
      </c>
      <c r="K73" s="739" t="s">
        <v>989</v>
      </c>
      <c r="L73" s="740" t="s">
        <v>990</v>
      </c>
      <c r="M73" s="739" t="s">
        <v>989</v>
      </c>
      <c r="N73" s="740" t="s">
        <v>990</v>
      </c>
      <c r="O73" s="741">
        <v>200</v>
      </c>
      <c r="P73" s="741">
        <v>0</v>
      </c>
      <c r="Q73" s="3725" t="s">
        <v>991</v>
      </c>
      <c r="R73" s="3726" t="s">
        <v>992</v>
      </c>
      <c r="S73" s="648">
        <f>X73/T73</f>
        <v>0.24390243902439024</v>
      </c>
      <c r="T73" s="3728">
        <f>SUM(X73:X75)</f>
        <v>82000000</v>
      </c>
      <c r="U73" s="3418" t="s">
        <v>993</v>
      </c>
      <c r="V73" s="527" t="s">
        <v>994</v>
      </c>
      <c r="W73" s="504" t="s">
        <v>995</v>
      </c>
      <c r="X73" s="742">
        <v>20000000</v>
      </c>
      <c r="Y73" s="743">
        <v>0</v>
      </c>
      <c r="Z73" s="743">
        <v>0</v>
      </c>
      <c r="AA73" s="341" t="s">
        <v>996</v>
      </c>
      <c r="AB73" s="649">
        <v>20</v>
      </c>
      <c r="AC73" s="103" t="s">
        <v>734</v>
      </c>
      <c r="AD73" s="2741">
        <v>295972</v>
      </c>
      <c r="AE73" s="2741"/>
      <c r="AF73" s="2741">
        <v>285580</v>
      </c>
      <c r="AG73" s="2741"/>
      <c r="AH73" s="2741">
        <v>135545</v>
      </c>
      <c r="AI73" s="2741"/>
      <c r="AJ73" s="2741">
        <v>44254</v>
      </c>
      <c r="AK73" s="2741"/>
      <c r="AL73" s="2741">
        <v>309146</v>
      </c>
      <c r="AM73" s="2741"/>
      <c r="AN73" s="2741">
        <v>92607</v>
      </c>
      <c r="AO73" s="2741"/>
      <c r="AP73" s="2741"/>
      <c r="AQ73" s="2741"/>
      <c r="AR73" s="2741"/>
      <c r="AS73" s="2741"/>
      <c r="AT73" s="2741"/>
      <c r="AU73" s="2741"/>
      <c r="AV73" s="2741"/>
      <c r="AW73" s="2741"/>
      <c r="AX73" s="2741"/>
      <c r="AY73" s="2741"/>
      <c r="AZ73" s="2741"/>
      <c r="BA73" s="2741"/>
      <c r="BB73" s="2741"/>
      <c r="BC73" s="2741"/>
      <c r="BD73" s="2741"/>
      <c r="BE73" s="2741"/>
      <c r="BF73" s="2741"/>
      <c r="BG73" s="2741"/>
      <c r="BH73" s="2741">
        <v>581552</v>
      </c>
      <c r="BI73" s="2741"/>
      <c r="BJ73" s="2741">
        <v>0</v>
      </c>
      <c r="BK73" s="3620">
        <f>SUM(Y73:Y75)</f>
        <v>0</v>
      </c>
      <c r="BL73" s="3620">
        <f>SUM(Z73:Z75)</f>
        <v>0</v>
      </c>
      <c r="BM73" s="3733">
        <v>0</v>
      </c>
      <c r="BN73" s="2741">
        <v>20</v>
      </c>
      <c r="BO73" s="2738" t="s">
        <v>734</v>
      </c>
      <c r="BP73" s="2741"/>
      <c r="BQ73" s="2686"/>
      <c r="BR73" s="2686"/>
      <c r="BS73" s="2686"/>
      <c r="BT73" s="2686"/>
      <c r="BU73" s="3510" t="s">
        <v>738</v>
      </c>
    </row>
    <row r="74" spans="1:73" ht="30" x14ac:dyDescent="0.25">
      <c r="A74" s="2757"/>
      <c r="B74" s="2758"/>
      <c r="C74" s="2405"/>
      <c r="D74" s="2263"/>
      <c r="E74" s="736"/>
      <c r="F74" s="736"/>
      <c r="G74" s="737" t="s">
        <v>997</v>
      </c>
      <c r="H74" s="738" t="s">
        <v>998</v>
      </c>
      <c r="I74" s="737" t="s">
        <v>997</v>
      </c>
      <c r="J74" s="738" t="s">
        <v>998</v>
      </c>
      <c r="K74" s="739" t="s">
        <v>999</v>
      </c>
      <c r="L74" s="740" t="s">
        <v>1000</v>
      </c>
      <c r="M74" s="739" t="s">
        <v>999</v>
      </c>
      <c r="N74" s="740" t="s">
        <v>1000</v>
      </c>
      <c r="O74" s="741">
        <v>10</v>
      </c>
      <c r="P74" s="741">
        <v>0</v>
      </c>
      <c r="Q74" s="3725"/>
      <c r="R74" s="3519"/>
      <c r="S74" s="648">
        <f>X74/T73</f>
        <v>0.24390243902439024</v>
      </c>
      <c r="T74" s="3729"/>
      <c r="U74" s="3419"/>
      <c r="V74" s="527" t="s">
        <v>1001</v>
      </c>
      <c r="W74" s="504" t="s">
        <v>1002</v>
      </c>
      <c r="X74" s="742">
        <v>20000000</v>
      </c>
      <c r="Y74" s="743">
        <v>0</v>
      </c>
      <c r="Z74" s="743">
        <v>0</v>
      </c>
      <c r="AA74" s="341" t="s">
        <v>1003</v>
      </c>
      <c r="AB74" s="649">
        <v>20</v>
      </c>
      <c r="AC74" s="103" t="s">
        <v>734</v>
      </c>
      <c r="AD74" s="2742"/>
      <c r="AE74" s="2742"/>
      <c r="AF74" s="2742"/>
      <c r="AG74" s="2742"/>
      <c r="AH74" s="2742"/>
      <c r="AI74" s="2742"/>
      <c r="AJ74" s="2742"/>
      <c r="AK74" s="2742"/>
      <c r="AL74" s="2742"/>
      <c r="AM74" s="2742"/>
      <c r="AN74" s="2742"/>
      <c r="AO74" s="2742"/>
      <c r="AP74" s="2742"/>
      <c r="AQ74" s="2742"/>
      <c r="AR74" s="2742"/>
      <c r="AS74" s="2742"/>
      <c r="AT74" s="2742"/>
      <c r="AU74" s="2742"/>
      <c r="AV74" s="2742"/>
      <c r="AW74" s="2742"/>
      <c r="AX74" s="2742"/>
      <c r="AY74" s="2742"/>
      <c r="AZ74" s="2742"/>
      <c r="BA74" s="2742"/>
      <c r="BB74" s="2742"/>
      <c r="BC74" s="2742"/>
      <c r="BD74" s="2742"/>
      <c r="BE74" s="2742"/>
      <c r="BF74" s="2742"/>
      <c r="BG74" s="2742"/>
      <c r="BH74" s="2742"/>
      <c r="BI74" s="2742"/>
      <c r="BJ74" s="2742"/>
      <c r="BK74" s="3621"/>
      <c r="BL74" s="3621"/>
      <c r="BM74" s="2707"/>
      <c r="BN74" s="2742"/>
      <c r="BO74" s="2739"/>
      <c r="BP74" s="2742"/>
      <c r="BQ74" s="2687"/>
      <c r="BR74" s="2687"/>
      <c r="BS74" s="2687"/>
      <c r="BT74" s="2687"/>
      <c r="BU74" s="3491"/>
    </row>
    <row r="75" spans="1:73" ht="45" customHeight="1" x14ac:dyDescent="0.25">
      <c r="A75" s="2757"/>
      <c r="B75" s="2758"/>
      <c r="C75" s="2405"/>
      <c r="D75" s="2263"/>
      <c r="E75" s="736"/>
      <c r="F75" s="736"/>
      <c r="G75" s="744">
        <v>3205010</v>
      </c>
      <c r="H75" s="745" t="s">
        <v>589</v>
      </c>
      <c r="I75" s="744">
        <v>3205010</v>
      </c>
      <c r="J75" s="745" t="s">
        <v>589</v>
      </c>
      <c r="K75" s="746" t="s">
        <v>590</v>
      </c>
      <c r="L75" s="747" t="s">
        <v>591</v>
      </c>
      <c r="M75" s="746" t="s">
        <v>590</v>
      </c>
      <c r="N75" s="740" t="s">
        <v>591</v>
      </c>
      <c r="O75" s="741">
        <v>1</v>
      </c>
      <c r="P75" s="741">
        <v>0</v>
      </c>
      <c r="Q75" s="3725"/>
      <c r="R75" s="3727"/>
      <c r="S75" s="648">
        <f>X75/T73</f>
        <v>0.51219512195121952</v>
      </c>
      <c r="T75" s="3730"/>
      <c r="U75" s="3420"/>
      <c r="V75" s="205" t="s">
        <v>1004</v>
      </c>
      <c r="W75" s="504" t="s">
        <v>1005</v>
      </c>
      <c r="X75" s="742">
        <v>42000000</v>
      </c>
      <c r="Y75" s="743">
        <v>0</v>
      </c>
      <c r="Z75" s="743">
        <v>0</v>
      </c>
      <c r="AA75" s="341" t="s">
        <v>1006</v>
      </c>
      <c r="AB75" s="649">
        <v>20</v>
      </c>
      <c r="AC75" s="103" t="s">
        <v>734</v>
      </c>
      <c r="AD75" s="2743"/>
      <c r="AE75" s="2743"/>
      <c r="AF75" s="2743"/>
      <c r="AG75" s="2743"/>
      <c r="AH75" s="2743"/>
      <c r="AI75" s="2743"/>
      <c r="AJ75" s="2743"/>
      <c r="AK75" s="2743"/>
      <c r="AL75" s="2743"/>
      <c r="AM75" s="2743"/>
      <c r="AN75" s="2743"/>
      <c r="AO75" s="2743"/>
      <c r="AP75" s="2743"/>
      <c r="AQ75" s="2743"/>
      <c r="AR75" s="2743"/>
      <c r="AS75" s="2743"/>
      <c r="AT75" s="2743"/>
      <c r="AU75" s="2743"/>
      <c r="AV75" s="2743"/>
      <c r="AW75" s="2743"/>
      <c r="AX75" s="2743"/>
      <c r="AY75" s="2743"/>
      <c r="AZ75" s="2743"/>
      <c r="BA75" s="2743"/>
      <c r="BB75" s="2743"/>
      <c r="BC75" s="2743"/>
      <c r="BD75" s="2743"/>
      <c r="BE75" s="2743"/>
      <c r="BF75" s="2743"/>
      <c r="BG75" s="2743"/>
      <c r="BH75" s="2743"/>
      <c r="BI75" s="2743"/>
      <c r="BJ75" s="2743"/>
      <c r="BK75" s="3622"/>
      <c r="BL75" s="3622"/>
      <c r="BM75" s="2708"/>
      <c r="BN75" s="2743"/>
      <c r="BO75" s="2740"/>
      <c r="BP75" s="2743"/>
      <c r="BQ75" s="2688"/>
      <c r="BR75" s="2688"/>
      <c r="BS75" s="2688"/>
      <c r="BT75" s="2688"/>
      <c r="BU75" s="3492"/>
    </row>
    <row r="76" spans="1:73" ht="15.75" x14ac:dyDescent="0.25">
      <c r="A76" s="2757"/>
      <c r="B76" s="2758"/>
      <c r="C76" s="2405"/>
      <c r="D76" s="2263"/>
      <c r="E76" s="732">
        <v>3206</v>
      </c>
      <c r="F76" s="748" t="s">
        <v>1007</v>
      </c>
      <c r="G76" s="749"/>
      <c r="H76" s="750"/>
      <c r="I76" s="749"/>
      <c r="J76" s="750"/>
      <c r="K76" s="749"/>
      <c r="L76" s="750"/>
      <c r="M76" s="749"/>
      <c r="N76" s="670"/>
      <c r="O76" s="667"/>
      <c r="P76" s="667"/>
      <c r="Q76" s="667"/>
      <c r="R76" s="670"/>
      <c r="S76" s="733"/>
      <c r="T76" s="734"/>
      <c r="U76" s="670"/>
      <c r="V76" s="670"/>
      <c r="W76" s="670"/>
      <c r="X76" s="668"/>
      <c r="Y76" s="735"/>
      <c r="Z76" s="735"/>
      <c r="AA76" s="637"/>
      <c r="AB76" s="666"/>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7"/>
      <c r="BC76" s="667"/>
      <c r="BD76" s="667"/>
      <c r="BE76" s="667"/>
      <c r="BF76" s="667"/>
      <c r="BG76" s="667"/>
      <c r="BH76" s="667"/>
      <c r="BI76" s="667"/>
      <c r="BJ76" s="667"/>
      <c r="BK76" s="668"/>
      <c r="BL76" s="668"/>
      <c r="BM76" s="669"/>
      <c r="BN76" s="667"/>
      <c r="BO76" s="670"/>
      <c r="BP76" s="667"/>
      <c r="BQ76" s="671"/>
      <c r="BR76" s="671"/>
      <c r="BS76" s="671"/>
      <c r="BT76" s="671"/>
      <c r="BU76" s="672"/>
    </row>
    <row r="77" spans="1:73" ht="57" customHeight="1" x14ac:dyDescent="0.25">
      <c r="A77" s="2757"/>
      <c r="B77" s="2758"/>
      <c r="C77" s="2405"/>
      <c r="D77" s="2263"/>
      <c r="E77" s="736"/>
      <c r="F77" s="736"/>
      <c r="G77" s="737" t="s">
        <v>1008</v>
      </c>
      <c r="H77" s="738" t="s">
        <v>1009</v>
      </c>
      <c r="I77" s="737" t="s">
        <v>1008</v>
      </c>
      <c r="J77" s="738" t="s">
        <v>1009</v>
      </c>
      <c r="K77" s="751" t="s">
        <v>1010</v>
      </c>
      <c r="L77" s="752" t="s">
        <v>1011</v>
      </c>
      <c r="M77" s="751" t="s">
        <v>1010</v>
      </c>
      <c r="N77" s="752" t="s">
        <v>1011</v>
      </c>
      <c r="O77" s="741">
        <v>6</v>
      </c>
      <c r="P77" s="741">
        <v>0</v>
      </c>
      <c r="Q77" s="3381" t="s">
        <v>1012</v>
      </c>
      <c r="R77" s="3150" t="s">
        <v>1013</v>
      </c>
      <c r="S77" s="648">
        <f>X77/T77</f>
        <v>0.21186440677966101</v>
      </c>
      <c r="T77" s="3728">
        <f>SUM(X77:X79)</f>
        <v>118000000</v>
      </c>
      <c r="U77" s="3418" t="s">
        <v>1014</v>
      </c>
      <c r="V77" s="2701" t="s">
        <v>1015</v>
      </c>
      <c r="W77" s="466" t="s">
        <v>1016</v>
      </c>
      <c r="X77" s="742">
        <v>25000000</v>
      </c>
      <c r="Y77" s="743">
        <v>0</v>
      </c>
      <c r="Z77" s="743">
        <v>0</v>
      </c>
      <c r="AA77" s="341" t="s">
        <v>1017</v>
      </c>
      <c r="AB77" s="649">
        <v>20</v>
      </c>
      <c r="AC77" s="103" t="s">
        <v>734</v>
      </c>
      <c r="AD77" s="2741">
        <v>291786</v>
      </c>
      <c r="AE77" s="2741"/>
      <c r="AF77" s="2741">
        <v>270331</v>
      </c>
      <c r="AG77" s="2741"/>
      <c r="AH77" s="2741">
        <v>102045</v>
      </c>
      <c r="AI77" s="2741"/>
      <c r="AJ77" s="2741">
        <v>39183</v>
      </c>
      <c r="AK77" s="2741"/>
      <c r="AL77" s="2741">
        <v>310195</v>
      </c>
      <c r="AM77" s="2741"/>
      <c r="AN77" s="2741">
        <v>110694</v>
      </c>
      <c r="AO77" s="2741"/>
      <c r="AP77" s="2741"/>
      <c r="AQ77" s="2741"/>
      <c r="AR77" s="2741"/>
      <c r="AS77" s="2741"/>
      <c r="AT77" s="2741"/>
      <c r="AU77" s="2741"/>
      <c r="AV77" s="2741"/>
      <c r="AW77" s="2741"/>
      <c r="AX77" s="2741"/>
      <c r="AY77" s="2741"/>
      <c r="AZ77" s="2741"/>
      <c r="BA77" s="2741"/>
      <c r="BB77" s="2741"/>
      <c r="BC77" s="2741"/>
      <c r="BD77" s="2741"/>
      <c r="BE77" s="2741"/>
      <c r="BF77" s="2741"/>
      <c r="BG77" s="2741"/>
      <c r="BH77" s="2741">
        <v>562117</v>
      </c>
      <c r="BI77" s="2741"/>
      <c r="BJ77" s="2741">
        <v>0</v>
      </c>
      <c r="BK77" s="3620">
        <f>SUM(Y77:Y79)</f>
        <v>0</v>
      </c>
      <c r="BL77" s="3620">
        <f>SUM(Z77:Z79)</f>
        <v>0</v>
      </c>
      <c r="BM77" s="3733">
        <v>0</v>
      </c>
      <c r="BN77" s="2741">
        <v>20</v>
      </c>
      <c r="BO77" s="2738" t="s">
        <v>734</v>
      </c>
      <c r="BP77" s="2741"/>
      <c r="BQ77" s="2686"/>
      <c r="BR77" s="2686"/>
      <c r="BS77" s="2686"/>
      <c r="BT77" s="2686"/>
      <c r="BU77" s="3510" t="s">
        <v>738</v>
      </c>
    </row>
    <row r="78" spans="1:73" ht="57" customHeight="1" x14ac:dyDescent="0.25">
      <c r="A78" s="2757"/>
      <c r="B78" s="2758"/>
      <c r="C78" s="2405"/>
      <c r="D78" s="2263"/>
      <c r="E78" s="736"/>
      <c r="F78" s="736"/>
      <c r="G78" s="737">
        <v>3206014</v>
      </c>
      <c r="H78" s="738" t="s">
        <v>1018</v>
      </c>
      <c r="I78" s="737">
        <v>3206014</v>
      </c>
      <c r="J78" s="738" t="s">
        <v>1018</v>
      </c>
      <c r="K78" s="751" t="s">
        <v>1019</v>
      </c>
      <c r="L78" s="752" t="s">
        <v>1020</v>
      </c>
      <c r="M78" s="751" t="s">
        <v>1019</v>
      </c>
      <c r="N78" s="752" t="s">
        <v>1020</v>
      </c>
      <c r="O78" s="741">
        <v>1950</v>
      </c>
      <c r="P78" s="741">
        <v>0</v>
      </c>
      <c r="Q78" s="3381"/>
      <c r="R78" s="3150"/>
      <c r="S78" s="648">
        <f>X78/T77</f>
        <v>0.15254237288135594</v>
      </c>
      <c r="T78" s="3729"/>
      <c r="U78" s="3419"/>
      <c r="V78" s="2702"/>
      <c r="W78" s="466" t="s">
        <v>1021</v>
      </c>
      <c r="X78" s="742">
        <v>18000000</v>
      </c>
      <c r="Y78" s="743">
        <v>0</v>
      </c>
      <c r="Z78" s="743">
        <v>0</v>
      </c>
      <c r="AA78" s="341" t="s">
        <v>1022</v>
      </c>
      <c r="AB78" s="649">
        <v>20</v>
      </c>
      <c r="AC78" s="103" t="s">
        <v>734</v>
      </c>
      <c r="AD78" s="2742"/>
      <c r="AE78" s="2742"/>
      <c r="AF78" s="2742"/>
      <c r="AG78" s="2742"/>
      <c r="AH78" s="2742"/>
      <c r="AI78" s="2742"/>
      <c r="AJ78" s="2742"/>
      <c r="AK78" s="2742"/>
      <c r="AL78" s="2742"/>
      <c r="AM78" s="2742"/>
      <c r="AN78" s="2742"/>
      <c r="AO78" s="2742"/>
      <c r="AP78" s="2742"/>
      <c r="AQ78" s="2742"/>
      <c r="AR78" s="2742"/>
      <c r="AS78" s="2742"/>
      <c r="AT78" s="2742"/>
      <c r="AU78" s="2742"/>
      <c r="AV78" s="2742"/>
      <c r="AW78" s="2742"/>
      <c r="AX78" s="2742"/>
      <c r="AY78" s="2742"/>
      <c r="AZ78" s="2742"/>
      <c r="BA78" s="2742"/>
      <c r="BB78" s="2742"/>
      <c r="BC78" s="2742"/>
      <c r="BD78" s="2742"/>
      <c r="BE78" s="2742"/>
      <c r="BF78" s="2742"/>
      <c r="BG78" s="2742"/>
      <c r="BH78" s="2742"/>
      <c r="BI78" s="2742"/>
      <c r="BJ78" s="2742"/>
      <c r="BK78" s="3621"/>
      <c r="BL78" s="3621"/>
      <c r="BM78" s="2707"/>
      <c r="BN78" s="2742"/>
      <c r="BO78" s="2739"/>
      <c r="BP78" s="2742"/>
      <c r="BQ78" s="2687"/>
      <c r="BR78" s="2687"/>
      <c r="BS78" s="2687"/>
      <c r="BT78" s="2687"/>
      <c r="BU78" s="3491"/>
    </row>
    <row r="79" spans="1:73" ht="57" customHeight="1" x14ac:dyDescent="0.25">
      <c r="A79" s="2757"/>
      <c r="B79" s="2758"/>
      <c r="C79" s="2405"/>
      <c r="D79" s="2263"/>
      <c r="E79" s="736"/>
      <c r="F79" s="736"/>
      <c r="G79" s="744">
        <v>3206015</v>
      </c>
      <c r="H79" s="745" t="s">
        <v>1023</v>
      </c>
      <c r="I79" s="744" t="s">
        <v>1024</v>
      </c>
      <c r="J79" s="745" t="s">
        <v>1023</v>
      </c>
      <c r="K79" s="753" t="s">
        <v>1025</v>
      </c>
      <c r="L79" s="754" t="s">
        <v>1026</v>
      </c>
      <c r="M79" s="753" t="s">
        <v>1025</v>
      </c>
      <c r="N79" s="754" t="s">
        <v>1026</v>
      </c>
      <c r="O79" s="101">
        <v>20</v>
      </c>
      <c r="P79" s="101">
        <v>0</v>
      </c>
      <c r="Q79" s="3384"/>
      <c r="R79" s="3732"/>
      <c r="S79" s="755">
        <f>X79/T77</f>
        <v>0.63559322033898302</v>
      </c>
      <c r="T79" s="3729"/>
      <c r="U79" s="3419"/>
      <c r="V79" s="2702"/>
      <c r="W79" s="236" t="s">
        <v>1027</v>
      </c>
      <c r="X79" s="756">
        <v>75000000</v>
      </c>
      <c r="Y79" s="757">
        <v>0</v>
      </c>
      <c r="Z79" s="757">
        <v>0</v>
      </c>
      <c r="AA79" s="346" t="s">
        <v>1028</v>
      </c>
      <c r="AB79" s="675">
        <v>20</v>
      </c>
      <c r="AC79" s="234" t="s">
        <v>734</v>
      </c>
      <c r="AD79" s="2742"/>
      <c r="AE79" s="2742"/>
      <c r="AF79" s="2742"/>
      <c r="AG79" s="2742"/>
      <c r="AH79" s="2742"/>
      <c r="AI79" s="2742"/>
      <c r="AJ79" s="2742"/>
      <c r="AK79" s="2742"/>
      <c r="AL79" s="2742"/>
      <c r="AM79" s="2742"/>
      <c r="AN79" s="2742"/>
      <c r="AO79" s="2742"/>
      <c r="AP79" s="2742"/>
      <c r="AQ79" s="2742"/>
      <c r="AR79" s="2742"/>
      <c r="AS79" s="2742"/>
      <c r="AT79" s="2742"/>
      <c r="AU79" s="2742"/>
      <c r="AV79" s="2742"/>
      <c r="AW79" s="2742"/>
      <c r="AX79" s="2742"/>
      <c r="AY79" s="2742"/>
      <c r="AZ79" s="2742"/>
      <c r="BA79" s="2742"/>
      <c r="BB79" s="2742"/>
      <c r="BC79" s="2742"/>
      <c r="BD79" s="2742"/>
      <c r="BE79" s="2742"/>
      <c r="BF79" s="2742"/>
      <c r="BG79" s="2742"/>
      <c r="BH79" s="2742"/>
      <c r="BI79" s="2742"/>
      <c r="BJ79" s="2742"/>
      <c r="BK79" s="3621"/>
      <c r="BL79" s="3621"/>
      <c r="BM79" s="2707"/>
      <c r="BN79" s="2742"/>
      <c r="BO79" s="2739"/>
      <c r="BP79" s="2742"/>
      <c r="BQ79" s="2687"/>
      <c r="BR79" s="2687"/>
      <c r="BS79" s="2687"/>
      <c r="BT79" s="2687"/>
      <c r="BU79" s="3491"/>
    </row>
    <row r="80" spans="1:73" ht="27" customHeight="1" x14ac:dyDescent="0.25">
      <c r="A80" s="758"/>
      <c r="B80" s="759"/>
      <c r="C80" s="759"/>
      <c r="D80" s="759"/>
      <c r="E80" s="759"/>
      <c r="F80" s="759"/>
      <c r="G80" s="759"/>
      <c r="H80" s="760"/>
      <c r="I80" s="759"/>
      <c r="J80" s="760"/>
      <c r="K80" s="759"/>
      <c r="L80" s="760"/>
      <c r="M80" s="759"/>
      <c r="N80" s="760"/>
      <c r="O80" s="759"/>
      <c r="P80" s="759"/>
      <c r="Q80" s="759"/>
      <c r="R80" s="760"/>
      <c r="S80" s="761"/>
      <c r="T80" s="583">
        <f>SUM(T10:T79)</f>
        <v>3854290501.6300001</v>
      </c>
      <c r="U80" s="762"/>
      <c r="V80" s="763"/>
      <c r="W80" s="107" t="s">
        <v>127</v>
      </c>
      <c r="X80" s="358">
        <f>SUM(X10:X79)</f>
        <v>3854290501.6300001</v>
      </c>
      <c r="Y80" s="358">
        <f t="shared" ref="Y80:Z80" si="0">SUM(Y10:Y79)</f>
        <v>1056367819</v>
      </c>
      <c r="Z80" s="358">
        <f t="shared" si="0"/>
        <v>463755832</v>
      </c>
      <c r="AA80" s="764"/>
      <c r="AB80" s="765"/>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759"/>
      <c r="AY80" s="759"/>
      <c r="AZ80" s="759"/>
      <c r="BA80" s="759"/>
      <c r="BB80" s="759"/>
      <c r="BC80" s="759"/>
      <c r="BD80" s="759"/>
      <c r="BE80" s="759"/>
      <c r="BF80" s="759"/>
      <c r="BG80" s="759"/>
      <c r="BH80" s="759"/>
      <c r="BI80" s="759"/>
      <c r="BJ80" s="766">
        <f>SUM(BJ13:BJ79)</f>
        <v>72</v>
      </c>
      <c r="BK80" s="358">
        <f>SUM(BK13:BK79)</f>
        <v>1056367819</v>
      </c>
      <c r="BL80" s="358">
        <f>SUM(BL13:BL79)</f>
        <v>463755832</v>
      </c>
      <c r="BM80" s="767"/>
      <c r="BN80" s="759"/>
      <c r="BO80" s="760"/>
      <c r="BP80" s="759"/>
      <c r="BQ80" s="768"/>
      <c r="BR80" s="768"/>
      <c r="BS80" s="768"/>
      <c r="BT80" s="768"/>
      <c r="BU80" s="769"/>
    </row>
    <row r="81" spans="24:74" ht="15" x14ac:dyDescent="0.25">
      <c r="X81" s="592"/>
      <c r="Y81" s="592"/>
      <c r="Z81" s="592"/>
      <c r="BR81" s="591"/>
      <c r="BS81" s="591"/>
      <c r="BT81" s="591"/>
      <c r="BU81" s="2"/>
      <c r="BV81" s="2"/>
    </row>
    <row r="82" spans="24:74" ht="15.75" x14ac:dyDescent="0.25">
      <c r="X82" s="441"/>
      <c r="Y82" s="770"/>
      <c r="Z82" s="770"/>
      <c r="BK82" s="771"/>
      <c r="BL82" s="771"/>
      <c r="BR82" s="591"/>
      <c r="BS82" s="591"/>
      <c r="BT82" s="591"/>
      <c r="BU82" s="2"/>
      <c r="BV82" s="2"/>
    </row>
    <row r="83" spans="24:74" ht="27" customHeight="1" x14ac:dyDescent="0.25">
      <c r="BK83" s="441"/>
      <c r="BL83" s="441"/>
      <c r="BR83" s="591"/>
      <c r="BS83" s="591"/>
      <c r="BT83" s="591"/>
      <c r="BU83" s="2"/>
      <c r="BV83" s="2"/>
    </row>
    <row r="84" spans="24:74" ht="27" customHeight="1" x14ac:dyDescent="0.25">
      <c r="BR84" s="591"/>
      <c r="BS84" s="591"/>
      <c r="BT84" s="591"/>
      <c r="BU84" s="2"/>
      <c r="BV84" s="2"/>
    </row>
    <row r="85" spans="24:74" ht="27" customHeight="1" x14ac:dyDescent="0.25">
      <c r="BR85" s="591"/>
      <c r="BS85" s="591"/>
      <c r="BT85" s="591"/>
      <c r="BU85" s="2"/>
      <c r="BV85" s="2"/>
    </row>
    <row r="86" spans="24:74" ht="27" customHeight="1" x14ac:dyDescent="0.25">
      <c r="BR86" s="591"/>
      <c r="BS86" s="591"/>
      <c r="BT86" s="591"/>
      <c r="BU86" s="2"/>
      <c r="BV86" s="2"/>
    </row>
    <row r="87" spans="24:74" ht="27" customHeight="1" x14ac:dyDescent="0.25">
      <c r="BR87" s="591"/>
      <c r="BS87" s="591"/>
      <c r="BT87" s="591"/>
      <c r="BU87" s="2"/>
      <c r="BV87" s="2"/>
    </row>
    <row r="88" spans="24:74" ht="27" customHeight="1" x14ac:dyDescent="0.25">
      <c r="BR88" s="591"/>
      <c r="BS88" s="591"/>
      <c r="BT88" s="591"/>
      <c r="BU88" s="2"/>
      <c r="BV88" s="2"/>
    </row>
    <row r="89" spans="24:74" ht="27" customHeight="1" x14ac:dyDescent="0.25">
      <c r="BR89" s="591"/>
      <c r="BS89" s="591"/>
      <c r="BT89" s="591"/>
      <c r="BU89" s="2"/>
      <c r="BV89" s="2"/>
    </row>
    <row r="90" spans="24:74" ht="27" customHeight="1" x14ac:dyDescent="0.25">
      <c r="BR90" s="591"/>
      <c r="BS90" s="591"/>
      <c r="BT90" s="591"/>
      <c r="BU90" s="2"/>
      <c r="BV90" s="2"/>
    </row>
    <row r="91" spans="24:74" ht="27" customHeight="1" x14ac:dyDescent="0.25">
      <c r="BR91" s="591"/>
      <c r="BS91" s="591"/>
      <c r="BT91" s="591"/>
      <c r="BU91" s="2"/>
      <c r="BV91" s="2"/>
    </row>
    <row r="92" spans="24:74" ht="27" customHeight="1" x14ac:dyDescent="0.25">
      <c r="BR92" s="591"/>
      <c r="BS92" s="591"/>
      <c r="BT92" s="591"/>
      <c r="BU92" s="2"/>
      <c r="BV92" s="2"/>
    </row>
    <row r="93" spans="24:74" ht="27" customHeight="1" x14ac:dyDescent="0.25">
      <c r="BR93" s="591"/>
      <c r="BS93" s="591"/>
      <c r="BT93" s="591"/>
      <c r="BU93" s="2"/>
      <c r="BV93" s="2"/>
    </row>
    <row r="94" spans="24:74" ht="27" customHeight="1" x14ac:dyDescent="0.25">
      <c r="BR94" s="591"/>
      <c r="BS94" s="591"/>
      <c r="BT94" s="591"/>
      <c r="BU94" s="2"/>
      <c r="BV94" s="2"/>
    </row>
    <row r="95" spans="24:74" ht="27" customHeight="1" x14ac:dyDescent="0.25">
      <c r="BR95" s="591"/>
      <c r="BS95" s="591"/>
      <c r="BT95" s="591"/>
      <c r="BU95" s="2"/>
      <c r="BV95" s="2"/>
    </row>
    <row r="96" spans="24:74" ht="27" customHeight="1" x14ac:dyDescent="0.25">
      <c r="BR96" s="591"/>
      <c r="BS96" s="591"/>
      <c r="BT96" s="591"/>
      <c r="BU96" s="2"/>
      <c r="BV96" s="2"/>
    </row>
    <row r="97" spans="70:74" ht="27" customHeight="1" x14ac:dyDescent="0.25">
      <c r="BR97" s="591"/>
      <c r="BS97" s="591"/>
      <c r="BT97" s="591"/>
      <c r="BU97" s="2"/>
      <c r="BV97" s="2"/>
    </row>
    <row r="98" spans="70:74" ht="27" customHeight="1" x14ac:dyDescent="0.25">
      <c r="BR98" s="591"/>
      <c r="BS98" s="591"/>
      <c r="BT98" s="591"/>
      <c r="BU98" s="2"/>
      <c r="BV98" s="2"/>
    </row>
    <row r="99" spans="70:74" ht="27" customHeight="1" x14ac:dyDescent="0.25">
      <c r="BR99" s="591"/>
      <c r="BS99" s="591"/>
      <c r="BT99" s="591"/>
      <c r="BU99" s="2"/>
      <c r="BV99" s="2"/>
    </row>
    <row r="100" spans="70:74" ht="27" customHeight="1" x14ac:dyDescent="0.25">
      <c r="BR100" s="591"/>
      <c r="BS100" s="591"/>
      <c r="BT100" s="591"/>
      <c r="BU100" s="2"/>
      <c r="BV100" s="2"/>
    </row>
    <row r="101" spans="70:74" ht="27" customHeight="1" x14ac:dyDescent="0.25">
      <c r="BR101" s="591"/>
      <c r="BS101" s="591"/>
      <c r="BT101" s="591"/>
      <c r="BU101" s="2"/>
      <c r="BV101" s="2"/>
    </row>
    <row r="102" spans="70:74" ht="27" customHeight="1" x14ac:dyDescent="0.25">
      <c r="BR102" s="591"/>
      <c r="BS102" s="591"/>
      <c r="BT102" s="591"/>
      <c r="BU102" s="2"/>
      <c r="BV102" s="2"/>
    </row>
    <row r="103" spans="70:74" ht="27" customHeight="1" x14ac:dyDescent="0.25">
      <c r="BR103" s="591"/>
      <c r="BS103" s="591"/>
      <c r="BT103" s="591"/>
      <c r="BU103" s="2"/>
      <c r="BV103" s="2"/>
    </row>
    <row r="104" spans="70:74" ht="27" customHeight="1" x14ac:dyDescent="0.25">
      <c r="BR104" s="591"/>
      <c r="BS104" s="591"/>
      <c r="BT104" s="591"/>
      <c r="BU104" s="2"/>
      <c r="BV104" s="2"/>
    </row>
    <row r="105" spans="70:74" ht="27" customHeight="1" x14ac:dyDescent="0.25">
      <c r="BR105" s="591"/>
      <c r="BS105" s="591"/>
      <c r="BT105" s="591"/>
      <c r="BU105" s="2"/>
      <c r="BV105" s="2"/>
    </row>
    <row r="106" spans="70:74" ht="27" customHeight="1" x14ac:dyDescent="0.25">
      <c r="BR106" s="591"/>
      <c r="BS106" s="591"/>
      <c r="BT106" s="591"/>
      <c r="BU106" s="2"/>
      <c r="BV106" s="2"/>
    </row>
    <row r="107" spans="70:74" ht="27" customHeight="1" x14ac:dyDescent="0.25">
      <c r="BR107" s="591"/>
      <c r="BS107" s="591"/>
      <c r="BT107" s="591"/>
      <c r="BU107" s="2"/>
      <c r="BV107" s="2"/>
    </row>
    <row r="108" spans="70:74" ht="27" customHeight="1" x14ac:dyDescent="0.25">
      <c r="BR108" s="591"/>
      <c r="BS108" s="591"/>
      <c r="BT108" s="591"/>
      <c r="BU108" s="2"/>
      <c r="BV108" s="2"/>
    </row>
    <row r="109" spans="70:74" ht="27" customHeight="1" x14ac:dyDescent="0.25">
      <c r="BR109" s="591"/>
      <c r="BS109" s="591"/>
      <c r="BT109" s="591"/>
      <c r="BU109" s="2"/>
      <c r="BV109" s="2"/>
    </row>
    <row r="110" spans="70:74" ht="27" customHeight="1" x14ac:dyDescent="0.25">
      <c r="BR110" s="591"/>
      <c r="BS110" s="591"/>
      <c r="BT110" s="591"/>
      <c r="BU110" s="2"/>
      <c r="BV110" s="2"/>
    </row>
    <row r="111" spans="70:74" ht="27" customHeight="1" x14ac:dyDescent="0.25">
      <c r="BR111" s="591"/>
      <c r="BS111" s="591"/>
      <c r="BT111" s="591"/>
      <c r="BU111" s="2"/>
      <c r="BV111" s="2"/>
    </row>
    <row r="112" spans="70:74" ht="27" customHeight="1" x14ac:dyDescent="0.25">
      <c r="BR112" s="591"/>
      <c r="BS112" s="591"/>
      <c r="BT112" s="591"/>
      <c r="BU112" s="2"/>
      <c r="BV112" s="2"/>
    </row>
    <row r="113" spans="70:74" ht="27" customHeight="1" x14ac:dyDescent="0.25">
      <c r="BR113" s="591"/>
      <c r="BS113" s="591"/>
      <c r="BT113" s="591"/>
      <c r="BU113" s="2"/>
      <c r="BV113" s="2"/>
    </row>
    <row r="114" spans="70:74" ht="27" customHeight="1" x14ac:dyDescent="0.25">
      <c r="BR114" s="591"/>
      <c r="BS114" s="591"/>
      <c r="BT114" s="591"/>
      <c r="BU114" s="2"/>
      <c r="BV114" s="2"/>
    </row>
    <row r="115" spans="70:74" ht="27" customHeight="1" x14ac:dyDescent="0.25">
      <c r="BR115" s="591"/>
      <c r="BS115" s="591"/>
      <c r="BT115" s="591"/>
      <c r="BU115" s="2"/>
      <c r="BV115" s="2"/>
    </row>
    <row r="116" spans="70:74" ht="27" customHeight="1" x14ac:dyDescent="0.25">
      <c r="BR116" s="591"/>
      <c r="BS116" s="591"/>
      <c r="BT116" s="591"/>
      <c r="BU116" s="2"/>
      <c r="BV116" s="2"/>
    </row>
    <row r="117" spans="70:74" ht="27" customHeight="1" x14ac:dyDescent="0.25">
      <c r="BR117" s="591"/>
      <c r="BS117" s="591"/>
      <c r="BT117" s="591"/>
      <c r="BU117" s="2"/>
      <c r="BV117" s="2"/>
    </row>
    <row r="118" spans="70:74" ht="27" customHeight="1" x14ac:dyDescent="0.25">
      <c r="BR118" s="591"/>
      <c r="BS118" s="591"/>
      <c r="BT118" s="591"/>
      <c r="BU118" s="2"/>
      <c r="BV118" s="2"/>
    </row>
    <row r="119" spans="70:74" ht="27" customHeight="1" x14ac:dyDescent="0.25">
      <c r="BR119" s="591"/>
      <c r="BS119" s="591"/>
      <c r="BT119" s="591"/>
      <c r="BU119" s="2"/>
      <c r="BV119" s="2"/>
    </row>
    <row r="120" spans="70:74" ht="27" customHeight="1" x14ac:dyDescent="0.25">
      <c r="BR120" s="591"/>
      <c r="BS120" s="591"/>
      <c r="BT120" s="591"/>
      <c r="BU120" s="2"/>
      <c r="BV120" s="2"/>
    </row>
    <row r="121" spans="70:74" ht="27" customHeight="1" x14ac:dyDescent="0.25">
      <c r="BR121" s="591"/>
      <c r="BS121" s="591"/>
      <c r="BT121" s="591"/>
      <c r="BU121" s="2"/>
      <c r="BV121" s="2"/>
    </row>
    <row r="122" spans="70:74" ht="27" customHeight="1" x14ac:dyDescent="0.25">
      <c r="BR122" s="591"/>
      <c r="BS122" s="591"/>
      <c r="BT122" s="591"/>
      <c r="BU122" s="2"/>
      <c r="BV122" s="2"/>
    </row>
    <row r="123" spans="70:74" ht="27" customHeight="1" x14ac:dyDescent="0.25">
      <c r="BR123" s="591"/>
      <c r="BS123" s="591"/>
      <c r="BT123" s="591"/>
      <c r="BU123" s="2"/>
      <c r="BV123" s="2"/>
    </row>
    <row r="124" spans="70:74" ht="27" customHeight="1" x14ac:dyDescent="0.25">
      <c r="BR124" s="591"/>
      <c r="BS124" s="591"/>
      <c r="BT124" s="591"/>
      <c r="BU124" s="2"/>
      <c r="BV124" s="2"/>
    </row>
    <row r="125" spans="70:74" ht="27" customHeight="1" x14ac:dyDescent="0.25">
      <c r="BR125" s="591"/>
      <c r="BS125" s="591"/>
      <c r="BT125" s="591"/>
      <c r="BU125" s="2"/>
      <c r="BV125" s="2"/>
    </row>
    <row r="126" spans="70:74" ht="27" customHeight="1" x14ac:dyDescent="0.25">
      <c r="BR126" s="591"/>
      <c r="BS126" s="591"/>
      <c r="BT126" s="591"/>
      <c r="BU126" s="2"/>
      <c r="BV126" s="2"/>
    </row>
    <row r="127" spans="70:74" ht="27" customHeight="1" x14ac:dyDescent="0.25">
      <c r="BR127" s="591"/>
      <c r="BS127" s="591"/>
      <c r="BT127" s="591"/>
      <c r="BU127" s="2"/>
      <c r="BV127" s="2"/>
    </row>
    <row r="128" spans="70:74" ht="27" customHeight="1" x14ac:dyDescent="0.25">
      <c r="BR128" s="591"/>
      <c r="BS128" s="591"/>
      <c r="BT128" s="591"/>
      <c r="BU128" s="2"/>
      <c r="BV128" s="2"/>
    </row>
    <row r="129" spans="70:74" ht="27" customHeight="1" x14ac:dyDescent="0.25">
      <c r="BR129" s="591"/>
      <c r="BS129" s="591"/>
      <c r="BT129" s="591"/>
      <c r="BU129" s="2"/>
      <c r="BV129" s="2"/>
    </row>
    <row r="130" spans="70:74" ht="27" customHeight="1" x14ac:dyDescent="0.25">
      <c r="BR130" s="591"/>
      <c r="BS130" s="591"/>
      <c r="BT130" s="591"/>
      <c r="BU130" s="2"/>
      <c r="BV130" s="2"/>
    </row>
    <row r="131" spans="70:74" ht="27" customHeight="1" x14ac:dyDescent="0.25">
      <c r="BR131" s="591"/>
      <c r="BS131" s="591"/>
      <c r="BT131" s="591"/>
      <c r="BU131" s="2"/>
      <c r="BV131" s="2"/>
    </row>
    <row r="132" spans="70:74" ht="27" customHeight="1" x14ac:dyDescent="0.25">
      <c r="BR132" s="591"/>
      <c r="BS132" s="591"/>
      <c r="BT132" s="591"/>
      <c r="BU132" s="2"/>
      <c r="BV132" s="2"/>
    </row>
    <row r="133" spans="70:74" ht="27" customHeight="1" x14ac:dyDescent="0.25">
      <c r="BR133" s="591"/>
      <c r="BS133" s="591"/>
      <c r="BT133" s="591"/>
      <c r="BU133" s="2"/>
      <c r="BV133" s="2"/>
    </row>
    <row r="134" spans="70:74" ht="27" customHeight="1" x14ac:dyDescent="0.25">
      <c r="BR134" s="591"/>
      <c r="BS134" s="591"/>
      <c r="BT134" s="591"/>
      <c r="BU134" s="2"/>
      <c r="BV134" s="2"/>
    </row>
    <row r="135" spans="70:74" ht="27" customHeight="1" x14ac:dyDescent="0.25">
      <c r="BR135" s="591"/>
      <c r="BS135" s="591"/>
      <c r="BT135" s="591"/>
      <c r="BU135" s="2"/>
      <c r="BV135" s="2"/>
    </row>
    <row r="136" spans="70:74" ht="27" customHeight="1" x14ac:dyDescent="0.25">
      <c r="BR136" s="591"/>
      <c r="BS136" s="591"/>
      <c r="BT136" s="591"/>
      <c r="BU136" s="2"/>
      <c r="BV136" s="2"/>
    </row>
    <row r="137" spans="70:74" ht="27" customHeight="1" x14ac:dyDescent="0.25">
      <c r="BR137" s="591"/>
      <c r="BS137" s="591"/>
      <c r="BT137" s="591"/>
      <c r="BU137" s="2"/>
      <c r="BV137" s="2"/>
    </row>
    <row r="138" spans="70:74" ht="27" customHeight="1" x14ac:dyDescent="0.25">
      <c r="BR138" s="591"/>
      <c r="BS138" s="591"/>
      <c r="BT138" s="591"/>
      <c r="BU138" s="2"/>
      <c r="BV138" s="2"/>
    </row>
    <row r="139" spans="70:74" ht="27" customHeight="1" x14ac:dyDescent="0.25">
      <c r="BR139" s="591"/>
      <c r="BS139" s="591"/>
      <c r="BT139" s="591"/>
      <c r="BU139" s="2"/>
      <c r="BV139" s="2"/>
    </row>
    <row r="140" spans="70:74" ht="27" customHeight="1" x14ac:dyDescent="0.25">
      <c r="BR140" s="591"/>
      <c r="BS140" s="591"/>
      <c r="BT140" s="591"/>
      <c r="BU140" s="2"/>
      <c r="BV140" s="2"/>
    </row>
    <row r="141" spans="70:74" ht="27" customHeight="1" x14ac:dyDescent="0.25">
      <c r="BR141" s="591"/>
      <c r="BS141" s="591"/>
      <c r="BT141" s="591"/>
      <c r="BU141" s="2"/>
      <c r="BV141" s="2"/>
    </row>
    <row r="142" spans="70:74" ht="27" customHeight="1" x14ac:dyDescent="0.25">
      <c r="BR142" s="591"/>
      <c r="BS142" s="591"/>
      <c r="BT142" s="591"/>
      <c r="BU142" s="2"/>
      <c r="BV142" s="2"/>
    </row>
    <row r="143" spans="70:74" ht="27" customHeight="1" x14ac:dyDescent="0.25">
      <c r="BR143" s="591"/>
      <c r="BS143" s="591"/>
      <c r="BT143" s="591"/>
      <c r="BU143" s="2"/>
      <c r="BV143" s="2"/>
    </row>
    <row r="144" spans="70:74" ht="27" customHeight="1" x14ac:dyDescent="0.25">
      <c r="BR144" s="591"/>
      <c r="BS144" s="591"/>
      <c r="BT144" s="591"/>
      <c r="BU144" s="2"/>
      <c r="BV144" s="2"/>
    </row>
    <row r="145" spans="70:74" ht="27" customHeight="1" x14ac:dyDescent="0.25">
      <c r="BR145" s="591"/>
      <c r="BS145" s="591"/>
      <c r="BT145" s="591"/>
      <c r="BU145" s="2"/>
      <c r="BV145" s="2"/>
    </row>
    <row r="146" spans="70:74" ht="27" customHeight="1" x14ac:dyDescent="0.25">
      <c r="BR146" s="591"/>
      <c r="BS146" s="591"/>
      <c r="BT146" s="591"/>
      <c r="BU146" s="2"/>
      <c r="BV146" s="2"/>
    </row>
    <row r="147" spans="70:74" ht="27" customHeight="1" x14ac:dyDescent="0.25">
      <c r="BR147" s="591"/>
      <c r="BS147" s="591"/>
      <c r="BT147" s="591"/>
      <c r="BU147" s="2"/>
      <c r="BV147" s="2"/>
    </row>
    <row r="148" spans="70:74" ht="27" customHeight="1" x14ac:dyDescent="0.25">
      <c r="BR148" s="591"/>
      <c r="BS148" s="591"/>
      <c r="BT148" s="591"/>
      <c r="BU148" s="2"/>
      <c r="BV148" s="2"/>
    </row>
    <row r="149" spans="70:74" ht="27" customHeight="1" x14ac:dyDescent="0.25">
      <c r="BR149" s="591"/>
      <c r="BS149" s="591"/>
      <c r="BT149" s="591"/>
      <c r="BU149" s="2"/>
      <c r="BV149" s="2"/>
    </row>
    <row r="150" spans="70:74" ht="27" customHeight="1" x14ac:dyDescent="0.25">
      <c r="BR150" s="591"/>
      <c r="BS150" s="591"/>
      <c r="BT150" s="591"/>
      <c r="BU150" s="2"/>
      <c r="BV150" s="2"/>
    </row>
    <row r="151" spans="70:74" ht="27" customHeight="1" x14ac:dyDescent="0.25">
      <c r="BR151" s="591"/>
      <c r="BS151" s="591"/>
      <c r="BT151" s="591"/>
      <c r="BU151" s="2"/>
      <c r="BV151" s="2"/>
    </row>
    <row r="152" spans="70:74" ht="27" customHeight="1" x14ac:dyDescent="0.25">
      <c r="BR152" s="591"/>
      <c r="BS152" s="591"/>
      <c r="BT152" s="591"/>
      <c r="BU152" s="2"/>
      <c r="BV152" s="2"/>
    </row>
    <row r="153" spans="70:74" ht="27" customHeight="1" x14ac:dyDescent="0.25">
      <c r="BR153" s="591"/>
      <c r="BS153" s="591"/>
      <c r="BT153" s="591"/>
      <c r="BU153" s="2"/>
      <c r="BV153" s="2"/>
    </row>
    <row r="154" spans="70:74" ht="27" customHeight="1" x14ac:dyDescent="0.25">
      <c r="BR154" s="591"/>
      <c r="BS154" s="591"/>
      <c r="BT154" s="591"/>
      <c r="BU154" s="2"/>
      <c r="BV154" s="2"/>
    </row>
    <row r="155" spans="70:74" ht="27" customHeight="1" x14ac:dyDescent="0.25">
      <c r="BR155" s="591"/>
      <c r="BS155" s="591"/>
      <c r="BT155" s="591"/>
      <c r="BU155" s="2"/>
      <c r="BV155" s="2"/>
    </row>
    <row r="156" spans="70:74" ht="27" customHeight="1" x14ac:dyDescent="0.25">
      <c r="BR156" s="591"/>
      <c r="BS156" s="591"/>
      <c r="BT156" s="591"/>
      <c r="BU156" s="2"/>
      <c r="BV156" s="2"/>
    </row>
    <row r="157" spans="70:74" ht="27" customHeight="1" x14ac:dyDescent="0.25">
      <c r="BR157" s="591"/>
      <c r="BS157" s="591"/>
      <c r="BT157" s="591"/>
      <c r="BU157" s="2"/>
      <c r="BV157" s="2"/>
    </row>
    <row r="158" spans="70:74" ht="27" customHeight="1" x14ac:dyDescent="0.25">
      <c r="BR158" s="591"/>
      <c r="BS158" s="591"/>
      <c r="BT158" s="591"/>
      <c r="BU158" s="2"/>
      <c r="BV158" s="2"/>
    </row>
    <row r="159" spans="70:74" ht="27" customHeight="1" x14ac:dyDescent="0.25">
      <c r="BR159" s="591"/>
      <c r="BS159" s="591"/>
      <c r="BT159" s="591"/>
      <c r="BU159" s="2"/>
      <c r="BV159" s="2"/>
    </row>
    <row r="160" spans="70:74" ht="27" customHeight="1" x14ac:dyDescent="0.25">
      <c r="BR160" s="591"/>
      <c r="BS160" s="591"/>
      <c r="BT160" s="591"/>
      <c r="BU160" s="2"/>
      <c r="BV160" s="2"/>
    </row>
    <row r="161" spans="70:74" ht="27" customHeight="1" x14ac:dyDescent="0.25">
      <c r="BR161" s="591"/>
      <c r="BS161" s="591"/>
      <c r="BT161" s="591"/>
      <c r="BU161" s="2"/>
      <c r="BV161" s="2"/>
    </row>
    <row r="162" spans="70:74" ht="27" customHeight="1" x14ac:dyDescent="0.25">
      <c r="BR162" s="591"/>
      <c r="BS162" s="591"/>
      <c r="BT162" s="591"/>
      <c r="BU162" s="2"/>
      <c r="BV162" s="2"/>
    </row>
    <row r="163" spans="70:74" ht="27" customHeight="1" x14ac:dyDescent="0.25">
      <c r="BR163" s="591"/>
      <c r="BS163" s="591"/>
      <c r="BT163" s="591"/>
      <c r="BU163" s="2"/>
      <c r="BV163" s="2"/>
    </row>
    <row r="164" spans="70:74" ht="27" customHeight="1" x14ac:dyDescent="0.25">
      <c r="BR164" s="591"/>
      <c r="BS164" s="591"/>
      <c r="BT164" s="591"/>
      <c r="BU164" s="2"/>
      <c r="BV164" s="2"/>
    </row>
    <row r="165" spans="70:74" ht="27" customHeight="1" x14ac:dyDescent="0.25">
      <c r="BR165" s="591"/>
      <c r="BS165" s="591"/>
      <c r="BT165" s="591"/>
      <c r="BU165" s="2"/>
      <c r="BV165" s="2"/>
    </row>
    <row r="166" spans="70:74" ht="27" customHeight="1" x14ac:dyDescent="0.25">
      <c r="BR166" s="591"/>
      <c r="BS166" s="591"/>
      <c r="BT166" s="591"/>
      <c r="BU166" s="2"/>
      <c r="BV166" s="2"/>
    </row>
    <row r="167" spans="70:74" ht="27" customHeight="1" x14ac:dyDescent="0.25">
      <c r="BR167" s="591"/>
      <c r="BS167" s="591"/>
      <c r="BT167" s="591"/>
      <c r="BU167" s="2"/>
      <c r="BV167" s="2"/>
    </row>
    <row r="168" spans="70:74" ht="27" customHeight="1" x14ac:dyDescent="0.25">
      <c r="BR168" s="591"/>
      <c r="BS168" s="591"/>
      <c r="BT168" s="591"/>
      <c r="BU168" s="2"/>
      <c r="BV168" s="2"/>
    </row>
    <row r="169" spans="70:74" ht="27" customHeight="1" x14ac:dyDescent="0.25">
      <c r="BR169" s="591"/>
      <c r="BS169" s="591"/>
      <c r="BT169" s="591"/>
      <c r="BU169" s="2"/>
      <c r="BV169" s="2"/>
    </row>
    <row r="170" spans="70:74" ht="27" customHeight="1" x14ac:dyDescent="0.25">
      <c r="BR170" s="591"/>
      <c r="BS170" s="591"/>
      <c r="BT170" s="591"/>
      <c r="BU170" s="2"/>
      <c r="BV170" s="2"/>
    </row>
    <row r="171" spans="70:74" ht="27" customHeight="1" x14ac:dyDescent="0.25">
      <c r="BR171" s="591"/>
      <c r="BS171" s="591"/>
      <c r="BT171" s="591"/>
      <c r="BU171" s="2"/>
      <c r="BV171" s="2"/>
    </row>
    <row r="172" spans="70:74" ht="27" customHeight="1" x14ac:dyDescent="0.25">
      <c r="BR172" s="591"/>
      <c r="BS172" s="591"/>
      <c r="BT172" s="591"/>
      <c r="BU172" s="2"/>
      <c r="BV172" s="2"/>
    </row>
    <row r="173" spans="70:74" ht="27" customHeight="1" x14ac:dyDescent="0.25">
      <c r="BR173" s="591"/>
      <c r="BS173" s="591"/>
      <c r="BT173" s="591"/>
      <c r="BU173" s="2"/>
      <c r="BV173" s="2"/>
    </row>
    <row r="174" spans="70:74" ht="27" customHeight="1" x14ac:dyDescent="0.25">
      <c r="BR174" s="591"/>
      <c r="BS174" s="591"/>
      <c r="BT174" s="591"/>
      <c r="BU174" s="2"/>
      <c r="BV174" s="2"/>
    </row>
    <row r="175" spans="70:74" ht="27" customHeight="1" x14ac:dyDescent="0.25">
      <c r="BR175" s="591"/>
      <c r="BS175" s="591"/>
      <c r="BT175" s="591"/>
      <c r="BU175" s="2"/>
      <c r="BV175" s="2"/>
    </row>
    <row r="176" spans="70:74" ht="27" customHeight="1" x14ac:dyDescent="0.25">
      <c r="BR176" s="591"/>
      <c r="BS176" s="591"/>
      <c r="BT176" s="591"/>
      <c r="BU176" s="2"/>
      <c r="BV176" s="2"/>
    </row>
    <row r="177" spans="70:74" ht="27" customHeight="1" x14ac:dyDescent="0.25">
      <c r="BR177" s="591"/>
      <c r="BS177" s="591"/>
      <c r="BT177" s="591"/>
      <c r="BU177" s="2"/>
      <c r="BV177" s="2"/>
    </row>
    <row r="178" spans="70:74" ht="27" customHeight="1" x14ac:dyDescent="0.25">
      <c r="BR178" s="591"/>
      <c r="BS178" s="591"/>
      <c r="BT178" s="591"/>
      <c r="BU178" s="2"/>
      <c r="BV178" s="2"/>
    </row>
    <row r="179" spans="70:74" ht="27" customHeight="1" x14ac:dyDescent="0.25">
      <c r="BR179" s="591"/>
      <c r="BS179" s="591"/>
      <c r="BT179" s="591"/>
      <c r="BU179" s="2"/>
      <c r="BV179" s="2"/>
    </row>
    <row r="180" spans="70:74" ht="27" customHeight="1" x14ac:dyDescent="0.25">
      <c r="BR180" s="591"/>
      <c r="BS180" s="591"/>
      <c r="BT180" s="591"/>
      <c r="BU180" s="2"/>
      <c r="BV180" s="2"/>
    </row>
    <row r="181" spans="70:74" ht="27" customHeight="1" x14ac:dyDescent="0.25">
      <c r="BR181" s="591"/>
      <c r="BS181" s="591"/>
      <c r="BT181" s="591"/>
      <c r="BU181" s="2"/>
      <c r="BV181" s="2"/>
    </row>
    <row r="182" spans="70:74" ht="27" customHeight="1" x14ac:dyDescent="0.25">
      <c r="BR182" s="591"/>
      <c r="BS182" s="591"/>
      <c r="BT182" s="591"/>
      <c r="BU182" s="2"/>
      <c r="BV182" s="2"/>
    </row>
    <row r="183" spans="70:74" ht="27" customHeight="1" x14ac:dyDescent="0.25">
      <c r="BR183" s="591"/>
      <c r="BS183" s="591"/>
      <c r="BT183" s="591"/>
      <c r="BU183" s="2"/>
      <c r="BV183" s="2"/>
    </row>
    <row r="184" spans="70:74" ht="27" customHeight="1" x14ac:dyDescent="0.25">
      <c r="BR184" s="591"/>
      <c r="BS184" s="591"/>
      <c r="BT184" s="591"/>
      <c r="BU184" s="2"/>
      <c r="BV184" s="2"/>
    </row>
    <row r="185" spans="70:74" ht="27" customHeight="1" x14ac:dyDescent="0.25">
      <c r="BR185" s="591"/>
      <c r="BS185" s="591"/>
      <c r="BT185" s="591"/>
      <c r="BU185" s="2"/>
      <c r="BV185" s="2"/>
    </row>
    <row r="186" spans="70:74" ht="27" customHeight="1" x14ac:dyDescent="0.25">
      <c r="BR186" s="591"/>
      <c r="BS186" s="591"/>
      <c r="BT186" s="591"/>
      <c r="BU186" s="2"/>
      <c r="BV186" s="2"/>
    </row>
    <row r="187" spans="70:74" ht="27" customHeight="1" x14ac:dyDescent="0.25">
      <c r="BR187" s="591"/>
      <c r="BS187" s="591"/>
      <c r="BT187" s="591"/>
      <c r="BU187" s="2"/>
      <c r="BV187" s="2"/>
    </row>
    <row r="188" spans="70:74" ht="27" customHeight="1" x14ac:dyDescent="0.25">
      <c r="BR188" s="591"/>
      <c r="BS188" s="591"/>
      <c r="BT188" s="591"/>
      <c r="BU188" s="2"/>
      <c r="BV188" s="2"/>
    </row>
    <row r="189" spans="70:74" ht="27" customHeight="1" x14ac:dyDescent="0.25">
      <c r="BR189" s="591"/>
      <c r="BS189" s="591"/>
      <c r="BT189" s="591"/>
      <c r="BU189" s="2"/>
      <c r="BV189" s="2"/>
    </row>
    <row r="190" spans="70:74" ht="27" customHeight="1" x14ac:dyDescent="0.25">
      <c r="BR190" s="591"/>
      <c r="BS190" s="591"/>
      <c r="BT190" s="591"/>
      <c r="BU190" s="2"/>
      <c r="BV190" s="2"/>
    </row>
    <row r="191" spans="70:74" ht="27" customHeight="1" x14ac:dyDescent="0.25">
      <c r="BR191" s="591"/>
      <c r="BS191" s="591"/>
      <c r="BT191" s="591"/>
      <c r="BU191" s="2"/>
      <c r="BV191" s="2"/>
    </row>
    <row r="192" spans="70:74" ht="27" customHeight="1" x14ac:dyDescent="0.25">
      <c r="BR192" s="591"/>
      <c r="BS192" s="591"/>
      <c r="BT192" s="591"/>
      <c r="BU192" s="2"/>
      <c r="BV192" s="2"/>
    </row>
    <row r="193" spans="70:74" ht="27" customHeight="1" x14ac:dyDescent="0.25">
      <c r="BR193" s="591"/>
      <c r="BS193" s="591"/>
      <c r="BT193" s="591"/>
      <c r="BU193" s="2"/>
      <c r="BV193" s="2"/>
    </row>
    <row r="194" spans="70:74" ht="27" customHeight="1" x14ac:dyDescent="0.25">
      <c r="BR194" s="591"/>
      <c r="BS194" s="591"/>
      <c r="BT194" s="591"/>
      <c r="BU194" s="2"/>
      <c r="BV194" s="2"/>
    </row>
    <row r="195" spans="70:74" ht="27" customHeight="1" x14ac:dyDescent="0.25">
      <c r="BR195" s="591"/>
      <c r="BS195" s="591"/>
      <c r="BT195" s="591"/>
      <c r="BU195" s="2"/>
      <c r="BV195" s="2"/>
    </row>
    <row r="196" spans="70:74" ht="27" customHeight="1" x14ac:dyDescent="0.25">
      <c r="BR196" s="591"/>
      <c r="BS196" s="591"/>
      <c r="BT196" s="591"/>
      <c r="BU196" s="2"/>
      <c r="BV196" s="2"/>
    </row>
    <row r="197" spans="70:74" ht="27" customHeight="1" x14ac:dyDescent="0.25">
      <c r="BR197" s="591"/>
      <c r="BS197" s="591"/>
      <c r="BT197" s="591"/>
      <c r="BU197" s="2"/>
      <c r="BV197" s="2"/>
    </row>
    <row r="198" spans="70:74" ht="27" customHeight="1" x14ac:dyDescent="0.25">
      <c r="BR198" s="591"/>
      <c r="BS198" s="591"/>
      <c r="BT198" s="591"/>
      <c r="BU198" s="2"/>
      <c r="BV198" s="2"/>
    </row>
    <row r="199" spans="70:74" ht="27" customHeight="1" x14ac:dyDescent="0.25">
      <c r="BR199" s="591"/>
      <c r="BS199" s="591"/>
      <c r="BT199" s="591"/>
      <c r="BU199" s="2"/>
      <c r="BV199" s="2"/>
    </row>
    <row r="200" spans="70:74" ht="27" customHeight="1" x14ac:dyDescent="0.25">
      <c r="BR200" s="591"/>
      <c r="BS200" s="591"/>
      <c r="BT200" s="591"/>
      <c r="BU200" s="2"/>
      <c r="BV200" s="2"/>
    </row>
    <row r="201" spans="70:74" ht="27" customHeight="1" x14ac:dyDescent="0.25">
      <c r="BR201" s="591"/>
      <c r="BS201" s="591"/>
      <c r="BT201" s="591"/>
      <c r="BU201" s="2"/>
      <c r="BV201" s="2"/>
    </row>
    <row r="202" spans="70:74" ht="27" customHeight="1" x14ac:dyDescent="0.25">
      <c r="BR202" s="591"/>
      <c r="BS202" s="591"/>
      <c r="BT202" s="591"/>
      <c r="BU202" s="2"/>
      <c r="BV202" s="2"/>
    </row>
    <row r="203" spans="70:74" ht="27" customHeight="1" x14ac:dyDescent="0.25">
      <c r="BR203" s="591"/>
      <c r="BS203" s="591"/>
      <c r="BT203" s="591"/>
      <c r="BU203" s="2"/>
      <c r="BV203" s="2"/>
    </row>
    <row r="204" spans="70:74" ht="27" customHeight="1" x14ac:dyDescent="0.25">
      <c r="BR204" s="591"/>
      <c r="BS204" s="591"/>
      <c r="BT204" s="591"/>
      <c r="BU204" s="2"/>
      <c r="BV204" s="2"/>
    </row>
    <row r="205" spans="70:74" ht="27" customHeight="1" x14ac:dyDescent="0.25">
      <c r="BR205" s="591"/>
      <c r="BS205" s="591"/>
      <c r="BT205" s="591"/>
      <c r="BU205" s="2"/>
      <c r="BV205" s="2"/>
    </row>
    <row r="206" spans="70:74" ht="27" customHeight="1" x14ac:dyDescent="0.25">
      <c r="BR206" s="591"/>
      <c r="BS206" s="591"/>
      <c r="BT206" s="591"/>
      <c r="BU206" s="2"/>
      <c r="BV206" s="2"/>
    </row>
    <row r="207" spans="70:74" ht="27" customHeight="1" x14ac:dyDescent="0.25">
      <c r="BR207" s="591"/>
      <c r="BS207" s="591"/>
      <c r="BT207" s="591"/>
      <c r="BU207" s="2"/>
      <c r="BV207" s="2"/>
    </row>
    <row r="208" spans="70:74" ht="27" customHeight="1" x14ac:dyDescent="0.25">
      <c r="BR208" s="591"/>
      <c r="BS208" s="591"/>
      <c r="BT208" s="591"/>
      <c r="BU208" s="2"/>
      <c r="BV208" s="2"/>
    </row>
    <row r="209" spans="70:74" ht="27" customHeight="1" x14ac:dyDescent="0.25">
      <c r="BR209" s="591"/>
      <c r="BS209" s="591"/>
      <c r="BT209" s="591"/>
      <c r="BU209" s="2"/>
      <c r="BV209" s="2"/>
    </row>
    <row r="210" spans="70:74" ht="27" customHeight="1" x14ac:dyDescent="0.25">
      <c r="BR210" s="591"/>
      <c r="BS210" s="591"/>
      <c r="BT210" s="591"/>
      <c r="BU210" s="2"/>
      <c r="BV210" s="2"/>
    </row>
    <row r="211" spans="70:74" ht="27" customHeight="1" x14ac:dyDescent="0.25">
      <c r="BR211" s="591"/>
      <c r="BS211" s="591"/>
      <c r="BT211" s="591"/>
      <c r="BU211" s="2"/>
      <c r="BV211" s="2"/>
    </row>
    <row r="212" spans="70:74" ht="27" customHeight="1" x14ac:dyDescent="0.25">
      <c r="BR212" s="591"/>
      <c r="BS212" s="591"/>
      <c r="BT212" s="591"/>
      <c r="BU212" s="2"/>
      <c r="BV212" s="2"/>
    </row>
    <row r="213" spans="70:74" ht="27" customHeight="1" x14ac:dyDescent="0.25">
      <c r="BR213" s="591"/>
      <c r="BS213" s="591"/>
      <c r="BT213" s="591"/>
      <c r="BU213" s="2"/>
      <c r="BV213" s="2"/>
    </row>
    <row r="214" spans="70:74" ht="27" customHeight="1" x14ac:dyDescent="0.25">
      <c r="BR214" s="591"/>
      <c r="BS214" s="591"/>
      <c r="BT214" s="591"/>
      <c r="BU214" s="2"/>
      <c r="BV214" s="2"/>
    </row>
    <row r="215" spans="70:74" ht="27" customHeight="1" x14ac:dyDescent="0.25">
      <c r="BR215" s="591"/>
      <c r="BS215" s="591"/>
      <c r="BT215" s="591"/>
      <c r="BU215" s="2"/>
      <c r="BV215" s="2"/>
    </row>
    <row r="216" spans="70:74" ht="27" customHeight="1" x14ac:dyDescent="0.25">
      <c r="BR216" s="591"/>
      <c r="BS216" s="591"/>
      <c r="BT216" s="591"/>
      <c r="BU216" s="2"/>
      <c r="BV216" s="2"/>
    </row>
    <row r="217" spans="70:74" ht="27" customHeight="1" x14ac:dyDescent="0.25">
      <c r="BR217" s="591"/>
      <c r="BS217" s="591"/>
      <c r="BT217" s="591"/>
      <c r="BU217" s="2"/>
      <c r="BV217" s="2"/>
    </row>
    <row r="218" spans="70:74" ht="27" customHeight="1" x14ac:dyDescent="0.25">
      <c r="BR218" s="591"/>
      <c r="BS218" s="591"/>
      <c r="BT218" s="591"/>
      <c r="BU218" s="2"/>
      <c r="BV218" s="2"/>
    </row>
    <row r="219" spans="70:74" ht="27" customHeight="1" x14ac:dyDescent="0.25">
      <c r="BR219" s="591"/>
      <c r="BS219" s="591"/>
      <c r="BT219" s="591"/>
      <c r="BU219" s="2"/>
      <c r="BV219" s="2"/>
    </row>
    <row r="220" spans="70:74" ht="27" customHeight="1" x14ac:dyDescent="0.25">
      <c r="BR220" s="591"/>
      <c r="BS220" s="591"/>
      <c r="BT220" s="591"/>
      <c r="BU220" s="2"/>
      <c r="BV220" s="2"/>
    </row>
    <row r="221" spans="70:74" ht="27" customHeight="1" x14ac:dyDescent="0.25">
      <c r="BR221" s="591"/>
      <c r="BS221" s="591"/>
      <c r="BT221" s="591"/>
      <c r="BU221" s="2"/>
      <c r="BV221" s="2"/>
    </row>
    <row r="222" spans="70:74" ht="27" customHeight="1" x14ac:dyDescent="0.25">
      <c r="BR222" s="591"/>
      <c r="BS222" s="591"/>
      <c r="BT222" s="591"/>
      <c r="BU222" s="2"/>
      <c r="BV222" s="2"/>
    </row>
    <row r="223" spans="70:74" ht="27" customHeight="1" x14ac:dyDescent="0.25">
      <c r="BR223" s="591"/>
      <c r="BS223" s="591"/>
      <c r="BT223" s="591"/>
      <c r="BU223" s="2"/>
      <c r="BV223" s="2"/>
    </row>
    <row r="224" spans="70:74" ht="27" customHeight="1" x14ac:dyDescent="0.25">
      <c r="BR224" s="591"/>
      <c r="BS224" s="591"/>
      <c r="BT224" s="591"/>
      <c r="BU224" s="2"/>
      <c r="BV224" s="2"/>
    </row>
    <row r="225" spans="70:74" ht="27" customHeight="1" x14ac:dyDescent="0.25">
      <c r="BR225" s="591"/>
      <c r="BS225" s="591"/>
      <c r="BT225" s="591"/>
      <c r="BU225" s="2"/>
      <c r="BV225" s="2"/>
    </row>
    <row r="226" spans="70:74" ht="27" customHeight="1" x14ac:dyDescent="0.25">
      <c r="BR226" s="591"/>
      <c r="BS226" s="591"/>
      <c r="BT226" s="591"/>
      <c r="BU226" s="2"/>
      <c r="BV226" s="2"/>
    </row>
    <row r="227" spans="70:74" ht="27" customHeight="1" x14ac:dyDescent="0.25">
      <c r="BR227" s="591"/>
      <c r="BS227" s="591"/>
      <c r="BT227" s="591"/>
      <c r="BU227" s="2"/>
      <c r="BV227" s="2"/>
    </row>
    <row r="228" spans="70:74" ht="27" customHeight="1" x14ac:dyDescent="0.25">
      <c r="BR228" s="591"/>
      <c r="BS228" s="591"/>
      <c r="BT228" s="591"/>
      <c r="BU228" s="2"/>
      <c r="BV228" s="2"/>
    </row>
    <row r="229" spans="70:74" ht="27" customHeight="1" x14ac:dyDescent="0.25">
      <c r="BR229" s="591"/>
      <c r="BS229" s="591"/>
      <c r="BT229" s="591"/>
      <c r="BU229" s="2"/>
      <c r="BV229" s="2"/>
    </row>
    <row r="230" spans="70:74" ht="27" customHeight="1" x14ac:dyDescent="0.25">
      <c r="BR230" s="591"/>
      <c r="BS230" s="591"/>
      <c r="BT230" s="591"/>
      <c r="BU230" s="2"/>
      <c r="BV230" s="2"/>
    </row>
    <row r="231" spans="70:74" ht="27" customHeight="1" x14ac:dyDescent="0.25">
      <c r="BR231" s="591"/>
      <c r="BS231" s="591"/>
      <c r="BT231" s="591"/>
      <c r="BU231" s="2"/>
      <c r="BV231" s="2"/>
    </row>
    <row r="232" spans="70:74" ht="27" customHeight="1" x14ac:dyDescent="0.25">
      <c r="BR232" s="591"/>
      <c r="BS232" s="591"/>
      <c r="BT232" s="591"/>
      <c r="BU232" s="2"/>
      <c r="BV232" s="2"/>
    </row>
    <row r="233" spans="70:74" ht="27" customHeight="1" x14ac:dyDescent="0.25">
      <c r="BR233" s="591"/>
      <c r="BS233" s="591"/>
      <c r="BT233" s="591"/>
      <c r="BU233" s="2"/>
      <c r="BV233" s="2"/>
    </row>
    <row r="234" spans="70:74" ht="27" customHeight="1" x14ac:dyDescent="0.25">
      <c r="BR234" s="591"/>
      <c r="BS234" s="591"/>
      <c r="BT234" s="591"/>
      <c r="BU234" s="2"/>
      <c r="BV234" s="2"/>
    </row>
    <row r="235" spans="70:74" ht="27" customHeight="1" x14ac:dyDescent="0.25">
      <c r="BR235" s="591"/>
      <c r="BS235" s="591"/>
      <c r="BT235" s="591"/>
      <c r="BU235" s="2"/>
      <c r="BV235" s="2"/>
    </row>
    <row r="236" spans="70:74" ht="27" customHeight="1" x14ac:dyDescent="0.25">
      <c r="BR236" s="591"/>
      <c r="BS236" s="591"/>
      <c r="BT236" s="591"/>
      <c r="BU236" s="2"/>
      <c r="BV236" s="2"/>
    </row>
    <row r="237" spans="70:74" ht="27" customHeight="1" x14ac:dyDescent="0.25">
      <c r="BR237" s="591"/>
      <c r="BS237" s="591"/>
      <c r="BT237" s="591"/>
      <c r="BU237" s="2"/>
      <c r="BV237" s="2"/>
    </row>
    <row r="238" spans="70:74" ht="27" customHeight="1" x14ac:dyDescent="0.25">
      <c r="BR238" s="591"/>
      <c r="BS238" s="591"/>
      <c r="BT238" s="591"/>
      <c r="BU238" s="2"/>
      <c r="BV238" s="2"/>
    </row>
    <row r="239" spans="70:74" ht="27" customHeight="1" x14ac:dyDescent="0.25">
      <c r="BR239" s="591"/>
      <c r="BS239" s="591"/>
      <c r="BT239" s="591"/>
      <c r="BU239" s="2"/>
      <c r="BV239" s="2"/>
    </row>
    <row r="240" spans="70:74" ht="27" customHeight="1" x14ac:dyDescent="0.25">
      <c r="BR240" s="591"/>
      <c r="BS240" s="591"/>
      <c r="BT240" s="591"/>
      <c r="BU240" s="2"/>
      <c r="BV240" s="2"/>
    </row>
    <row r="241" spans="70:74" ht="27" customHeight="1" x14ac:dyDescent="0.25">
      <c r="BR241" s="591"/>
      <c r="BS241" s="591"/>
      <c r="BT241" s="591"/>
      <c r="BU241" s="2"/>
      <c r="BV241" s="2"/>
    </row>
    <row r="242" spans="70:74" ht="27" customHeight="1" x14ac:dyDescent="0.25">
      <c r="BR242" s="591"/>
      <c r="BS242" s="591"/>
      <c r="BT242" s="591"/>
      <c r="BU242" s="2"/>
      <c r="BV242" s="2"/>
    </row>
    <row r="243" spans="70:74" ht="27" customHeight="1" x14ac:dyDescent="0.25">
      <c r="BR243" s="591"/>
      <c r="BS243" s="591"/>
      <c r="BT243" s="591"/>
      <c r="BU243" s="2"/>
      <c r="BV243" s="2"/>
    </row>
    <row r="244" spans="70:74" ht="27" customHeight="1" x14ac:dyDescent="0.25">
      <c r="BR244" s="591"/>
      <c r="BS244" s="591"/>
      <c r="BT244" s="591"/>
      <c r="BU244" s="2"/>
      <c r="BV244" s="2"/>
    </row>
    <row r="245" spans="70:74" ht="27" customHeight="1" x14ac:dyDescent="0.25">
      <c r="BR245" s="591"/>
      <c r="BS245" s="591"/>
      <c r="BT245" s="591"/>
      <c r="BU245" s="2"/>
      <c r="BV245" s="2"/>
    </row>
    <row r="246" spans="70:74" ht="27" customHeight="1" x14ac:dyDescent="0.25">
      <c r="BR246" s="591"/>
      <c r="BS246" s="591"/>
      <c r="BT246" s="591"/>
      <c r="BU246" s="2"/>
      <c r="BV246" s="2"/>
    </row>
    <row r="247" spans="70:74" ht="27" customHeight="1" x14ac:dyDescent="0.25">
      <c r="BR247" s="591"/>
      <c r="BS247" s="591"/>
      <c r="BT247" s="591"/>
      <c r="BU247" s="2"/>
      <c r="BV247" s="2"/>
    </row>
    <row r="248" spans="70:74" ht="27" customHeight="1" x14ac:dyDescent="0.25">
      <c r="BR248" s="591"/>
      <c r="BS248" s="591"/>
      <c r="BT248" s="591"/>
      <c r="BU248" s="2"/>
      <c r="BV248" s="2"/>
    </row>
    <row r="249" spans="70:74" ht="27" customHeight="1" x14ac:dyDescent="0.25">
      <c r="BR249" s="591"/>
      <c r="BS249" s="591"/>
      <c r="BT249" s="591"/>
      <c r="BU249" s="2"/>
      <c r="BV249" s="2"/>
    </row>
    <row r="250" spans="70:74" ht="27" customHeight="1" x14ac:dyDescent="0.25">
      <c r="BR250" s="591"/>
      <c r="BS250" s="591"/>
      <c r="BT250" s="591"/>
      <c r="BU250" s="2"/>
      <c r="BV250" s="2"/>
    </row>
    <row r="251" spans="70:74" ht="27" customHeight="1" x14ac:dyDescent="0.25">
      <c r="BR251" s="591"/>
      <c r="BS251" s="591"/>
      <c r="BT251" s="591"/>
      <c r="BU251" s="2"/>
      <c r="BV251" s="2"/>
    </row>
    <row r="252" spans="70:74" ht="27" customHeight="1" x14ac:dyDescent="0.25">
      <c r="BR252" s="591"/>
      <c r="BS252" s="591"/>
      <c r="BT252" s="591"/>
      <c r="BU252" s="2"/>
      <c r="BV252" s="2"/>
    </row>
    <row r="253" spans="70:74" ht="27" customHeight="1" x14ac:dyDescent="0.25">
      <c r="BR253" s="591"/>
      <c r="BS253" s="591"/>
      <c r="BT253" s="591"/>
      <c r="BU253" s="2"/>
      <c r="BV253" s="2"/>
    </row>
    <row r="254" spans="70:74" ht="27" customHeight="1" x14ac:dyDescent="0.25">
      <c r="BR254" s="591"/>
      <c r="BS254" s="591"/>
      <c r="BT254" s="591"/>
      <c r="BU254" s="2"/>
      <c r="BV254" s="2"/>
    </row>
    <row r="255" spans="70:74" ht="27" customHeight="1" x14ac:dyDescent="0.25">
      <c r="BR255" s="591"/>
      <c r="BS255" s="591"/>
      <c r="BT255" s="591"/>
      <c r="BU255" s="2"/>
      <c r="BV255" s="2"/>
    </row>
    <row r="256" spans="70:74" ht="27" customHeight="1" x14ac:dyDescent="0.25">
      <c r="BR256" s="591"/>
      <c r="BS256" s="591"/>
      <c r="BT256" s="591"/>
      <c r="BU256" s="2"/>
      <c r="BV256" s="2"/>
    </row>
    <row r="257" spans="70:74" ht="27" customHeight="1" x14ac:dyDescent="0.25">
      <c r="BR257" s="591"/>
      <c r="BS257" s="591"/>
      <c r="BT257" s="591"/>
      <c r="BU257" s="2"/>
      <c r="BV257" s="2"/>
    </row>
    <row r="258" spans="70:74" ht="27" customHeight="1" x14ac:dyDescent="0.25">
      <c r="BR258" s="591"/>
      <c r="BS258" s="591"/>
      <c r="BT258" s="591"/>
      <c r="BU258" s="2"/>
      <c r="BV258" s="2"/>
    </row>
    <row r="259" spans="70:74" ht="27" customHeight="1" x14ac:dyDescent="0.25">
      <c r="BR259" s="591"/>
      <c r="BS259" s="591"/>
      <c r="BT259" s="591"/>
      <c r="BU259" s="2"/>
      <c r="BV259" s="2"/>
    </row>
    <row r="260" spans="70:74" ht="27" customHeight="1" x14ac:dyDescent="0.25">
      <c r="BR260" s="591"/>
      <c r="BS260" s="591"/>
      <c r="BT260" s="591"/>
      <c r="BU260" s="2"/>
      <c r="BV260" s="2"/>
    </row>
    <row r="261" spans="70:74" ht="27" customHeight="1" x14ac:dyDescent="0.25">
      <c r="BR261" s="591"/>
      <c r="BS261" s="591"/>
      <c r="BT261" s="591"/>
      <c r="BU261" s="2"/>
      <c r="BV261" s="2"/>
    </row>
    <row r="262" spans="70:74" ht="27" customHeight="1" x14ac:dyDescent="0.25">
      <c r="BR262" s="591"/>
      <c r="BS262" s="591"/>
      <c r="BT262" s="591"/>
      <c r="BU262" s="2"/>
      <c r="BV262" s="2"/>
    </row>
    <row r="263" spans="70:74" ht="27" customHeight="1" x14ac:dyDescent="0.25">
      <c r="BR263" s="591"/>
      <c r="BS263" s="591"/>
      <c r="BT263" s="591"/>
      <c r="BU263" s="2"/>
      <c r="BV263" s="2"/>
    </row>
    <row r="264" spans="70:74" ht="27" customHeight="1" x14ac:dyDescent="0.25">
      <c r="BR264" s="591"/>
      <c r="BS264" s="591"/>
      <c r="BT264" s="591"/>
      <c r="BU264" s="2"/>
      <c r="BV264" s="2"/>
    </row>
    <row r="265" spans="70:74" ht="27" customHeight="1" x14ac:dyDescent="0.25">
      <c r="BR265" s="591"/>
      <c r="BS265" s="591"/>
      <c r="BT265" s="591"/>
      <c r="BU265" s="2"/>
      <c r="BV265" s="2"/>
    </row>
    <row r="266" spans="70:74" ht="27" customHeight="1" x14ac:dyDescent="0.25">
      <c r="BR266" s="591"/>
      <c r="BS266" s="591"/>
      <c r="BT266" s="591"/>
      <c r="BU266" s="2"/>
      <c r="BV266" s="2"/>
    </row>
    <row r="267" spans="70:74" ht="27" customHeight="1" x14ac:dyDescent="0.25">
      <c r="BR267" s="591"/>
      <c r="BS267" s="591"/>
      <c r="BT267" s="591"/>
      <c r="BU267" s="2"/>
      <c r="BV267" s="2"/>
    </row>
    <row r="268" spans="70:74" ht="27" customHeight="1" x14ac:dyDescent="0.25">
      <c r="BR268" s="591"/>
      <c r="BS268" s="591"/>
      <c r="BT268" s="591"/>
      <c r="BU268" s="2"/>
      <c r="BV268" s="2"/>
    </row>
    <row r="269" spans="70:74" ht="27" customHeight="1" x14ac:dyDescent="0.25">
      <c r="BR269" s="591"/>
      <c r="BS269" s="591"/>
      <c r="BT269" s="591"/>
      <c r="BU269" s="2"/>
      <c r="BV269" s="2"/>
    </row>
    <row r="270" spans="70:74" ht="27" customHeight="1" x14ac:dyDescent="0.25">
      <c r="BR270" s="591"/>
      <c r="BS270" s="591"/>
      <c r="BT270" s="591"/>
      <c r="BU270" s="2"/>
      <c r="BV270" s="2"/>
    </row>
    <row r="271" spans="70:74" ht="27" customHeight="1" x14ac:dyDescent="0.25">
      <c r="BR271" s="591"/>
      <c r="BS271" s="591"/>
      <c r="BT271" s="591"/>
      <c r="BU271" s="2"/>
      <c r="BV271" s="2"/>
    </row>
    <row r="272" spans="70:74" ht="27" customHeight="1" x14ac:dyDescent="0.25">
      <c r="BR272" s="591"/>
      <c r="BS272" s="591"/>
      <c r="BT272" s="591"/>
      <c r="BU272" s="2"/>
      <c r="BV272" s="2"/>
    </row>
    <row r="273" spans="70:74" ht="27" customHeight="1" x14ac:dyDescent="0.25">
      <c r="BR273" s="591"/>
      <c r="BS273" s="591"/>
      <c r="BT273" s="591"/>
      <c r="BU273" s="2"/>
      <c r="BV273" s="2"/>
    </row>
    <row r="274" spans="70:74" ht="27" customHeight="1" x14ac:dyDescent="0.25">
      <c r="BR274" s="591"/>
      <c r="BS274" s="591"/>
      <c r="BT274" s="591"/>
      <c r="BU274" s="2"/>
      <c r="BV274" s="2"/>
    </row>
    <row r="275" spans="70:74" ht="27" customHeight="1" x14ac:dyDescent="0.25">
      <c r="BR275" s="591"/>
      <c r="BS275" s="591"/>
      <c r="BT275" s="591"/>
      <c r="BU275" s="2"/>
      <c r="BV275" s="2"/>
    </row>
    <row r="276" spans="70:74" ht="27" customHeight="1" x14ac:dyDescent="0.25">
      <c r="BR276" s="591"/>
      <c r="BS276" s="591"/>
      <c r="BT276" s="591"/>
      <c r="BU276" s="2"/>
      <c r="BV276" s="2"/>
    </row>
    <row r="277" spans="70:74" ht="27" customHeight="1" x14ac:dyDescent="0.25">
      <c r="BR277" s="591"/>
      <c r="BS277" s="591"/>
      <c r="BT277" s="591"/>
      <c r="BU277" s="2"/>
      <c r="BV277" s="2"/>
    </row>
    <row r="278" spans="70:74" ht="27" customHeight="1" x14ac:dyDescent="0.25">
      <c r="BR278" s="591"/>
      <c r="BS278" s="591"/>
      <c r="BT278" s="591"/>
      <c r="BU278" s="2"/>
      <c r="BV278" s="2"/>
    </row>
    <row r="279" spans="70:74" ht="27" customHeight="1" x14ac:dyDescent="0.25">
      <c r="BR279" s="591"/>
      <c r="BS279" s="591"/>
      <c r="BT279" s="591"/>
      <c r="BU279" s="2"/>
      <c r="BV279" s="2"/>
    </row>
    <row r="280" spans="70:74" ht="27" customHeight="1" x14ac:dyDescent="0.25">
      <c r="BR280" s="591"/>
      <c r="BS280" s="591"/>
      <c r="BT280" s="591"/>
      <c r="BU280" s="2"/>
      <c r="BV280" s="2"/>
    </row>
    <row r="281" spans="70:74" ht="27" customHeight="1" x14ac:dyDescent="0.25">
      <c r="BR281" s="591"/>
      <c r="BS281" s="591"/>
      <c r="BT281" s="591"/>
      <c r="BU281" s="2"/>
      <c r="BV281" s="2"/>
    </row>
    <row r="282" spans="70:74" ht="27" customHeight="1" x14ac:dyDescent="0.25">
      <c r="BR282" s="591"/>
      <c r="BS282" s="591"/>
      <c r="BT282" s="591"/>
      <c r="BU282" s="2"/>
      <c r="BV282" s="2"/>
    </row>
    <row r="283" spans="70:74" ht="27" customHeight="1" x14ac:dyDescent="0.25">
      <c r="BR283" s="591"/>
      <c r="BS283" s="591"/>
      <c r="BT283" s="591"/>
      <c r="BU283" s="2"/>
      <c r="BV283" s="2"/>
    </row>
    <row r="284" spans="70:74" ht="27" customHeight="1" x14ac:dyDescent="0.25">
      <c r="BR284" s="591"/>
      <c r="BS284" s="591"/>
      <c r="BT284" s="591"/>
      <c r="BU284" s="2"/>
      <c r="BV284" s="2"/>
    </row>
    <row r="285" spans="70:74" ht="27" customHeight="1" x14ac:dyDescent="0.25">
      <c r="BR285" s="591"/>
      <c r="BS285" s="591"/>
      <c r="BT285" s="591"/>
      <c r="BU285" s="2"/>
      <c r="BV285" s="2"/>
    </row>
    <row r="286" spans="70:74" ht="27" customHeight="1" x14ac:dyDescent="0.25">
      <c r="BR286" s="591"/>
      <c r="BS286" s="591"/>
      <c r="BT286" s="591"/>
      <c r="BU286" s="2"/>
      <c r="BV286" s="2"/>
    </row>
    <row r="287" spans="70:74" ht="27" customHeight="1" x14ac:dyDescent="0.25">
      <c r="BR287" s="591"/>
      <c r="BS287" s="591"/>
      <c r="BT287" s="591"/>
      <c r="BU287" s="2"/>
      <c r="BV287" s="2"/>
    </row>
    <row r="288" spans="70:74" ht="27" customHeight="1" x14ac:dyDescent="0.25">
      <c r="BR288" s="591"/>
      <c r="BS288" s="591"/>
      <c r="BT288" s="591"/>
      <c r="BU288" s="2"/>
      <c r="BV288" s="2"/>
    </row>
    <row r="289" spans="70:74" ht="27" customHeight="1" x14ac:dyDescent="0.25">
      <c r="BR289" s="591"/>
      <c r="BS289" s="591"/>
      <c r="BT289" s="591"/>
      <c r="BU289" s="2"/>
      <c r="BV289" s="2"/>
    </row>
    <row r="290" spans="70:74" ht="27" customHeight="1" x14ac:dyDescent="0.25">
      <c r="BR290" s="591"/>
      <c r="BS290" s="591"/>
      <c r="BT290" s="591"/>
      <c r="BU290" s="2"/>
      <c r="BV290" s="2"/>
    </row>
    <row r="291" spans="70:74" ht="27" customHeight="1" x14ac:dyDescent="0.25">
      <c r="BR291" s="591"/>
      <c r="BS291" s="591"/>
      <c r="BT291" s="591"/>
      <c r="BU291" s="2"/>
      <c r="BV291" s="2"/>
    </row>
    <row r="292" spans="70:74" ht="27" customHeight="1" x14ac:dyDescent="0.25">
      <c r="BR292" s="591"/>
      <c r="BS292" s="591"/>
      <c r="BT292" s="591"/>
      <c r="BU292" s="2"/>
      <c r="BV292" s="2"/>
    </row>
    <row r="293" spans="70:74" ht="27" customHeight="1" x14ac:dyDescent="0.25">
      <c r="BR293" s="591"/>
      <c r="BS293" s="591"/>
      <c r="BT293" s="591"/>
      <c r="BU293" s="2"/>
      <c r="BV293" s="2"/>
    </row>
    <row r="294" spans="70:74" ht="27" customHeight="1" x14ac:dyDescent="0.25">
      <c r="BR294" s="591"/>
      <c r="BS294" s="591"/>
      <c r="BT294" s="591"/>
      <c r="BU294" s="2"/>
      <c r="BV294" s="2"/>
    </row>
    <row r="295" spans="70:74" ht="27" customHeight="1" x14ac:dyDescent="0.25">
      <c r="BR295" s="591"/>
      <c r="BS295" s="591"/>
      <c r="BT295" s="591"/>
      <c r="BU295" s="2"/>
      <c r="BV295" s="2"/>
    </row>
    <row r="296" spans="70:74" ht="27" customHeight="1" x14ac:dyDescent="0.25">
      <c r="BR296" s="591"/>
      <c r="BS296" s="591"/>
      <c r="BT296" s="591"/>
      <c r="BU296" s="2"/>
      <c r="BV296" s="2"/>
    </row>
    <row r="297" spans="70:74" ht="27" customHeight="1" x14ac:dyDescent="0.25">
      <c r="BR297" s="591"/>
      <c r="BS297" s="591"/>
      <c r="BT297" s="591"/>
      <c r="BU297" s="2"/>
      <c r="BV297" s="2"/>
    </row>
    <row r="298" spans="70:74" ht="27" customHeight="1" x14ac:dyDescent="0.25">
      <c r="BR298" s="591"/>
      <c r="BS298" s="591"/>
      <c r="BT298" s="591"/>
      <c r="BU298" s="2"/>
      <c r="BV298" s="2"/>
    </row>
    <row r="299" spans="70:74" ht="27" customHeight="1" x14ac:dyDescent="0.25">
      <c r="BR299" s="591"/>
      <c r="BS299" s="591"/>
      <c r="BT299" s="591"/>
      <c r="BU299" s="2"/>
      <c r="BV299" s="2"/>
    </row>
    <row r="300" spans="70:74" ht="27" customHeight="1" x14ac:dyDescent="0.25">
      <c r="BR300" s="591"/>
      <c r="BS300" s="591"/>
      <c r="BT300" s="591"/>
      <c r="BU300" s="2"/>
      <c r="BV300" s="2"/>
    </row>
    <row r="301" spans="70:74" ht="27" customHeight="1" x14ac:dyDescent="0.25">
      <c r="BR301" s="591"/>
      <c r="BS301" s="591"/>
      <c r="BT301" s="591"/>
      <c r="BU301" s="2"/>
      <c r="BV301" s="2"/>
    </row>
    <row r="302" spans="70:74" ht="27" customHeight="1" x14ac:dyDescent="0.25">
      <c r="BR302" s="591"/>
      <c r="BS302" s="591"/>
      <c r="BT302" s="591"/>
      <c r="BU302" s="2"/>
      <c r="BV302" s="2"/>
    </row>
    <row r="303" spans="70:74" ht="27" customHeight="1" x14ac:dyDescent="0.25">
      <c r="BR303" s="591"/>
      <c r="BS303" s="591"/>
      <c r="BT303" s="591"/>
      <c r="BU303" s="2"/>
      <c r="BV303" s="2"/>
    </row>
    <row r="304" spans="70:74" ht="27" customHeight="1" x14ac:dyDescent="0.25">
      <c r="BR304" s="591"/>
      <c r="BS304" s="591"/>
      <c r="BT304" s="591"/>
      <c r="BU304" s="2"/>
      <c r="BV304" s="2"/>
    </row>
    <row r="305" spans="70:74" ht="27" customHeight="1" x14ac:dyDescent="0.25">
      <c r="BR305" s="591"/>
      <c r="BS305" s="591"/>
      <c r="BT305" s="591"/>
      <c r="BU305" s="2"/>
      <c r="BV305" s="2"/>
    </row>
    <row r="306" spans="70:74" ht="27" customHeight="1" x14ac:dyDescent="0.25">
      <c r="BR306" s="591"/>
      <c r="BS306" s="591"/>
      <c r="BT306" s="591"/>
      <c r="BU306" s="2"/>
      <c r="BV306" s="2"/>
    </row>
    <row r="307" spans="70:74" ht="27" customHeight="1" x14ac:dyDescent="0.25">
      <c r="BR307" s="591"/>
      <c r="BS307" s="591"/>
      <c r="BT307" s="591"/>
      <c r="BU307" s="2"/>
      <c r="BV307" s="2"/>
    </row>
    <row r="308" spans="70:74" ht="27" customHeight="1" x14ac:dyDescent="0.25">
      <c r="BR308" s="591"/>
      <c r="BS308" s="591"/>
      <c r="BT308" s="591"/>
      <c r="BU308" s="2"/>
      <c r="BV308" s="2"/>
    </row>
    <row r="309" spans="70:74" ht="27" customHeight="1" x14ac:dyDescent="0.25">
      <c r="BR309" s="591"/>
      <c r="BS309" s="591"/>
      <c r="BT309" s="591"/>
      <c r="BU309" s="2"/>
      <c r="BV309" s="2"/>
    </row>
    <row r="310" spans="70:74" ht="27" customHeight="1" x14ac:dyDescent="0.25">
      <c r="BR310" s="591"/>
      <c r="BS310" s="591"/>
      <c r="BT310" s="591"/>
      <c r="BU310" s="2"/>
      <c r="BV310" s="2"/>
    </row>
    <row r="311" spans="70:74" ht="27" customHeight="1" x14ac:dyDescent="0.25">
      <c r="BR311" s="591"/>
      <c r="BS311" s="591"/>
      <c r="BT311" s="591"/>
      <c r="BU311" s="2"/>
      <c r="BV311" s="2"/>
    </row>
    <row r="312" spans="70:74" ht="27" customHeight="1" x14ac:dyDescent="0.25">
      <c r="BR312" s="591"/>
      <c r="BS312" s="591"/>
      <c r="BT312" s="591"/>
      <c r="BU312" s="2"/>
      <c r="BV312" s="2"/>
    </row>
    <row r="313" spans="70:74" ht="27" customHeight="1" x14ac:dyDescent="0.25">
      <c r="BR313" s="591"/>
      <c r="BS313" s="591"/>
      <c r="BT313" s="591"/>
      <c r="BU313" s="2"/>
      <c r="BV313" s="2"/>
    </row>
    <row r="314" spans="70:74" ht="27" customHeight="1" x14ac:dyDescent="0.25">
      <c r="BR314" s="591"/>
      <c r="BS314" s="591"/>
      <c r="BT314" s="591"/>
      <c r="BU314" s="2"/>
      <c r="BV314" s="2"/>
    </row>
    <row r="315" spans="70:74" ht="27" customHeight="1" x14ac:dyDescent="0.25">
      <c r="BR315" s="591"/>
      <c r="BS315" s="591"/>
      <c r="BT315" s="591"/>
      <c r="BU315" s="2"/>
      <c r="BV315" s="2"/>
    </row>
    <row r="316" spans="70:74" ht="27" customHeight="1" x14ac:dyDescent="0.25">
      <c r="BR316" s="591"/>
      <c r="BS316" s="591"/>
      <c r="BT316" s="591"/>
      <c r="BU316" s="2"/>
      <c r="BV316" s="2"/>
    </row>
    <row r="317" spans="70:74" ht="27" customHeight="1" x14ac:dyDescent="0.25">
      <c r="BR317" s="591"/>
      <c r="BS317" s="591"/>
      <c r="BT317" s="591"/>
      <c r="BU317" s="2"/>
      <c r="BV317" s="2"/>
    </row>
    <row r="318" spans="70:74" ht="27" customHeight="1" x14ac:dyDescent="0.25">
      <c r="BR318" s="591"/>
      <c r="BS318" s="591"/>
      <c r="BT318" s="591"/>
      <c r="BU318" s="2"/>
      <c r="BV318" s="2"/>
    </row>
    <row r="319" spans="70:74" ht="27" customHeight="1" x14ac:dyDescent="0.25">
      <c r="BR319" s="591"/>
      <c r="BS319" s="591"/>
      <c r="BT319" s="591"/>
      <c r="BU319" s="2"/>
      <c r="BV319" s="2"/>
    </row>
    <row r="320" spans="70:74" ht="27" customHeight="1" x14ac:dyDescent="0.25">
      <c r="BR320" s="591"/>
      <c r="BS320" s="591"/>
      <c r="BT320" s="591"/>
      <c r="BU320" s="2"/>
      <c r="BV320" s="2"/>
    </row>
    <row r="321" spans="70:74" ht="27" customHeight="1" x14ac:dyDescent="0.25">
      <c r="BR321" s="591"/>
      <c r="BS321" s="591"/>
      <c r="BT321" s="591"/>
      <c r="BU321" s="2"/>
      <c r="BV321" s="2"/>
    </row>
    <row r="322" spans="70:74" ht="27" customHeight="1" x14ac:dyDescent="0.25">
      <c r="BR322" s="591"/>
      <c r="BS322" s="591"/>
      <c r="BT322" s="591"/>
      <c r="BU322" s="2"/>
      <c r="BV322" s="2"/>
    </row>
    <row r="323" spans="70:74" ht="27" customHeight="1" x14ac:dyDescent="0.25">
      <c r="BR323" s="591"/>
      <c r="BS323" s="591"/>
      <c r="BT323" s="591"/>
      <c r="BU323" s="2"/>
      <c r="BV323" s="2"/>
    </row>
    <row r="324" spans="70:74" ht="27" customHeight="1" x14ac:dyDescent="0.25">
      <c r="BR324" s="591"/>
      <c r="BS324" s="591"/>
      <c r="BT324" s="591"/>
      <c r="BU324" s="2"/>
      <c r="BV324" s="2"/>
    </row>
    <row r="325" spans="70:74" ht="27" customHeight="1" x14ac:dyDescent="0.25">
      <c r="BR325" s="591"/>
      <c r="BS325" s="591"/>
      <c r="BT325" s="591"/>
      <c r="BU325" s="2"/>
      <c r="BV325" s="2"/>
    </row>
    <row r="326" spans="70:74" ht="27" customHeight="1" x14ac:dyDescent="0.25">
      <c r="BR326" s="591"/>
      <c r="BS326" s="591"/>
      <c r="BT326" s="591"/>
      <c r="BU326" s="2"/>
      <c r="BV326" s="2"/>
    </row>
    <row r="327" spans="70:74" ht="27" customHeight="1" x14ac:dyDescent="0.25">
      <c r="BR327" s="591"/>
      <c r="BS327" s="591"/>
      <c r="BT327" s="591"/>
      <c r="BU327" s="2"/>
      <c r="BV327" s="2"/>
    </row>
    <row r="328" spans="70:74" ht="27" customHeight="1" x14ac:dyDescent="0.25">
      <c r="BR328" s="591"/>
      <c r="BS328" s="591"/>
      <c r="BT328" s="591"/>
      <c r="BU328" s="2"/>
      <c r="BV328" s="2"/>
    </row>
    <row r="329" spans="70:74" ht="27" customHeight="1" x14ac:dyDescent="0.25">
      <c r="BR329" s="591"/>
      <c r="BS329" s="591"/>
      <c r="BT329" s="591"/>
      <c r="BU329" s="2"/>
      <c r="BV329" s="2"/>
    </row>
    <row r="330" spans="70:74" ht="27" customHeight="1" x14ac:dyDescent="0.25">
      <c r="BR330" s="591"/>
      <c r="BS330" s="591"/>
      <c r="BT330" s="591"/>
      <c r="BU330" s="2"/>
      <c r="BV330" s="2"/>
    </row>
    <row r="331" spans="70:74" ht="27" customHeight="1" x14ac:dyDescent="0.25">
      <c r="BR331" s="591"/>
      <c r="BS331" s="591"/>
      <c r="BT331" s="591"/>
      <c r="BU331" s="2"/>
      <c r="BV331" s="2"/>
    </row>
    <row r="332" spans="70:74" ht="27" customHeight="1" x14ac:dyDescent="0.25">
      <c r="BR332" s="591"/>
      <c r="BS332" s="591"/>
      <c r="BT332" s="591"/>
      <c r="BU332" s="2"/>
      <c r="BV332" s="2"/>
    </row>
    <row r="333" spans="70:74" ht="27" customHeight="1" x14ac:dyDescent="0.25">
      <c r="BR333" s="591"/>
      <c r="BS333" s="591"/>
      <c r="BT333" s="591"/>
      <c r="BU333" s="2"/>
      <c r="BV333" s="2"/>
    </row>
    <row r="334" spans="70:74" ht="27" customHeight="1" x14ac:dyDescent="0.25">
      <c r="BR334" s="591"/>
      <c r="BS334" s="591"/>
      <c r="BT334" s="591"/>
      <c r="BU334" s="2"/>
      <c r="BV334" s="2"/>
    </row>
    <row r="335" spans="70:74" ht="27" customHeight="1" x14ac:dyDescent="0.25">
      <c r="BR335" s="591"/>
      <c r="BS335" s="591"/>
      <c r="BT335" s="591"/>
      <c r="BU335" s="2"/>
      <c r="BV335" s="2"/>
    </row>
    <row r="336" spans="70:74" ht="27" customHeight="1" x14ac:dyDescent="0.25">
      <c r="BR336" s="591"/>
      <c r="BS336" s="591"/>
      <c r="BT336" s="591"/>
      <c r="BU336" s="2"/>
      <c r="BV336" s="2"/>
    </row>
    <row r="337" spans="70:74" ht="27" customHeight="1" x14ac:dyDescent="0.25">
      <c r="BR337" s="591"/>
      <c r="BS337" s="591"/>
      <c r="BT337" s="591"/>
      <c r="BU337" s="2"/>
      <c r="BV337" s="2"/>
    </row>
    <row r="338" spans="70:74" ht="27" customHeight="1" x14ac:dyDescent="0.25">
      <c r="BR338" s="591"/>
      <c r="BS338" s="591"/>
      <c r="BT338" s="591"/>
      <c r="BU338" s="2"/>
      <c r="BV338" s="2"/>
    </row>
    <row r="339" spans="70:74" ht="27" customHeight="1" x14ac:dyDescent="0.25">
      <c r="BR339" s="591"/>
      <c r="BS339" s="591"/>
      <c r="BT339" s="591"/>
      <c r="BU339" s="2"/>
      <c r="BV339" s="2"/>
    </row>
    <row r="340" spans="70:74" ht="27" customHeight="1" x14ac:dyDescent="0.25">
      <c r="BR340" s="591"/>
      <c r="BS340" s="591"/>
      <c r="BT340" s="591"/>
      <c r="BU340" s="2"/>
      <c r="BV340" s="2"/>
    </row>
    <row r="341" spans="70:74" ht="27" customHeight="1" x14ac:dyDescent="0.25">
      <c r="BR341" s="591"/>
      <c r="BS341" s="591"/>
      <c r="BT341" s="591"/>
      <c r="BU341" s="2"/>
      <c r="BV341" s="2"/>
    </row>
    <row r="342" spans="70:74" ht="27" customHeight="1" x14ac:dyDescent="0.25">
      <c r="BR342" s="591"/>
      <c r="BS342" s="591"/>
      <c r="BT342" s="591"/>
      <c r="BU342" s="2"/>
      <c r="BV342" s="2"/>
    </row>
    <row r="343" spans="70:74" ht="27" customHeight="1" x14ac:dyDescent="0.25">
      <c r="BR343" s="591"/>
      <c r="BS343" s="591"/>
      <c r="BT343" s="591"/>
      <c r="BU343" s="2"/>
      <c r="BV343" s="2"/>
    </row>
    <row r="344" spans="70:74" ht="27" customHeight="1" x14ac:dyDescent="0.25">
      <c r="BR344" s="591"/>
      <c r="BS344" s="591"/>
      <c r="BT344" s="591"/>
      <c r="BU344" s="2"/>
      <c r="BV344" s="2"/>
    </row>
    <row r="345" spans="70:74" ht="27" customHeight="1" x14ac:dyDescent="0.25">
      <c r="BR345" s="591"/>
      <c r="BS345" s="591"/>
      <c r="BT345" s="591"/>
      <c r="BU345" s="2"/>
      <c r="BV345" s="2"/>
    </row>
    <row r="346" spans="70:74" ht="27" customHeight="1" x14ac:dyDescent="0.25">
      <c r="BR346" s="591"/>
      <c r="BS346" s="591"/>
      <c r="BT346" s="591"/>
      <c r="BU346" s="2"/>
      <c r="BV346" s="2"/>
    </row>
    <row r="347" spans="70:74" ht="27" customHeight="1" x14ac:dyDescent="0.25">
      <c r="BR347" s="591"/>
      <c r="BS347" s="591"/>
      <c r="BT347" s="591"/>
      <c r="BU347" s="2"/>
      <c r="BV347" s="2"/>
    </row>
    <row r="348" spans="70:74" ht="27" customHeight="1" x14ac:dyDescent="0.25">
      <c r="BR348" s="591"/>
      <c r="BS348" s="591"/>
      <c r="BT348" s="591"/>
      <c r="BU348" s="2"/>
      <c r="BV348" s="2"/>
    </row>
    <row r="349" spans="70:74" ht="27" customHeight="1" x14ac:dyDescent="0.25">
      <c r="BR349" s="591"/>
      <c r="BS349" s="591"/>
      <c r="BT349" s="591"/>
      <c r="BU349" s="2"/>
      <c r="BV349" s="2"/>
    </row>
    <row r="350" spans="70:74" ht="27" customHeight="1" x14ac:dyDescent="0.25">
      <c r="BR350" s="591"/>
      <c r="BS350" s="591"/>
      <c r="BT350" s="591"/>
      <c r="BU350" s="2"/>
      <c r="BV350" s="2"/>
    </row>
    <row r="351" spans="70:74" ht="27" customHeight="1" x14ac:dyDescent="0.25">
      <c r="BR351" s="591"/>
      <c r="BS351" s="591"/>
      <c r="BT351" s="591"/>
      <c r="BU351" s="2"/>
      <c r="BV351" s="2"/>
    </row>
    <row r="352" spans="70:74" ht="27" customHeight="1" x14ac:dyDescent="0.25">
      <c r="BR352" s="591"/>
      <c r="BS352" s="591"/>
      <c r="BT352" s="591"/>
      <c r="BU352" s="2"/>
      <c r="BV352" s="2"/>
    </row>
    <row r="353" spans="70:74" ht="27" customHeight="1" x14ac:dyDescent="0.25">
      <c r="BR353" s="591"/>
      <c r="BS353" s="591"/>
      <c r="BT353" s="591"/>
      <c r="BU353" s="2"/>
      <c r="BV353" s="2"/>
    </row>
    <row r="354" spans="70:74" ht="27" customHeight="1" x14ac:dyDescent="0.25">
      <c r="BR354" s="591"/>
      <c r="BS354" s="591"/>
      <c r="BT354" s="591"/>
      <c r="BU354" s="2"/>
      <c r="BV354" s="2"/>
    </row>
    <row r="355" spans="70:74" ht="27" customHeight="1" x14ac:dyDescent="0.25">
      <c r="BR355" s="591"/>
      <c r="BS355" s="591"/>
      <c r="BT355" s="591"/>
      <c r="BU355" s="2"/>
      <c r="BV355" s="2"/>
    </row>
    <row r="356" spans="70:74" ht="27" customHeight="1" x14ac:dyDescent="0.25">
      <c r="BR356" s="591"/>
      <c r="BS356" s="591"/>
      <c r="BT356" s="591"/>
      <c r="BU356" s="2"/>
      <c r="BV356" s="2"/>
    </row>
    <row r="357" spans="70:74" ht="27" customHeight="1" x14ac:dyDescent="0.25">
      <c r="BR357" s="591"/>
      <c r="BS357" s="591"/>
      <c r="BT357" s="591"/>
      <c r="BU357" s="2"/>
      <c r="BV357" s="2"/>
    </row>
    <row r="358" spans="70:74" ht="27" customHeight="1" x14ac:dyDescent="0.25">
      <c r="BR358" s="591"/>
      <c r="BS358" s="591"/>
      <c r="BT358" s="591"/>
      <c r="BU358" s="2"/>
      <c r="BV358" s="2"/>
    </row>
    <row r="359" spans="70:74" ht="27" customHeight="1" x14ac:dyDescent="0.25">
      <c r="BR359" s="591"/>
      <c r="BS359" s="591"/>
      <c r="BT359" s="591"/>
      <c r="BU359" s="2"/>
      <c r="BV359" s="2"/>
    </row>
    <row r="360" spans="70:74" ht="27" customHeight="1" x14ac:dyDescent="0.25">
      <c r="BR360" s="591"/>
      <c r="BS360" s="591"/>
      <c r="BT360" s="591"/>
      <c r="BU360" s="2"/>
      <c r="BV360" s="2"/>
    </row>
    <row r="361" spans="70:74" ht="27" customHeight="1" x14ac:dyDescent="0.25">
      <c r="BR361" s="591"/>
      <c r="BS361" s="591"/>
      <c r="BT361" s="591"/>
      <c r="BU361" s="2"/>
      <c r="BV361" s="2"/>
    </row>
    <row r="362" spans="70:74" ht="27" customHeight="1" x14ac:dyDescent="0.25">
      <c r="BR362" s="591"/>
      <c r="BS362" s="591"/>
      <c r="BT362" s="591"/>
      <c r="BU362" s="2"/>
      <c r="BV362" s="2"/>
    </row>
    <row r="363" spans="70:74" ht="27" customHeight="1" x14ac:dyDescent="0.25">
      <c r="BR363" s="591"/>
      <c r="BS363" s="591"/>
      <c r="BT363" s="591"/>
      <c r="BU363" s="2"/>
      <c r="BV363" s="2"/>
    </row>
    <row r="364" spans="70:74" ht="27" customHeight="1" x14ac:dyDescent="0.25">
      <c r="BR364" s="591"/>
      <c r="BS364" s="591"/>
      <c r="BT364" s="591"/>
      <c r="BU364" s="2"/>
      <c r="BV364" s="2"/>
    </row>
    <row r="365" spans="70:74" ht="27" customHeight="1" x14ac:dyDescent="0.25">
      <c r="BR365" s="591"/>
      <c r="BS365" s="591"/>
      <c r="BT365" s="591"/>
      <c r="BU365" s="2"/>
      <c r="BV365" s="2"/>
    </row>
    <row r="366" spans="70:74" ht="27" customHeight="1" x14ac:dyDescent="0.25">
      <c r="BR366" s="591"/>
      <c r="BS366" s="591"/>
      <c r="BT366" s="591"/>
      <c r="BU366" s="2"/>
      <c r="BV366" s="2"/>
    </row>
    <row r="367" spans="70:74" ht="27" customHeight="1" x14ac:dyDescent="0.25">
      <c r="BR367" s="591"/>
      <c r="BS367" s="591"/>
      <c r="BT367" s="591"/>
      <c r="BU367" s="2"/>
      <c r="BV367" s="2"/>
    </row>
    <row r="368" spans="70:74" ht="27" customHeight="1" x14ac:dyDescent="0.25">
      <c r="BR368" s="591"/>
      <c r="BS368" s="591"/>
      <c r="BT368" s="591"/>
      <c r="BU368" s="2"/>
      <c r="BV368" s="2"/>
    </row>
    <row r="369" spans="70:74" ht="27" customHeight="1" x14ac:dyDescent="0.25">
      <c r="BR369" s="591"/>
      <c r="BS369" s="591"/>
      <c r="BT369" s="591"/>
      <c r="BU369" s="2"/>
      <c r="BV369" s="2"/>
    </row>
    <row r="370" spans="70:74" ht="27" customHeight="1" x14ac:dyDescent="0.25">
      <c r="BR370" s="591"/>
      <c r="BS370" s="591"/>
      <c r="BT370" s="591"/>
      <c r="BU370" s="2"/>
      <c r="BV370" s="2"/>
    </row>
    <row r="371" spans="70:74" ht="27" customHeight="1" x14ac:dyDescent="0.25">
      <c r="BR371" s="591"/>
      <c r="BS371" s="591"/>
      <c r="BT371" s="591"/>
      <c r="BU371" s="2"/>
      <c r="BV371" s="2"/>
    </row>
    <row r="372" spans="70:74" ht="27" customHeight="1" x14ac:dyDescent="0.25">
      <c r="BR372" s="591"/>
      <c r="BS372" s="591"/>
      <c r="BT372" s="591"/>
      <c r="BU372" s="2"/>
      <c r="BV372" s="2"/>
    </row>
    <row r="373" spans="70:74" ht="27" customHeight="1" x14ac:dyDescent="0.25">
      <c r="BR373" s="591"/>
      <c r="BS373" s="591"/>
      <c r="BT373" s="591"/>
      <c r="BU373" s="2"/>
      <c r="BV373" s="2"/>
    </row>
    <row r="374" spans="70:74" ht="27" customHeight="1" x14ac:dyDescent="0.25">
      <c r="BR374" s="591"/>
      <c r="BS374" s="591"/>
      <c r="BT374" s="591"/>
      <c r="BU374" s="2"/>
      <c r="BV374" s="2"/>
    </row>
    <row r="375" spans="70:74" ht="27" customHeight="1" x14ac:dyDescent="0.25">
      <c r="BR375" s="591"/>
      <c r="BS375" s="591"/>
      <c r="BT375" s="591"/>
      <c r="BU375" s="2"/>
      <c r="BV375" s="2"/>
    </row>
    <row r="376" spans="70:74" ht="27" customHeight="1" x14ac:dyDescent="0.25">
      <c r="BR376" s="591"/>
      <c r="BS376" s="591"/>
      <c r="BT376" s="591"/>
      <c r="BU376" s="2"/>
      <c r="BV376" s="2"/>
    </row>
    <row r="377" spans="70:74" ht="27" customHeight="1" x14ac:dyDescent="0.25">
      <c r="BR377" s="591"/>
      <c r="BS377" s="591"/>
      <c r="BT377" s="591"/>
      <c r="BU377" s="2"/>
      <c r="BV377" s="2"/>
    </row>
    <row r="378" spans="70:74" ht="27" customHeight="1" x14ac:dyDescent="0.25">
      <c r="BR378" s="591"/>
      <c r="BS378" s="591"/>
      <c r="BT378" s="591"/>
      <c r="BU378" s="2"/>
      <c r="BV378" s="2"/>
    </row>
    <row r="379" spans="70:74" ht="27" customHeight="1" x14ac:dyDescent="0.25">
      <c r="BR379" s="591"/>
      <c r="BS379" s="591"/>
      <c r="BT379" s="591"/>
      <c r="BU379" s="2"/>
      <c r="BV379" s="2"/>
    </row>
    <row r="380" spans="70:74" ht="27" customHeight="1" x14ac:dyDescent="0.25">
      <c r="BR380" s="591"/>
      <c r="BS380" s="591"/>
      <c r="BT380" s="591"/>
      <c r="BU380" s="2"/>
      <c r="BV380" s="2"/>
    </row>
    <row r="381" spans="70:74" ht="27" customHeight="1" x14ac:dyDescent="0.25">
      <c r="BR381" s="591"/>
      <c r="BS381" s="591"/>
      <c r="BT381" s="591"/>
      <c r="BU381" s="2"/>
      <c r="BV381" s="2"/>
    </row>
    <row r="382" spans="70:74" ht="27" customHeight="1" x14ac:dyDescent="0.25">
      <c r="BR382" s="591"/>
      <c r="BS382" s="591"/>
      <c r="BT382" s="591"/>
      <c r="BU382" s="2"/>
      <c r="BV382" s="2"/>
    </row>
    <row r="383" spans="70:74" ht="27" customHeight="1" x14ac:dyDescent="0.25">
      <c r="BR383" s="591"/>
      <c r="BS383" s="591"/>
      <c r="BT383" s="591"/>
      <c r="BU383" s="2"/>
      <c r="BV383" s="2"/>
    </row>
    <row r="384" spans="70:74" ht="27" customHeight="1" x14ac:dyDescent="0.25">
      <c r="BR384" s="591"/>
      <c r="BS384" s="591"/>
      <c r="BT384" s="591"/>
      <c r="BU384" s="2"/>
      <c r="BV384" s="2"/>
    </row>
    <row r="385" spans="70:74" ht="27" customHeight="1" x14ac:dyDescent="0.25">
      <c r="BR385" s="591"/>
      <c r="BS385" s="591"/>
      <c r="BT385" s="591"/>
      <c r="BU385" s="2"/>
      <c r="BV385" s="2"/>
    </row>
    <row r="386" spans="70:74" ht="27" customHeight="1" x14ac:dyDescent="0.25">
      <c r="BR386" s="591"/>
      <c r="BS386" s="591"/>
      <c r="BT386" s="591"/>
      <c r="BU386" s="2"/>
      <c r="BV386" s="2"/>
    </row>
    <row r="387" spans="70:74" ht="27" customHeight="1" x14ac:dyDescent="0.25">
      <c r="BR387" s="591"/>
      <c r="BS387" s="591"/>
      <c r="BT387" s="591"/>
      <c r="BU387" s="2"/>
      <c r="BV387" s="2"/>
    </row>
    <row r="388" spans="70:74" ht="27" customHeight="1" x14ac:dyDescent="0.25">
      <c r="BR388" s="591"/>
      <c r="BS388" s="591"/>
      <c r="BT388" s="591"/>
      <c r="BU388" s="2"/>
      <c r="BV388" s="2"/>
    </row>
    <row r="389" spans="70:74" ht="27" customHeight="1" x14ac:dyDescent="0.25">
      <c r="BR389" s="591"/>
      <c r="BS389" s="591"/>
      <c r="BT389" s="591"/>
      <c r="BU389" s="2"/>
      <c r="BV389" s="2"/>
    </row>
    <row r="390" spans="70:74" ht="27" customHeight="1" x14ac:dyDescent="0.25">
      <c r="BR390" s="591"/>
      <c r="BS390" s="591"/>
      <c r="BT390" s="591"/>
      <c r="BU390" s="2"/>
      <c r="BV390" s="2"/>
    </row>
    <row r="391" spans="70:74" ht="27" customHeight="1" x14ac:dyDescent="0.25">
      <c r="BR391" s="591"/>
      <c r="BS391" s="591"/>
      <c r="BT391" s="591"/>
      <c r="BU391" s="2"/>
      <c r="BV391" s="2"/>
    </row>
    <row r="392" spans="70:74" ht="27" customHeight="1" x14ac:dyDescent="0.25">
      <c r="BR392" s="591"/>
      <c r="BS392" s="591"/>
      <c r="BT392" s="591"/>
      <c r="BU392" s="2"/>
      <c r="BV392" s="2"/>
    </row>
    <row r="393" spans="70:74" ht="27" customHeight="1" x14ac:dyDescent="0.25">
      <c r="BR393" s="591"/>
      <c r="BS393" s="591"/>
      <c r="BT393" s="591"/>
      <c r="BU393" s="2"/>
      <c r="BV393" s="2"/>
    </row>
    <row r="394" spans="70:74" ht="27" customHeight="1" x14ac:dyDescent="0.25">
      <c r="BR394" s="591"/>
      <c r="BS394" s="591"/>
      <c r="BT394" s="591"/>
      <c r="BU394" s="2"/>
      <c r="BV394" s="2"/>
    </row>
    <row r="395" spans="70:74" ht="27" customHeight="1" x14ac:dyDescent="0.25">
      <c r="BR395" s="591"/>
      <c r="BS395" s="591"/>
      <c r="BT395" s="591"/>
      <c r="BU395" s="2"/>
      <c r="BV395" s="2"/>
    </row>
    <row r="396" spans="70:74" ht="27" customHeight="1" x14ac:dyDescent="0.25">
      <c r="BR396" s="591"/>
      <c r="BS396" s="591"/>
      <c r="BT396" s="591"/>
      <c r="BU396" s="2"/>
      <c r="BV396" s="2"/>
    </row>
    <row r="397" spans="70:74" ht="27" customHeight="1" x14ac:dyDescent="0.25">
      <c r="BR397" s="591"/>
      <c r="BS397" s="591"/>
      <c r="BT397" s="591"/>
      <c r="BU397" s="2"/>
      <c r="BV397" s="2"/>
    </row>
    <row r="398" spans="70:74" ht="27" customHeight="1" x14ac:dyDescent="0.25">
      <c r="BR398" s="591"/>
      <c r="BS398" s="591"/>
      <c r="BT398" s="591"/>
      <c r="BU398" s="2"/>
      <c r="BV398" s="2"/>
    </row>
    <row r="399" spans="70:74" ht="27" customHeight="1" x14ac:dyDescent="0.25">
      <c r="BR399" s="591"/>
      <c r="BS399" s="591"/>
      <c r="BT399" s="591"/>
      <c r="BU399" s="2"/>
      <c r="BV399" s="2"/>
    </row>
    <row r="400" spans="70:74" ht="27" customHeight="1" x14ac:dyDescent="0.25">
      <c r="BR400" s="591"/>
      <c r="BS400" s="591"/>
      <c r="BT400" s="591"/>
      <c r="BU400" s="2"/>
      <c r="BV400" s="2"/>
    </row>
    <row r="401" spans="70:74" ht="27" customHeight="1" x14ac:dyDescent="0.25">
      <c r="BR401" s="591"/>
      <c r="BS401" s="591"/>
      <c r="BT401" s="591"/>
      <c r="BU401" s="2"/>
      <c r="BV401" s="2"/>
    </row>
    <row r="402" spans="70:74" ht="27" customHeight="1" x14ac:dyDescent="0.25">
      <c r="BR402" s="591"/>
      <c r="BS402" s="591"/>
      <c r="BT402" s="591"/>
      <c r="BU402" s="2"/>
      <c r="BV402" s="2"/>
    </row>
    <row r="403" spans="70:74" ht="27" customHeight="1" x14ac:dyDescent="0.25">
      <c r="BR403" s="591"/>
      <c r="BS403" s="591"/>
      <c r="BT403" s="591"/>
      <c r="BU403" s="2"/>
      <c r="BV403" s="2"/>
    </row>
    <row r="404" spans="70:74" ht="27" customHeight="1" x14ac:dyDescent="0.25">
      <c r="BR404" s="591"/>
      <c r="BS404" s="591"/>
      <c r="BT404" s="591"/>
      <c r="BU404" s="2"/>
      <c r="BV404" s="2"/>
    </row>
    <row r="405" spans="70:74" ht="27" customHeight="1" x14ac:dyDescent="0.25">
      <c r="BR405" s="591"/>
      <c r="BS405" s="591"/>
      <c r="BT405" s="591"/>
      <c r="BU405" s="2"/>
      <c r="BV405" s="2"/>
    </row>
    <row r="406" spans="70:74" ht="27" customHeight="1" x14ac:dyDescent="0.25">
      <c r="BR406" s="591"/>
      <c r="BS406" s="591"/>
      <c r="BT406" s="591"/>
      <c r="BU406" s="2"/>
      <c r="BV406" s="2"/>
    </row>
    <row r="407" spans="70:74" ht="27" customHeight="1" x14ac:dyDescent="0.25">
      <c r="BR407" s="591"/>
      <c r="BS407" s="591"/>
      <c r="BT407" s="591"/>
      <c r="BU407" s="2"/>
      <c r="BV407" s="2"/>
    </row>
    <row r="408" spans="70:74" ht="27" customHeight="1" x14ac:dyDescent="0.25">
      <c r="BR408" s="591"/>
      <c r="BS408" s="591"/>
      <c r="BT408" s="591"/>
      <c r="BU408" s="2"/>
      <c r="BV408" s="2"/>
    </row>
    <row r="409" spans="70:74" ht="27" customHeight="1" x14ac:dyDescent="0.25">
      <c r="BR409" s="591"/>
      <c r="BS409" s="591"/>
      <c r="BT409" s="591"/>
      <c r="BU409" s="2"/>
      <c r="BV409" s="2"/>
    </row>
    <row r="410" spans="70:74" ht="27" customHeight="1" x14ac:dyDescent="0.25">
      <c r="BR410" s="591"/>
      <c r="BS410" s="591"/>
      <c r="BT410" s="591"/>
      <c r="BU410" s="2"/>
      <c r="BV410" s="2"/>
    </row>
    <row r="411" spans="70:74" ht="27" customHeight="1" x14ac:dyDescent="0.25">
      <c r="BR411" s="591"/>
      <c r="BS411" s="591"/>
      <c r="BT411" s="591"/>
      <c r="BU411" s="2"/>
      <c r="BV411" s="2"/>
    </row>
    <row r="412" spans="70:74" ht="27" customHeight="1" x14ac:dyDescent="0.25">
      <c r="BR412" s="591"/>
      <c r="BS412" s="591"/>
      <c r="BT412" s="591"/>
      <c r="BU412" s="2"/>
      <c r="BV412" s="2"/>
    </row>
    <row r="413" spans="70:74" ht="27" customHeight="1" x14ac:dyDescent="0.25">
      <c r="BR413" s="591"/>
      <c r="BS413" s="591"/>
      <c r="BT413" s="591"/>
      <c r="BU413" s="2"/>
      <c r="BV413" s="2"/>
    </row>
    <row r="414" spans="70:74" ht="27" customHeight="1" x14ac:dyDescent="0.25">
      <c r="BR414" s="591"/>
      <c r="BS414" s="591"/>
      <c r="BT414" s="591"/>
      <c r="BU414" s="2"/>
      <c r="BV414" s="2"/>
    </row>
    <row r="415" spans="70:74" ht="27" customHeight="1" x14ac:dyDescent="0.25">
      <c r="BR415" s="591"/>
      <c r="BS415" s="591"/>
      <c r="BT415" s="591"/>
      <c r="BU415" s="2"/>
      <c r="BV415" s="2"/>
    </row>
    <row r="416" spans="70:74" ht="27" customHeight="1" x14ac:dyDescent="0.25">
      <c r="BR416" s="591"/>
      <c r="BS416" s="591"/>
      <c r="BT416" s="591"/>
      <c r="BU416" s="2"/>
      <c r="BV416" s="2"/>
    </row>
    <row r="417" spans="70:74" ht="27" customHeight="1" x14ac:dyDescent="0.25">
      <c r="BR417" s="591"/>
      <c r="BS417" s="591"/>
      <c r="BT417" s="591"/>
      <c r="BU417" s="2"/>
      <c r="BV417" s="2"/>
    </row>
    <row r="418" spans="70:74" ht="27" customHeight="1" x14ac:dyDescent="0.25">
      <c r="BR418" s="591"/>
      <c r="BS418" s="591"/>
      <c r="BT418" s="591"/>
      <c r="BU418" s="2"/>
      <c r="BV418" s="2"/>
    </row>
    <row r="419" spans="70:74" ht="27" customHeight="1" x14ac:dyDescent="0.25">
      <c r="BR419" s="591"/>
      <c r="BS419" s="591"/>
      <c r="BT419" s="591"/>
      <c r="BU419" s="2"/>
      <c r="BV419" s="2"/>
    </row>
    <row r="420" spans="70:74" ht="27" customHeight="1" x14ac:dyDescent="0.25">
      <c r="BR420" s="591"/>
      <c r="BS420" s="591"/>
      <c r="BT420" s="591"/>
      <c r="BU420" s="2"/>
      <c r="BV420" s="2"/>
    </row>
    <row r="421" spans="70:74" ht="27" customHeight="1" x14ac:dyDescent="0.25">
      <c r="BR421" s="591"/>
      <c r="BS421" s="591"/>
      <c r="BT421" s="591"/>
      <c r="BU421" s="2"/>
      <c r="BV421" s="2"/>
    </row>
    <row r="422" spans="70:74" ht="27" customHeight="1" x14ac:dyDescent="0.25">
      <c r="BR422" s="591"/>
      <c r="BS422" s="591"/>
      <c r="BT422" s="591"/>
      <c r="BU422" s="2"/>
      <c r="BV422" s="2"/>
    </row>
    <row r="423" spans="70:74" ht="27" customHeight="1" x14ac:dyDescent="0.25">
      <c r="BR423" s="591"/>
      <c r="BS423" s="591"/>
      <c r="BT423" s="591"/>
      <c r="BU423" s="2"/>
      <c r="BV423" s="2"/>
    </row>
    <row r="424" spans="70:74" ht="27" customHeight="1" x14ac:dyDescent="0.25">
      <c r="BR424" s="591"/>
      <c r="BS424" s="591"/>
      <c r="BT424" s="591"/>
      <c r="BU424" s="2"/>
      <c r="BV424" s="2"/>
    </row>
    <row r="425" spans="70:74" ht="27" customHeight="1" x14ac:dyDescent="0.25">
      <c r="BR425" s="591"/>
      <c r="BS425" s="591"/>
      <c r="BT425" s="591"/>
      <c r="BU425" s="2"/>
      <c r="BV425" s="2"/>
    </row>
    <row r="426" spans="70:74" ht="27" customHeight="1" x14ac:dyDescent="0.25">
      <c r="BR426" s="591"/>
      <c r="BS426" s="591"/>
      <c r="BT426" s="591"/>
      <c r="BU426" s="2"/>
      <c r="BV426" s="2"/>
    </row>
    <row r="427" spans="70:74" ht="27" customHeight="1" x14ac:dyDescent="0.25">
      <c r="BR427" s="591"/>
      <c r="BS427" s="591"/>
      <c r="BT427" s="591"/>
      <c r="BU427" s="2"/>
      <c r="BV427" s="2"/>
    </row>
    <row r="428" spans="70:74" ht="27" customHeight="1" x14ac:dyDescent="0.25">
      <c r="BR428" s="591"/>
      <c r="BS428" s="591"/>
      <c r="BT428" s="591"/>
      <c r="BU428" s="2"/>
      <c r="BV428" s="2"/>
    </row>
    <row r="429" spans="70:74" ht="27" customHeight="1" x14ac:dyDescent="0.25">
      <c r="BR429" s="591"/>
      <c r="BS429" s="591"/>
      <c r="BT429" s="591"/>
      <c r="BU429" s="2"/>
      <c r="BV429" s="2"/>
    </row>
    <row r="430" spans="70:74" ht="27" customHeight="1" x14ac:dyDescent="0.25">
      <c r="BR430" s="591"/>
      <c r="BS430" s="591"/>
      <c r="BT430" s="591"/>
      <c r="BU430" s="2"/>
      <c r="BV430" s="2"/>
    </row>
    <row r="431" spans="70:74" ht="27" customHeight="1" x14ac:dyDescent="0.25">
      <c r="BR431" s="591"/>
      <c r="BS431" s="591"/>
      <c r="BT431" s="591"/>
      <c r="BU431" s="2"/>
      <c r="BV431" s="2"/>
    </row>
    <row r="432" spans="70:74" ht="27" customHeight="1" x14ac:dyDescent="0.25">
      <c r="BR432" s="591"/>
      <c r="BS432" s="591"/>
      <c r="BT432" s="591"/>
      <c r="BU432" s="2"/>
      <c r="BV432" s="2"/>
    </row>
    <row r="433" spans="70:74" ht="27" customHeight="1" x14ac:dyDescent="0.25">
      <c r="BR433" s="591"/>
      <c r="BS433" s="591"/>
      <c r="BT433" s="591"/>
      <c r="BU433" s="2"/>
      <c r="BV433" s="2"/>
    </row>
    <row r="434" spans="70:74" ht="27" customHeight="1" x14ac:dyDescent="0.25">
      <c r="BR434" s="591"/>
      <c r="BS434" s="591"/>
      <c r="BT434" s="591"/>
      <c r="BU434" s="2"/>
      <c r="BV434" s="2"/>
    </row>
    <row r="435" spans="70:74" ht="27" customHeight="1" x14ac:dyDescent="0.25">
      <c r="BR435" s="591"/>
      <c r="BS435" s="591"/>
      <c r="BT435" s="591"/>
      <c r="BU435" s="2"/>
      <c r="BV435" s="2"/>
    </row>
    <row r="436" spans="70:74" ht="27" customHeight="1" x14ac:dyDescent="0.25">
      <c r="BR436" s="591"/>
      <c r="BS436" s="591"/>
      <c r="BT436" s="591"/>
      <c r="BU436" s="2"/>
      <c r="BV436" s="2"/>
    </row>
    <row r="437" spans="70:74" ht="27" customHeight="1" x14ac:dyDescent="0.25">
      <c r="BR437" s="591"/>
      <c r="BS437" s="591"/>
      <c r="BT437" s="591"/>
      <c r="BU437" s="2"/>
      <c r="BV437" s="2"/>
    </row>
    <row r="438" spans="70:74" ht="27" customHeight="1" x14ac:dyDescent="0.25">
      <c r="BR438" s="591"/>
      <c r="BS438" s="591"/>
      <c r="BT438" s="591"/>
      <c r="BU438" s="2"/>
      <c r="BV438" s="2"/>
    </row>
    <row r="439" spans="70:74" ht="27" customHeight="1" x14ac:dyDescent="0.25">
      <c r="BR439" s="591"/>
      <c r="BS439" s="591"/>
      <c r="BT439" s="591"/>
      <c r="BU439" s="2"/>
      <c r="BV439" s="2"/>
    </row>
    <row r="440" spans="70:74" ht="27" customHeight="1" x14ac:dyDescent="0.25">
      <c r="BR440" s="591"/>
      <c r="BS440" s="591"/>
      <c r="BT440" s="591"/>
      <c r="BU440" s="2"/>
      <c r="BV440" s="2"/>
    </row>
    <row r="441" spans="70:74" ht="27" customHeight="1" x14ac:dyDescent="0.25">
      <c r="BR441" s="591"/>
      <c r="BS441" s="591"/>
      <c r="BT441" s="591"/>
      <c r="BU441" s="2"/>
      <c r="BV441" s="2"/>
    </row>
    <row r="442" spans="70:74" ht="27" customHeight="1" x14ac:dyDescent="0.25">
      <c r="BR442" s="591"/>
      <c r="BS442" s="591"/>
      <c r="BT442" s="591"/>
      <c r="BU442" s="2"/>
      <c r="BV442" s="2"/>
    </row>
    <row r="443" spans="70:74" ht="27" customHeight="1" x14ac:dyDescent="0.25">
      <c r="BR443" s="591"/>
      <c r="BS443" s="591"/>
      <c r="BT443" s="591"/>
      <c r="BU443" s="2"/>
      <c r="BV443" s="2"/>
    </row>
    <row r="444" spans="70:74" ht="27" customHeight="1" x14ac:dyDescent="0.25">
      <c r="BR444" s="591"/>
      <c r="BS444" s="591"/>
      <c r="BT444" s="591"/>
      <c r="BU444" s="2"/>
      <c r="BV444" s="2"/>
    </row>
    <row r="445" spans="70:74" ht="27" customHeight="1" x14ac:dyDescent="0.25">
      <c r="BR445" s="591"/>
      <c r="BS445" s="591"/>
      <c r="BT445" s="591"/>
      <c r="BU445" s="2"/>
      <c r="BV445" s="2"/>
    </row>
    <row r="446" spans="70:74" ht="27" customHeight="1" x14ac:dyDescent="0.25">
      <c r="BR446" s="591"/>
      <c r="BS446" s="591"/>
      <c r="BT446" s="591"/>
      <c r="BU446" s="2"/>
      <c r="BV446" s="2"/>
    </row>
    <row r="447" spans="70:74" ht="27" customHeight="1" x14ac:dyDescent="0.25">
      <c r="BR447" s="591"/>
      <c r="BS447" s="591"/>
      <c r="BT447" s="591"/>
      <c r="BU447" s="2"/>
      <c r="BV447" s="2"/>
    </row>
    <row r="448" spans="70:74" ht="27" customHeight="1" x14ac:dyDescent="0.25">
      <c r="BR448" s="591"/>
      <c r="BS448" s="591"/>
      <c r="BT448" s="591"/>
      <c r="BU448" s="2"/>
      <c r="BV448" s="2"/>
    </row>
    <row r="449" spans="70:74" ht="27" customHeight="1" x14ac:dyDescent="0.25">
      <c r="BR449" s="591"/>
      <c r="BS449" s="591"/>
      <c r="BT449" s="591"/>
      <c r="BU449" s="2"/>
      <c r="BV449" s="2"/>
    </row>
    <row r="450" spans="70:74" ht="27" customHeight="1" x14ac:dyDescent="0.25">
      <c r="BR450" s="591"/>
      <c r="BS450" s="591"/>
      <c r="BT450" s="591"/>
      <c r="BU450" s="2"/>
      <c r="BV450" s="2"/>
    </row>
    <row r="451" spans="70:74" ht="27" customHeight="1" x14ac:dyDescent="0.25">
      <c r="BR451" s="591"/>
      <c r="BS451" s="591"/>
      <c r="BT451" s="591"/>
      <c r="BU451" s="2"/>
      <c r="BV451" s="2"/>
    </row>
    <row r="452" spans="70:74" ht="27" customHeight="1" x14ac:dyDescent="0.25">
      <c r="BR452" s="591"/>
      <c r="BS452" s="591"/>
      <c r="BT452" s="591"/>
      <c r="BU452" s="2"/>
      <c r="BV452" s="2"/>
    </row>
    <row r="453" spans="70:74" ht="27" customHeight="1" x14ac:dyDescent="0.25">
      <c r="BR453" s="591"/>
      <c r="BS453" s="591"/>
      <c r="BT453" s="591"/>
      <c r="BU453" s="2"/>
      <c r="BV453" s="2"/>
    </row>
    <row r="454" spans="70:74" ht="27" customHeight="1" x14ac:dyDescent="0.25">
      <c r="BR454" s="591"/>
      <c r="BS454" s="591"/>
      <c r="BT454" s="591"/>
      <c r="BU454" s="2"/>
      <c r="BV454" s="2"/>
    </row>
    <row r="455" spans="70:74" ht="27" customHeight="1" x14ac:dyDescent="0.25">
      <c r="BR455" s="591"/>
      <c r="BS455" s="591"/>
      <c r="BT455" s="591"/>
      <c r="BU455" s="2"/>
      <c r="BV455" s="2"/>
    </row>
    <row r="456" spans="70:74" ht="27" customHeight="1" x14ac:dyDescent="0.25">
      <c r="BR456" s="591"/>
      <c r="BS456" s="591"/>
      <c r="BT456" s="591"/>
      <c r="BU456" s="2"/>
      <c r="BV456" s="2"/>
    </row>
    <row r="457" spans="70:74" ht="27" customHeight="1" x14ac:dyDescent="0.25">
      <c r="BR457" s="591"/>
      <c r="BS457" s="591"/>
      <c r="BT457" s="591"/>
      <c r="BU457" s="2"/>
      <c r="BV457" s="2"/>
    </row>
    <row r="458" spans="70:74" ht="27" customHeight="1" x14ac:dyDescent="0.25">
      <c r="BR458" s="591"/>
      <c r="BS458" s="591"/>
      <c r="BT458" s="591"/>
      <c r="BU458" s="2"/>
      <c r="BV458" s="2"/>
    </row>
    <row r="459" spans="70:74" ht="27" customHeight="1" x14ac:dyDescent="0.25">
      <c r="BR459" s="591"/>
      <c r="BS459" s="591"/>
      <c r="BT459" s="591"/>
      <c r="BU459" s="2"/>
      <c r="BV459" s="2"/>
    </row>
    <row r="460" spans="70:74" ht="27" customHeight="1" x14ac:dyDescent="0.25">
      <c r="BR460" s="591"/>
      <c r="BS460" s="591"/>
      <c r="BT460" s="591"/>
      <c r="BU460" s="2"/>
      <c r="BV460" s="2"/>
    </row>
    <row r="461" spans="70:74" ht="27" customHeight="1" x14ac:dyDescent="0.25">
      <c r="BR461" s="591"/>
      <c r="BS461" s="591"/>
      <c r="BT461" s="591"/>
      <c r="BU461" s="2"/>
      <c r="BV461" s="2"/>
    </row>
    <row r="462" spans="70:74" ht="27" customHeight="1" x14ac:dyDescent="0.25">
      <c r="BR462" s="591"/>
      <c r="BS462" s="591"/>
      <c r="BT462" s="591"/>
      <c r="BU462" s="2"/>
      <c r="BV462" s="2"/>
    </row>
    <row r="463" spans="70:74" ht="27" customHeight="1" x14ac:dyDescent="0.25">
      <c r="BR463" s="591"/>
      <c r="BS463" s="591"/>
      <c r="BT463" s="591"/>
      <c r="BU463" s="2"/>
      <c r="BV463" s="2"/>
    </row>
    <row r="464" spans="70:74" ht="27" customHeight="1" x14ac:dyDescent="0.25">
      <c r="BR464" s="591"/>
      <c r="BS464" s="591"/>
      <c r="BT464" s="591"/>
      <c r="BU464" s="2"/>
      <c r="BV464" s="2"/>
    </row>
    <row r="465" spans="70:74" ht="27" customHeight="1" x14ac:dyDescent="0.25">
      <c r="BR465" s="591"/>
      <c r="BS465" s="591"/>
      <c r="BT465" s="591"/>
      <c r="BU465" s="2"/>
      <c r="BV465" s="2"/>
    </row>
    <row r="466" spans="70:74" ht="27" customHeight="1" x14ac:dyDescent="0.25">
      <c r="BR466" s="591"/>
      <c r="BS466" s="591"/>
      <c r="BT466" s="591"/>
      <c r="BU466" s="2"/>
      <c r="BV466" s="2"/>
    </row>
    <row r="467" spans="70:74" ht="27" customHeight="1" x14ac:dyDescent="0.25">
      <c r="BR467" s="591"/>
      <c r="BS467" s="591"/>
      <c r="BT467" s="591"/>
      <c r="BU467" s="2"/>
      <c r="BV467" s="2"/>
    </row>
    <row r="468" spans="70:74" ht="27" customHeight="1" x14ac:dyDescent="0.25">
      <c r="BR468" s="591"/>
      <c r="BS468" s="591"/>
      <c r="BT468" s="591"/>
      <c r="BU468" s="2"/>
      <c r="BV468" s="2"/>
    </row>
    <row r="469" spans="70:74" ht="27" customHeight="1" x14ac:dyDescent="0.25">
      <c r="BR469" s="591"/>
      <c r="BS469" s="591"/>
      <c r="BT469" s="591"/>
      <c r="BU469" s="2"/>
      <c r="BV469" s="2"/>
    </row>
    <row r="470" spans="70:74" ht="27" customHeight="1" x14ac:dyDescent="0.25">
      <c r="BR470" s="591"/>
      <c r="BS470" s="591"/>
      <c r="BT470" s="591"/>
      <c r="BU470" s="2"/>
      <c r="BV470" s="2"/>
    </row>
    <row r="471" spans="70:74" ht="27" customHeight="1" x14ac:dyDescent="0.25">
      <c r="BR471" s="591"/>
      <c r="BS471" s="591"/>
      <c r="BT471" s="591"/>
      <c r="BU471" s="2"/>
      <c r="BV471" s="2"/>
    </row>
    <row r="472" spans="70:74" ht="27" customHeight="1" x14ac:dyDescent="0.25">
      <c r="BR472" s="591"/>
      <c r="BS472" s="591"/>
      <c r="BT472" s="591"/>
      <c r="BU472" s="2"/>
      <c r="BV472" s="2"/>
    </row>
    <row r="473" spans="70:74" ht="27" customHeight="1" x14ac:dyDescent="0.25">
      <c r="BR473" s="591"/>
      <c r="BS473" s="591"/>
      <c r="BT473" s="591"/>
      <c r="BU473" s="2"/>
      <c r="BV473" s="2"/>
    </row>
    <row r="474" spans="70:74" ht="27" customHeight="1" x14ac:dyDescent="0.25">
      <c r="BR474" s="591"/>
      <c r="BS474" s="591"/>
      <c r="BT474" s="591"/>
      <c r="BU474" s="2"/>
      <c r="BV474" s="2"/>
    </row>
    <row r="475" spans="70:74" ht="27" customHeight="1" x14ac:dyDescent="0.25">
      <c r="BR475" s="591"/>
      <c r="BS475" s="591"/>
      <c r="BT475" s="591"/>
      <c r="BU475" s="2"/>
      <c r="BV475" s="2"/>
    </row>
    <row r="476" spans="70:74" ht="27" customHeight="1" x14ac:dyDescent="0.25">
      <c r="BR476" s="591"/>
      <c r="BS476" s="591"/>
      <c r="BT476" s="591"/>
      <c r="BU476" s="2"/>
      <c r="BV476" s="2"/>
    </row>
    <row r="477" spans="70:74" ht="27" customHeight="1" x14ac:dyDescent="0.25">
      <c r="BR477" s="591"/>
      <c r="BS477" s="591"/>
      <c r="BT477" s="591"/>
      <c r="BU477" s="2"/>
      <c r="BV477" s="2"/>
    </row>
    <row r="478" spans="70:74" ht="27" customHeight="1" x14ac:dyDescent="0.25">
      <c r="BR478" s="591"/>
      <c r="BS478" s="591"/>
      <c r="BT478" s="591"/>
      <c r="BU478" s="2"/>
      <c r="BV478" s="2"/>
    </row>
    <row r="479" spans="70:74" ht="27" customHeight="1" x14ac:dyDescent="0.25">
      <c r="BR479" s="591"/>
      <c r="BS479" s="591"/>
      <c r="BT479" s="591"/>
      <c r="BU479" s="2"/>
      <c r="BV479" s="2"/>
    </row>
    <row r="480" spans="70:74" ht="27" customHeight="1" x14ac:dyDescent="0.25">
      <c r="BR480" s="591"/>
      <c r="BS480" s="591"/>
      <c r="BT480" s="591"/>
      <c r="BU480" s="2"/>
      <c r="BV480" s="2"/>
    </row>
    <row r="481" spans="70:74" ht="27" customHeight="1" x14ac:dyDescent="0.25">
      <c r="BR481" s="591"/>
      <c r="BS481" s="591"/>
      <c r="BT481" s="591"/>
      <c r="BU481" s="2"/>
      <c r="BV481" s="2"/>
    </row>
    <row r="482" spans="70:74" ht="27" customHeight="1" x14ac:dyDescent="0.25">
      <c r="BR482" s="591"/>
      <c r="BS482" s="591"/>
      <c r="BT482" s="591"/>
      <c r="BU482" s="2"/>
      <c r="BV482" s="2"/>
    </row>
    <row r="483" spans="70:74" ht="27" customHeight="1" x14ac:dyDescent="0.25">
      <c r="BR483" s="591"/>
      <c r="BS483" s="591"/>
      <c r="BT483" s="591"/>
      <c r="BU483" s="2"/>
      <c r="BV483" s="2"/>
    </row>
    <row r="484" spans="70:74" ht="27" customHeight="1" x14ac:dyDescent="0.25">
      <c r="BR484" s="591"/>
      <c r="BS484" s="591"/>
      <c r="BT484" s="591"/>
      <c r="BU484" s="2"/>
      <c r="BV484" s="2"/>
    </row>
    <row r="485" spans="70:74" ht="27" customHeight="1" x14ac:dyDescent="0.25">
      <c r="BR485" s="591"/>
      <c r="BS485" s="591"/>
      <c r="BT485" s="591"/>
      <c r="BU485" s="2"/>
      <c r="BV485" s="2"/>
    </row>
    <row r="486" spans="70:74" ht="27" customHeight="1" x14ac:dyDescent="0.25">
      <c r="BR486" s="591"/>
      <c r="BS486" s="591"/>
      <c r="BT486" s="591"/>
      <c r="BU486" s="2"/>
      <c r="BV486" s="2"/>
    </row>
    <row r="487" spans="70:74" ht="27" customHeight="1" x14ac:dyDescent="0.25">
      <c r="BR487" s="591"/>
      <c r="BS487" s="591"/>
      <c r="BT487" s="591"/>
      <c r="BU487" s="2"/>
      <c r="BV487" s="2"/>
    </row>
    <row r="488" spans="70:74" ht="27" customHeight="1" x14ac:dyDescent="0.25">
      <c r="BR488" s="591"/>
      <c r="BS488" s="591"/>
      <c r="BT488" s="591"/>
      <c r="BU488" s="2"/>
      <c r="BV488" s="2"/>
    </row>
    <row r="489" spans="70:74" ht="27" customHeight="1" x14ac:dyDescent="0.25">
      <c r="BR489" s="591"/>
      <c r="BS489" s="591"/>
      <c r="BT489" s="591"/>
      <c r="BU489" s="2"/>
      <c r="BV489" s="2"/>
    </row>
    <row r="490" spans="70:74" ht="27" customHeight="1" x14ac:dyDescent="0.25">
      <c r="BR490" s="591"/>
      <c r="BS490" s="591"/>
      <c r="BT490" s="591"/>
      <c r="BU490" s="2"/>
      <c r="BV490" s="2"/>
    </row>
    <row r="491" spans="70:74" ht="27" customHeight="1" x14ac:dyDescent="0.25">
      <c r="BR491" s="591"/>
      <c r="BS491" s="591"/>
      <c r="BT491" s="591"/>
      <c r="BU491" s="2"/>
      <c r="BV491" s="2"/>
    </row>
    <row r="492" spans="70:74" ht="27" customHeight="1" x14ac:dyDescent="0.25">
      <c r="BR492" s="591"/>
      <c r="BS492" s="591"/>
      <c r="BT492" s="591"/>
      <c r="BU492" s="2"/>
      <c r="BV492" s="2"/>
    </row>
    <row r="493" spans="70:74" ht="27" customHeight="1" x14ac:dyDescent="0.25">
      <c r="BR493" s="591"/>
      <c r="BS493" s="591"/>
      <c r="BT493" s="591"/>
      <c r="BU493" s="2"/>
      <c r="BV493" s="2"/>
    </row>
    <row r="494" spans="70:74" ht="27" customHeight="1" x14ac:dyDescent="0.25">
      <c r="BR494" s="591"/>
      <c r="BS494" s="591"/>
      <c r="BT494" s="591"/>
      <c r="BU494" s="2"/>
      <c r="BV494" s="2"/>
    </row>
    <row r="495" spans="70:74" ht="27" customHeight="1" x14ac:dyDescent="0.25">
      <c r="BR495" s="591"/>
      <c r="BS495" s="591"/>
      <c r="BT495" s="591"/>
      <c r="BU495" s="2"/>
      <c r="BV495" s="2"/>
    </row>
    <row r="496" spans="70:74" ht="27" customHeight="1" x14ac:dyDescent="0.25">
      <c r="BR496" s="591"/>
      <c r="BS496" s="591"/>
      <c r="BT496" s="591"/>
      <c r="BU496" s="2"/>
      <c r="BV496" s="2"/>
    </row>
    <row r="497" spans="70:74" ht="27" customHeight="1" x14ac:dyDescent="0.25">
      <c r="BR497" s="591"/>
      <c r="BS497" s="591"/>
      <c r="BT497" s="591"/>
      <c r="BU497" s="2"/>
      <c r="BV497" s="2"/>
    </row>
    <row r="498" spans="70:74" ht="27" customHeight="1" x14ac:dyDescent="0.25">
      <c r="BR498" s="591"/>
      <c r="BS498" s="591"/>
      <c r="BT498" s="591"/>
      <c r="BU498" s="2"/>
      <c r="BV498" s="2"/>
    </row>
    <row r="499" spans="70:74" ht="27" customHeight="1" x14ac:dyDescent="0.25">
      <c r="BR499" s="591"/>
      <c r="BS499" s="591"/>
      <c r="BT499" s="591"/>
      <c r="BU499" s="2"/>
      <c r="BV499" s="2"/>
    </row>
    <row r="500" spans="70:74" ht="27" customHeight="1" x14ac:dyDescent="0.25">
      <c r="BR500" s="591"/>
      <c r="BS500" s="591"/>
      <c r="BT500" s="591"/>
      <c r="BU500" s="2"/>
      <c r="BV500" s="2"/>
    </row>
    <row r="501" spans="70:74" ht="27" customHeight="1" x14ac:dyDescent="0.25">
      <c r="BR501" s="591"/>
      <c r="BS501" s="591"/>
      <c r="BT501" s="591"/>
      <c r="BU501" s="2"/>
      <c r="BV501" s="2"/>
    </row>
    <row r="502" spans="70:74" ht="27" customHeight="1" x14ac:dyDescent="0.25">
      <c r="BR502" s="591"/>
      <c r="BS502" s="591"/>
      <c r="BT502" s="591"/>
      <c r="BU502" s="2"/>
      <c r="BV502" s="2"/>
    </row>
    <row r="503" spans="70:74" ht="27" customHeight="1" x14ac:dyDescent="0.25">
      <c r="BR503" s="591"/>
      <c r="BS503" s="591"/>
      <c r="BT503" s="591"/>
      <c r="BU503" s="2"/>
      <c r="BV503" s="2"/>
    </row>
    <row r="504" spans="70:74" ht="27" customHeight="1" x14ac:dyDescent="0.25">
      <c r="BR504" s="591"/>
      <c r="BS504" s="591"/>
      <c r="BT504" s="591"/>
      <c r="BU504" s="2"/>
      <c r="BV504" s="2"/>
    </row>
    <row r="505" spans="70:74" ht="27" customHeight="1" x14ac:dyDescent="0.25">
      <c r="BR505" s="591"/>
      <c r="BS505" s="591"/>
      <c r="BT505" s="591"/>
      <c r="BU505" s="2"/>
      <c r="BV505" s="2"/>
    </row>
    <row r="506" spans="70:74" ht="27" customHeight="1" x14ac:dyDescent="0.25">
      <c r="BR506" s="591"/>
      <c r="BS506" s="591"/>
      <c r="BT506" s="591"/>
      <c r="BU506" s="2"/>
      <c r="BV506" s="2"/>
    </row>
    <row r="507" spans="70:74" ht="27" customHeight="1" x14ac:dyDescent="0.25">
      <c r="BR507" s="591"/>
      <c r="BS507" s="591"/>
      <c r="BT507" s="591"/>
      <c r="BU507" s="2"/>
      <c r="BV507" s="2"/>
    </row>
    <row r="508" spans="70:74" ht="27" customHeight="1" x14ac:dyDescent="0.25">
      <c r="BR508" s="591"/>
      <c r="BS508" s="591"/>
      <c r="BT508" s="591"/>
      <c r="BU508" s="2"/>
      <c r="BV508" s="2"/>
    </row>
    <row r="509" spans="70:74" ht="27" customHeight="1" x14ac:dyDescent="0.25">
      <c r="BR509" s="591"/>
      <c r="BS509" s="591"/>
      <c r="BT509" s="591"/>
      <c r="BU509" s="2"/>
      <c r="BV509" s="2"/>
    </row>
    <row r="510" spans="70:74" ht="27" customHeight="1" x14ac:dyDescent="0.25">
      <c r="BR510" s="591"/>
      <c r="BS510" s="591"/>
      <c r="BT510" s="591"/>
      <c r="BU510" s="2"/>
      <c r="BV510" s="2"/>
    </row>
    <row r="511" spans="70:74" ht="27" customHeight="1" x14ac:dyDescent="0.25">
      <c r="BR511" s="591"/>
      <c r="BS511" s="591"/>
      <c r="BT511" s="591"/>
      <c r="BU511" s="2"/>
      <c r="BV511" s="2"/>
    </row>
    <row r="512" spans="70:74" ht="27" customHeight="1" x14ac:dyDescent="0.25">
      <c r="BR512" s="591"/>
      <c r="BS512" s="591"/>
      <c r="BT512" s="591"/>
      <c r="BU512" s="2"/>
      <c r="BV512" s="2"/>
    </row>
    <row r="513" spans="70:74" ht="27" customHeight="1" x14ac:dyDescent="0.25">
      <c r="BR513" s="591"/>
      <c r="BS513" s="591"/>
      <c r="BT513" s="591"/>
      <c r="BU513" s="2"/>
      <c r="BV513" s="2"/>
    </row>
    <row r="514" spans="70:74" ht="27" customHeight="1" x14ac:dyDescent="0.25">
      <c r="BR514" s="591"/>
      <c r="BS514" s="591"/>
      <c r="BT514" s="591"/>
      <c r="BU514" s="2"/>
      <c r="BV514" s="2"/>
    </row>
    <row r="515" spans="70:74" ht="27" customHeight="1" x14ac:dyDescent="0.25">
      <c r="BR515" s="591"/>
      <c r="BS515" s="591"/>
      <c r="BT515" s="591"/>
      <c r="BU515" s="2"/>
      <c r="BV515" s="2"/>
    </row>
    <row r="516" spans="70:74" ht="27" customHeight="1" x14ac:dyDescent="0.25">
      <c r="BR516" s="591"/>
      <c r="BS516" s="591"/>
      <c r="BT516" s="591"/>
      <c r="BU516" s="2"/>
      <c r="BV516" s="2"/>
    </row>
    <row r="517" spans="70:74" ht="27" customHeight="1" x14ac:dyDescent="0.25">
      <c r="BR517" s="591"/>
      <c r="BS517" s="591"/>
      <c r="BT517" s="591"/>
      <c r="BU517" s="2"/>
      <c r="BV517" s="2"/>
    </row>
    <row r="518" spans="70:74" ht="27" customHeight="1" x14ac:dyDescent="0.25">
      <c r="BR518" s="591"/>
      <c r="BS518" s="591"/>
      <c r="BT518" s="591"/>
      <c r="BU518" s="2"/>
      <c r="BV518" s="2"/>
    </row>
    <row r="519" spans="70:74" ht="27" customHeight="1" x14ac:dyDescent="0.25">
      <c r="BR519" s="591"/>
      <c r="BS519" s="591"/>
      <c r="BT519" s="591"/>
      <c r="BU519" s="2"/>
      <c r="BV519" s="2"/>
    </row>
    <row r="520" spans="70:74" ht="27" customHeight="1" x14ac:dyDescent="0.25">
      <c r="BR520" s="591"/>
      <c r="BS520" s="591"/>
      <c r="BT520" s="591"/>
      <c r="BU520" s="2"/>
      <c r="BV520" s="2"/>
    </row>
    <row r="521" spans="70:74" ht="27" customHeight="1" x14ac:dyDescent="0.25">
      <c r="BR521" s="591"/>
      <c r="BS521" s="591"/>
      <c r="BT521" s="591"/>
      <c r="BU521" s="2"/>
      <c r="BV521" s="2"/>
    </row>
    <row r="522" spans="70:74" ht="27" customHeight="1" x14ac:dyDescent="0.25">
      <c r="BR522" s="591"/>
      <c r="BS522" s="591"/>
      <c r="BT522" s="591"/>
      <c r="BU522" s="2"/>
      <c r="BV522" s="2"/>
    </row>
    <row r="523" spans="70:74" ht="27" customHeight="1" x14ac:dyDescent="0.25">
      <c r="BR523" s="591"/>
      <c r="BS523" s="591"/>
      <c r="BT523" s="591"/>
      <c r="BU523" s="2"/>
      <c r="BV523" s="2"/>
    </row>
    <row r="524" spans="70:74" ht="27" customHeight="1" x14ac:dyDescent="0.25">
      <c r="BR524" s="591"/>
      <c r="BS524" s="591"/>
      <c r="BT524" s="591"/>
      <c r="BU524" s="2"/>
      <c r="BV524" s="2"/>
    </row>
    <row r="525" spans="70:74" ht="27" customHeight="1" x14ac:dyDescent="0.25">
      <c r="BR525" s="591"/>
      <c r="BS525" s="591"/>
      <c r="BT525" s="591"/>
      <c r="BU525" s="2"/>
      <c r="BV525" s="2"/>
    </row>
    <row r="526" spans="70:74" ht="27" customHeight="1" x14ac:dyDescent="0.25">
      <c r="BR526" s="591"/>
      <c r="BS526" s="591"/>
      <c r="BT526" s="591"/>
      <c r="BU526" s="2"/>
      <c r="BV526" s="2"/>
    </row>
    <row r="527" spans="70:74" ht="27" customHeight="1" x14ac:dyDescent="0.25">
      <c r="BR527" s="591"/>
      <c r="BS527" s="591"/>
      <c r="BT527" s="591"/>
      <c r="BU527" s="2"/>
      <c r="BV527" s="2"/>
    </row>
    <row r="528" spans="70:74" ht="27" customHeight="1" x14ac:dyDescent="0.25">
      <c r="BR528" s="591"/>
      <c r="BS528" s="591"/>
      <c r="BT528" s="591"/>
      <c r="BU528" s="2"/>
      <c r="BV528" s="2"/>
    </row>
    <row r="529" spans="70:74" ht="27" customHeight="1" x14ac:dyDescent="0.25">
      <c r="BR529" s="591"/>
      <c r="BS529" s="591"/>
      <c r="BT529" s="591"/>
      <c r="BU529" s="2"/>
      <c r="BV529" s="2"/>
    </row>
    <row r="530" spans="70:74" ht="27" customHeight="1" x14ac:dyDescent="0.25">
      <c r="BR530" s="591"/>
      <c r="BS530" s="591"/>
      <c r="BT530" s="591"/>
      <c r="BU530" s="2"/>
      <c r="BV530" s="2"/>
    </row>
    <row r="531" spans="70:74" ht="27" customHeight="1" x14ac:dyDescent="0.25">
      <c r="BR531" s="591"/>
      <c r="BS531" s="591"/>
      <c r="BT531" s="591"/>
      <c r="BU531" s="2"/>
      <c r="BV531" s="2"/>
    </row>
    <row r="532" spans="70:74" ht="27" customHeight="1" x14ac:dyDescent="0.25">
      <c r="BR532" s="591"/>
      <c r="BS532" s="591"/>
      <c r="BT532" s="591"/>
      <c r="BU532" s="2"/>
      <c r="BV532" s="2"/>
    </row>
    <row r="533" spans="70:74" ht="27" customHeight="1" x14ac:dyDescent="0.25">
      <c r="BR533" s="591"/>
      <c r="BS533" s="591"/>
      <c r="BT533" s="591"/>
      <c r="BU533" s="2"/>
      <c r="BV533" s="2"/>
    </row>
    <row r="534" spans="70:74" ht="27" customHeight="1" x14ac:dyDescent="0.25">
      <c r="BR534" s="591"/>
      <c r="BS534" s="591"/>
      <c r="BT534" s="591"/>
      <c r="BU534" s="2"/>
      <c r="BV534" s="2"/>
    </row>
    <row r="535" spans="70:74" ht="27" customHeight="1" x14ac:dyDescent="0.25">
      <c r="BR535" s="591"/>
      <c r="BS535" s="591"/>
      <c r="BT535" s="591"/>
      <c r="BU535" s="2"/>
      <c r="BV535" s="2"/>
    </row>
    <row r="536" spans="70:74" ht="27" customHeight="1" x14ac:dyDescent="0.25">
      <c r="BR536" s="591"/>
      <c r="BS536" s="591"/>
      <c r="BT536" s="591"/>
      <c r="BU536" s="2"/>
      <c r="BV536" s="2"/>
    </row>
    <row r="537" spans="70:74" ht="27" customHeight="1" x14ac:dyDescent="0.25">
      <c r="BR537" s="591"/>
      <c r="BS537" s="591"/>
      <c r="BT537" s="591"/>
      <c r="BU537" s="2"/>
      <c r="BV537" s="2"/>
    </row>
    <row r="538" spans="70:74" ht="27" customHeight="1" x14ac:dyDescent="0.25">
      <c r="BR538" s="591"/>
      <c r="BS538" s="591"/>
      <c r="BT538" s="591"/>
      <c r="BU538" s="2"/>
      <c r="BV538" s="2"/>
    </row>
    <row r="539" spans="70:74" ht="27" customHeight="1" x14ac:dyDescent="0.25">
      <c r="BR539" s="591"/>
      <c r="BS539" s="591"/>
      <c r="BT539" s="591"/>
      <c r="BU539" s="2"/>
      <c r="BV539" s="2"/>
    </row>
    <row r="540" spans="70:74" ht="27" customHeight="1" x14ac:dyDescent="0.25">
      <c r="BR540" s="591"/>
      <c r="BS540" s="591"/>
      <c r="BT540" s="591"/>
      <c r="BU540" s="2"/>
      <c r="BV540" s="2"/>
    </row>
    <row r="541" spans="70:74" ht="27" customHeight="1" x14ac:dyDescent="0.25">
      <c r="BR541" s="591"/>
      <c r="BS541" s="591"/>
      <c r="BT541" s="591"/>
      <c r="BU541" s="2"/>
      <c r="BV541" s="2"/>
    </row>
    <row r="542" spans="70:74" ht="27" customHeight="1" x14ac:dyDescent="0.25">
      <c r="BR542" s="591"/>
      <c r="BS542" s="591"/>
      <c r="BT542" s="591"/>
      <c r="BU542" s="2"/>
      <c r="BV542" s="2"/>
    </row>
    <row r="543" spans="70:74" ht="27" customHeight="1" x14ac:dyDescent="0.25">
      <c r="BR543" s="591"/>
      <c r="BS543" s="591"/>
      <c r="BT543" s="591"/>
      <c r="BU543" s="2"/>
      <c r="BV543" s="2"/>
    </row>
    <row r="544" spans="70:74" ht="27" customHeight="1" x14ac:dyDescent="0.25">
      <c r="BR544" s="591"/>
      <c r="BS544" s="591"/>
      <c r="BT544" s="591"/>
      <c r="BU544" s="2"/>
      <c r="BV544" s="2"/>
    </row>
    <row r="545" spans="70:74" ht="27" customHeight="1" x14ac:dyDescent="0.25">
      <c r="BR545" s="591"/>
      <c r="BS545" s="591"/>
      <c r="BT545" s="591"/>
      <c r="BU545" s="2"/>
      <c r="BV545" s="2"/>
    </row>
    <row r="546" spans="70:74" ht="27" customHeight="1" x14ac:dyDescent="0.25">
      <c r="BR546" s="591"/>
      <c r="BS546" s="591"/>
      <c r="BT546" s="591"/>
      <c r="BU546" s="2"/>
      <c r="BV546" s="2"/>
    </row>
    <row r="547" spans="70:74" ht="27" customHeight="1" x14ac:dyDescent="0.25">
      <c r="BR547" s="591"/>
      <c r="BS547" s="591"/>
      <c r="BT547" s="591"/>
      <c r="BU547" s="2"/>
      <c r="BV547" s="2"/>
    </row>
    <row r="548" spans="70:74" ht="27" customHeight="1" x14ac:dyDescent="0.25">
      <c r="BR548" s="591"/>
      <c r="BS548" s="591"/>
      <c r="BT548" s="591"/>
      <c r="BU548" s="2"/>
      <c r="BV548" s="2"/>
    </row>
    <row r="549" spans="70:74" ht="27" customHeight="1" x14ac:dyDescent="0.25">
      <c r="BR549" s="591"/>
      <c r="BS549" s="591"/>
      <c r="BT549" s="591"/>
      <c r="BU549" s="2"/>
      <c r="BV549" s="2"/>
    </row>
    <row r="550" spans="70:74" ht="27" customHeight="1" x14ac:dyDescent="0.25">
      <c r="BR550" s="591"/>
      <c r="BS550" s="591"/>
      <c r="BT550" s="591"/>
      <c r="BU550" s="2"/>
      <c r="BV550" s="2"/>
    </row>
    <row r="551" spans="70:74" ht="27" customHeight="1" x14ac:dyDescent="0.25">
      <c r="BR551" s="591"/>
      <c r="BS551" s="591"/>
      <c r="BT551" s="591"/>
      <c r="BU551" s="2"/>
      <c r="BV551" s="2"/>
    </row>
    <row r="552" spans="70:74" ht="27" customHeight="1" x14ac:dyDescent="0.25">
      <c r="BR552" s="591"/>
      <c r="BS552" s="591"/>
      <c r="BT552" s="591"/>
      <c r="BU552" s="2"/>
      <c r="BV552" s="2"/>
    </row>
    <row r="553" spans="70:74" ht="27" customHeight="1" x14ac:dyDescent="0.25">
      <c r="BR553" s="591"/>
      <c r="BS553" s="591"/>
      <c r="BT553" s="591"/>
      <c r="BU553" s="2"/>
      <c r="BV553" s="2"/>
    </row>
    <row r="554" spans="70:74" ht="27" customHeight="1" x14ac:dyDescent="0.25">
      <c r="BR554" s="591"/>
      <c r="BS554" s="591"/>
      <c r="BT554" s="591"/>
      <c r="BU554" s="2"/>
      <c r="BV554" s="2"/>
    </row>
    <row r="555" spans="70:74" ht="27" customHeight="1" x14ac:dyDescent="0.25">
      <c r="BR555" s="591"/>
      <c r="BS555" s="591"/>
      <c r="BT555" s="591"/>
      <c r="BU555" s="2"/>
      <c r="BV555" s="2"/>
    </row>
    <row r="556" spans="70:74" ht="27" customHeight="1" x14ac:dyDescent="0.25">
      <c r="BR556" s="591"/>
      <c r="BS556" s="591"/>
      <c r="BT556" s="591"/>
      <c r="BU556" s="2"/>
      <c r="BV556" s="2"/>
    </row>
    <row r="557" spans="70:74" ht="27" customHeight="1" x14ac:dyDescent="0.25">
      <c r="BR557" s="591"/>
      <c r="BS557" s="591"/>
      <c r="BT557" s="591"/>
      <c r="BU557" s="2"/>
      <c r="BV557" s="2"/>
    </row>
    <row r="558" spans="70:74" ht="27" customHeight="1" x14ac:dyDescent="0.25">
      <c r="BR558" s="591"/>
      <c r="BS558" s="591"/>
      <c r="BT558" s="591"/>
      <c r="BU558" s="2"/>
      <c r="BV558" s="2"/>
    </row>
    <row r="559" spans="70:74" ht="27" customHeight="1" x14ac:dyDescent="0.25">
      <c r="BR559" s="591"/>
      <c r="BS559" s="591"/>
      <c r="BT559" s="591"/>
      <c r="BU559" s="2"/>
      <c r="BV559" s="2"/>
    </row>
    <row r="560" spans="70:74" ht="27" customHeight="1" x14ac:dyDescent="0.25">
      <c r="BR560" s="591"/>
      <c r="BS560" s="591"/>
      <c r="BT560" s="591"/>
      <c r="BU560" s="2"/>
      <c r="BV560" s="2"/>
    </row>
    <row r="561" spans="70:74" ht="27" customHeight="1" x14ac:dyDescent="0.25">
      <c r="BR561" s="591"/>
      <c r="BS561" s="591"/>
      <c r="BT561" s="591"/>
      <c r="BU561" s="2"/>
      <c r="BV561" s="2"/>
    </row>
    <row r="562" spans="70:74" ht="27" customHeight="1" x14ac:dyDescent="0.25">
      <c r="BR562" s="591"/>
      <c r="BS562" s="591"/>
      <c r="BT562" s="591"/>
      <c r="BU562" s="2"/>
      <c r="BV562" s="2"/>
    </row>
    <row r="563" spans="70:74" ht="27" customHeight="1" x14ac:dyDescent="0.25">
      <c r="BR563" s="591"/>
      <c r="BS563" s="591"/>
      <c r="BT563" s="591"/>
      <c r="BU563" s="2"/>
      <c r="BV563" s="2"/>
    </row>
    <row r="564" spans="70:74" ht="27" customHeight="1" x14ac:dyDescent="0.25">
      <c r="BR564" s="591"/>
      <c r="BS564" s="591"/>
      <c r="BT564" s="591"/>
      <c r="BU564" s="2"/>
      <c r="BV564" s="2"/>
    </row>
    <row r="565" spans="70:74" ht="27" customHeight="1" x14ac:dyDescent="0.25">
      <c r="BR565" s="591"/>
      <c r="BS565" s="591"/>
      <c r="BT565" s="591"/>
      <c r="BU565" s="2"/>
      <c r="BV565" s="2"/>
    </row>
    <row r="566" spans="70:74" ht="27" customHeight="1" x14ac:dyDescent="0.25">
      <c r="BR566" s="591"/>
      <c r="BS566" s="591"/>
      <c r="BT566" s="591"/>
      <c r="BU566" s="2"/>
      <c r="BV566" s="2"/>
    </row>
    <row r="567" spans="70:74" ht="27" customHeight="1" x14ac:dyDescent="0.25">
      <c r="BR567" s="591"/>
      <c r="BS567" s="591"/>
      <c r="BT567" s="591"/>
      <c r="BU567" s="2"/>
      <c r="BV567" s="2"/>
    </row>
    <row r="568" spans="70:74" ht="27" customHeight="1" x14ac:dyDescent="0.25">
      <c r="BR568" s="591"/>
      <c r="BS568" s="591"/>
      <c r="BT568" s="591"/>
      <c r="BU568" s="2"/>
      <c r="BV568" s="2"/>
    </row>
    <row r="569" spans="70:74" ht="27" customHeight="1" x14ac:dyDescent="0.25">
      <c r="BR569" s="591"/>
      <c r="BS569" s="591"/>
      <c r="BT569" s="591"/>
      <c r="BU569" s="2"/>
      <c r="BV569" s="2"/>
    </row>
    <row r="570" spans="70:74" ht="27" customHeight="1" x14ac:dyDescent="0.25">
      <c r="BR570" s="591"/>
      <c r="BS570" s="591"/>
      <c r="BT570" s="591"/>
      <c r="BU570" s="2"/>
      <c r="BV570" s="2"/>
    </row>
    <row r="571" spans="70:74" ht="27" customHeight="1" x14ac:dyDescent="0.25">
      <c r="BR571" s="591"/>
      <c r="BS571" s="591"/>
      <c r="BT571" s="591"/>
      <c r="BU571" s="2"/>
      <c r="BV571" s="2"/>
    </row>
    <row r="572" spans="70:74" ht="27" customHeight="1" x14ac:dyDescent="0.25">
      <c r="BR572" s="591"/>
      <c r="BS572" s="591"/>
      <c r="BT572" s="591"/>
      <c r="BU572" s="2"/>
      <c r="BV572" s="2"/>
    </row>
    <row r="573" spans="70:74" ht="27" customHeight="1" x14ac:dyDescent="0.25">
      <c r="BR573" s="591"/>
      <c r="BS573" s="591"/>
      <c r="BT573" s="591"/>
      <c r="BU573" s="2"/>
      <c r="BV573" s="2"/>
    </row>
    <row r="574" spans="70:74" ht="27" customHeight="1" x14ac:dyDescent="0.25">
      <c r="BR574" s="591"/>
      <c r="BS574" s="591"/>
      <c r="BT574" s="591"/>
      <c r="BU574" s="2"/>
      <c r="BV574" s="2"/>
    </row>
    <row r="575" spans="70:74" ht="27" customHeight="1" x14ac:dyDescent="0.25">
      <c r="BR575" s="591"/>
      <c r="BS575" s="591"/>
      <c r="BT575" s="591"/>
      <c r="BU575" s="2"/>
      <c r="BV575" s="2"/>
    </row>
    <row r="576" spans="70:74" ht="27" customHeight="1" x14ac:dyDescent="0.25">
      <c r="BR576" s="591"/>
      <c r="BS576" s="591"/>
      <c r="BT576" s="591"/>
      <c r="BU576" s="2"/>
      <c r="BV576" s="2"/>
    </row>
    <row r="577" spans="70:74" ht="27" customHeight="1" x14ac:dyDescent="0.25">
      <c r="BR577" s="591"/>
      <c r="BS577" s="591"/>
      <c r="BT577" s="591"/>
      <c r="BU577" s="2"/>
      <c r="BV577" s="2"/>
    </row>
    <row r="578" spans="70:74" ht="27" customHeight="1" x14ac:dyDescent="0.25">
      <c r="BR578" s="591"/>
      <c r="BS578" s="591"/>
      <c r="BT578" s="591"/>
      <c r="BU578" s="2"/>
      <c r="BV578" s="2"/>
    </row>
    <row r="579" spans="70:74" ht="27" customHeight="1" x14ac:dyDescent="0.25">
      <c r="BR579" s="591"/>
      <c r="BS579" s="591"/>
      <c r="BT579" s="591"/>
      <c r="BU579" s="2"/>
      <c r="BV579" s="2"/>
    </row>
    <row r="580" spans="70:74" ht="27" customHeight="1" x14ac:dyDescent="0.25">
      <c r="BR580" s="591"/>
      <c r="BS580" s="591"/>
      <c r="BT580" s="591"/>
      <c r="BU580" s="2"/>
      <c r="BV580" s="2"/>
    </row>
    <row r="581" spans="70:74" ht="27" customHeight="1" x14ac:dyDescent="0.25">
      <c r="BR581" s="591"/>
      <c r="BS581" s="591"/>
      <c r="BT581" s="591"/>
      <c r="BU581" s="2"/>
      <c r="BV581" s="2"/>
    </row>
    <row r="582" spans="70:74" ht="27" customHeight="1" x14ac:dyDescent="0.25">
      <c r="BR582" s="591"/>
      <c r="BS582" s="591"/>
      <c r="BT582" s="591"/>
      <c r="BU582" s="2"/>
      <c r="BV582" s="2"/>
    </row>
    <row r="583" spans="70:74" ht="27" customHeight="1" x14ac:dyDescent="0.25">
      <c r="BR583" s="591"/>
      <c r="BS583" s="591"/>
      <c r="BT583" s="591"/>
      <c r="BU583" s="2"/>
      <c r="BV583" s="2"/>
    </row>
    <row r="584" spans="70:74" ht="27" customHeight="1" x14ac:dyDescent="0.25">
      <c r="BR584" s="591"/>
      <c r="BS584" s="591"/>
      <c r="BT584" s="591"/>
      <c r="BU584" s="2"/>
      <c r="BV584" s="2"/>
    </row>
    <row r="585" spans="70:74" ht="27" customHeight="1" x14ac:dyDescent="0.25">
      <c r="BR585" s="591"/>
      <c r="BS585" s="591"/>
      <c r="BT585" s="591"/>
      <c r="BU585" s="2"/>
      <c r="BV585" s="2"/>
    </row>
    <row r="586" spans="70:74" ht="27" customHeight="1" x14ac:dyDescent="0.25">
      <c r="BR586" s="591"/>
      <c r="BS586" s="591"/>
      <c r="BT586" s="591"/>
      <c r="BU586" s="2"/>
      <c r="BV586" s="2"/>
    </row>
    <row r="587" spans="70:74" ht="27" customHeight="1" x14ac:dyDescent="0.25">
      <c r="BR587" s="591"/>
      <c r="BS587" s="591"/>
      <c r="BT587" s="591"/>
      <c r="BU587" s="2"/>
      <c r="BV587" s="2"/>
    </row>
    <row r="588" spans="70:74" ht="27" customHeight="1" x14ac:dyDescent="0.25">
      <c r="BR588" s="591"/>
      <c r="BS588" s="591"/>
      <c r="BT588" s="591"/>
      <c r="BU588" s="2"/>
      <c r="BV588" s="2"/>
    </row>
    <row r="589" spans="70:74" ht="27" customHeight="1" x14ac:dyDescent="0.25">
      <c r="BR589" s="591"/>
      <c r="BS589" s="591"/>
      <c r="BT589" s="591"/>
      <c r="BU589" s="2"/>
      <c r="BV589" s="2"/>
    </row>
    <row r="590" spans="70:74" ht="27" customHeight="1" x14ac:dyDescent="0.25">
      <c r="BR590" s="591"/>
      <c r="BS590" s="591"/>
      <c r="BT590" s="591"/>
      <c r="BU590" s="2"/>
      <c r="BV590" s="2"/>
    </row>
    <row r="591" spans="70:74" ht="27" customHeight="1" x14ac:dyDescent="0.25">
      <c r="BR591" s="591"/>
      <c r="BS591" s="591"/>
      <c r="BT591" s="591"/>
      <c r="BU591" s="2"/>
      <c r="BV591" s="2"/>
    </row>
    <row r="592" spans="70:74" ht="27" customHeight="1" x14ac:dyDescent="0.25">
      <c r="BR592" s="591"/>
      <c r="BS592" s="591"/>
      <c r="BT592" s="591"/>
      <c r="BU592" s="2"/>
      <c r="BV592" s="2"/>
    </row>
    <row r="593" spans="70:74" ht="27" customHeight="1" x14ac:dyDescent="0.25">
      <c r="BR593" s="591"/>
      <c r="BS593" s="591"/>
      <c r="BT593" s="591"/>
      <c r="BU593" s="2"/>
      <c r="BV593" s="2"/>
    </row>
    <row r="594" spans="70:74" ht="27" customHeight="1" x14ac:dyDescent="0.25">
      <c r="BR594" s="591"/>
      <c r="BS594" s="591"/>
      <c r="BT594" s="591"/>
      <c r="BU594" s="2"/>
      <c r="BV594" s="2"/>
    </row>
    <row r="595" spans="70:74" ht="27" customHeight="1" x14ac:dyDescent="0.25">
      <c r="BR595" s="591"/>
      <c r="BS595" s="591"/>
      <c r="BT595" s="591"/>
      <c r="BU595" s="2"/>
      <c r="BV595" s="2"/>
    </row>
    <row r="596" spans="70:74" ht="27" customHeight="1" x14ac:dyDescent="0.25">
      <c r="BR596" s="591"/>
      <c r="BS596" s="591"/>
      <c r="BT596" s="591"/>
      <c r="BU596" s="2"/>
      <c r="BV596" s="2"/>
    </row>
    <row r="597" spans="70:74" ht="27" customHeight="1" x14ac:dyDescent="0.25">
      <c r="BR597" s="591"/>
      <c r="BS597" s="591"/>
      <c r="BT597" s="591"/>
      <c r="BU597" s="2"/>
      <c r="BV597" s="2"/>
    </row>
    <row r="598" spans="70:74" ht="27" customHeight="1" x14ac:dyDescent="0.25">
      <c r="BR598" s="591"/>
      <c r="BS598" s="591"/>
      <c r="BT598" s="591"/>
      <c r="BU598" s="2"/>
      <c r="BV598" s="2"/>
    </row>
    <row r="599" spans="70:74" ht="27" customHeight="1" x14ac:dyDescent="0.25">
      <c r="BR599" s="591"/>
      <c r="BS599" s="591"/>
      <c r="BT599" s="591"/>
      <c r="BU599" s="2"/>
      <c r="BV599" s="2"/>
    </row>
    <row r="600" spans="70:74" ht="27" customHeight="1" x14ac:dyDescent="0.25">
      <c r="BR600" s="591"/>
      <c r="BS600" s="591"/>
      <c r="BT600" s="591"/>
      <c r="BU600" s="2"/>
      <c r="BV600" s="2"/>
    </row>
    <row r="601" spans="70:74" ht="27" customHeight="1" x14ac:dyDescent="0.25">
      <c r="BR601" s="591"/>
      <c r="BS601" s="591"/>
      <c r="BT601" s="591"/>
      <c r="BU601" s="2"/>
      <c r="BV601" s="2"/>
    </row>
    <row r="602" spans="70:74" ht="27" customHeight="1" x14ac:dyDescent="0.25">
      <c r="BR602" s="591"/>
      <c r="BS602" s="591"/>
      <c r="BT602" s="591"/>
      <c r="BU602" s="2"/>
      <c r="BV602" s="2"/>
    </row>
    <row r="603" spans="70:74" ht="27" customHeight="1" x14ac:dyDescent="0.25">
      <c r="BR603" s="591"/>
      <c r="BS603" s="591"/>
      <c r="BT603" s="591"/>
      <c r="BU603" s="2"/>
      <c r="BV603" s="2"/>
    </row>
    <row r="604" spans="70:74" ht="27" customHeight="1" x14ac:dyDescent="0.25">
      <c r="BR604" s="591"/>
      <c r="BS604" s="591"/>
      <c r="BT604" s="591"/>
      <c r="BU604" s="2"/>
      <c r="BV604" s="2"/>
    </row>
    <row r="605" spans="70:74" ht="27" customHeight="1" x14ac:dyDescent="0.25">
      <c r="BR605" s="591"/>
      <c r="BS605" s="591"/>
      <c r="BT605" s="591"/>
      <c r="BU605" s="2"/>
      <c r="BV605" s="2"/>
    </row>
    <row r="606" spans="70:74" ht="27" customHeight="1" x14ac:dyDescent="0.25">
      <c r="BR606" s="591"/>
      <c r="BS606" s="591"/>
      <c r="BT606" s="591"/>
      <c r="BU606" s="2"/>
      <c r="BV606" s="2"/>
    </row>
    <row r="607" spans="70:74" ht="27" customHeight="1" x14ac:dyDescent="0.25">
      <c r="BR607" s="591"/>
      <c r="BS607" s="591"/>
      <c r="BT607" s="591"/>
      <c r="BU607" s="2"/>
      <c r="BV607" s="2"/>
    </row>
    <row r="608" spans="70:74" ht="27" customHeight="1" x14ac:dyDescent="0.25">
      <c r="BR608" s="591"/>
      <c r="BS608" s="591"/>
      <c r="BT608" s="591"/>
      <c r="BU608" s="2"/>
      <c r="BV608" s="2"/>
    </row>
    <row r="609" spans="70:74" ht="27" customHeight="1" x14ac:dyDescent="0.25">
      <c r="BR609" s="591"/>
      <c r="BS609" s="591"/>
      <c r="BT609" s="591"/>
      <c r="BU609" s="2"/>
      <c r="BV609" s="2"/>
    </row>
    <row r="610" spans="70:74" ht="27" customHeight="1" x14ac:dyDescent="0.25">
      <c r="BR610" s="591"/>
      <c r="BS610" s="591"/>
      <c r="BT610" s="591"/>
      <c r="BU610" s="2"/>
      <c r="BV610" s="2"/>
    </row>
    <row r="611" spans="70:74" ht="27" customHeight="1" x14ac:dyDescent="0.25">
      <c r="BR611" s="591"/>
      <c r="BS611" s="591"/>
      <c r="BT611" s="591"/>
      <c r="BU611" s="2"/>
      <c r="BV611" s="2"/>
    </row>
    <row r="612" spans="70:74" ht="27" customHeight="1" x14ac:dyDescent="0.25">
      <c r="BR612" s="591"/>
      <c r="BS612" s="591"/>
      <c r="BT612" s="591"/>
      <c r="BU612" s="2"/>
      <c r="BV612" s="2"/>
    </row>
    <row r="613" spans="70:74" ht="27" customHeight="1" x14ac:dyDescent="0.25">
      <c r="BR613" s="591"/>
      <c r="BS613" s="591"/>
      <c r="BT613" s="591"/>
      <c r="BU613" s="2"/>
      <c r="BV613" s="2"/>
    </row>
    <row r="614" spans="70:74" ht="27" customHeight="1" x14ac:dyDescent="0.25">
      <c r="BR614" s="591"/>
      <c r="BS614" s="591"/>
      <c r="BT614" s="591"/>
      <c r="BU614" s="2"/>
      <c r="BV614" s="2"/>
    </row>
    <row r="615" spans="70:74" ht="27" customHeight="1" x14ac:dyDescent="0.25">
      <c r="BR615" s="591"/>
      <c r="BS615" s="591"/>
      <c r="BT615" s="591"/>
      <c r="BU615" s="2"/>
      <c r="BV615" s="2"/>
    </row>
    <row r="616" spans="70:74" ht="27" customHeight="1" x14ac:dyDescent="0.25">
      <c r="BR616" s="591"/>
      <c r="BS616" s="591"/>
      <c r="BT616" s="591"/>
      <c r="BU616" s="2"/>
      <c r="BV616" s="2"/>
    </row>
    <row r="617" spans="70:74" ht="27" customHeight="1" x14ac:dyDescent="0.25">
      <c r="BR617" s="591"/>
      <c r="BS617" s="591"/>
      <c r="BT617" s="591"/>
      <c r="BU617" s="2"/>
      <c r="BV617" s="2"/>
    </row>
    <row r="618" spans="70:74" ht="27" customHeight="1" x14ac:dyDescent="0.25">
      <c r="BR618" s="591"/>
      <c r="BS618" s="591"/>
      <c r="BT618" s="591"/>
      <c r="BU618" s="2"/>
      <c r="BV618" s="2"/>
    </row>
    <row r="619" spans="70:74" ht="27" customHeight="1" x14ac:dyDescent="0.25">
      <c r="BR619" s="591"/>
      <c r="BS619" s="591"/>
      <c r="BT619" s="591"/>
      <c r="BU619" s="2"/>
      <c r="BV619" s="2"/>
    </row>
    <row r="620" spans="70:74" ht="27" customHeight="1" x14ac:dyDescent="0.25">
      <c r="BR620" s="591"/>
      <c r="BS620" s="591"/>
      <c r="BT620" s="591"/>
      <c r="BU620" s="2"/>
      <c r="BV620" s="2"/>
    </row>
    <row r="621" spans="70:74" ht="27" customHeight="1" x14ac:dyDescent="0.25">
      <c r="BR621" s="591"/>
      <c r="BS621" s="591"/>
      <c r="BT621" s="591"/>
      <c r="BU621" s="2"/>
      <c r="BV621" s="2"/>
    </row>
    <row r="622" spans="70:74" ht="27" customHeight="1" x14ac:dyDescent="0.25">
      <c r="BR622" s="591"/>
      <c r="BS622" s="591"/>
      <c r="BT622" s="591"/>
      <c r="BU622" s="2"/>
      <c r="BV622" s="2"/>
    </row>
    <row r="623" spans="70:74" ht="27" customHeight="1" x14ac:dyDescent="0.25">
      <c r="BR623" s="591"/>
      <c r="BS623" s="591"/>
      <c r="BT623" s="591"/>
      <c r="BU623" s="2"/>
      <c r="BV623" s="2"/>
    </row>
    <row r="624" spans="70:74" ht="27" customHeight="1" x14ac:dyDescent="0.25">
      <c r="BR624" s="591"/>
      <c r="BS624" s="591"/>
      <c r="BT624" s="591"/>
      <c r="BU624" s="2"/>
      <c r="BV624" s="2"/>
    </row>
    <row r="625" spans="70:74" ht="27" customHeight="1" x14ac:dyDescent="0.25">
      <c r="BR625" s="591"/>
      <c r="BS625" s="591"/>
      <c r="BT625" s="591"/>
      <c r="BU625" s="2"/>
      <c r="BV625" s="2"/>
    </row>
    <row r="626" spans="70:74" ht="27" customHeight="1" x14ac:dyDescent="0.25">
      <c r="BR626" s="591"/>
      <c r="BS626" s="591"/>
      <c r="BT626" s="591"/>
      <c r="BU626" s="2"/>
      <c r="BV626" s="2"/>
    </row>
    <row r="627" spans="70:74" ht="27" customHeight="1" x14ac:dyDescent="0.25">
      <c r="BR627" s="591"/>
      <c r="BS627" s="591"/>
      <c r="BT627" s="591"/>
      <c r="BU627" s="2"/>
      <c r="BV627" s="2"/>
    </row>
    <row r="628" spans="70:74" ht="27" customHeight="1" x14ac:dyDescent="0.25">
      <c r="BR628" s="591"/>
      <c r="BS628" s="591"/>
      <c r="BT628" s="591"/>
      <c r="BU628" s="2"/>
      <c r="BV628" s="2"/>
    </row>
    <row r="629" spans="70:74" ht="27" customHeight="1" x14ac:dyDescent="0.25">
      <c r="BR629" s="591"/>
      <c r="BS629" s="591"/>
      <c r="BT629" s="591"/>
      <c r="BU629" s="2"/>
      <c r="BV629" s="2"/>
    </row>
    <row r="630" spans="70:74" ht="27" customHeight="1" x14ac:dyDescent="0.25">
      <c r="BR630" s="591"/>
      <c r="BS630" s="591"/>
      <c r="BT630" s="591"/>
      <c r="BU630" s="2"/>
      <c r="BV630" s="2"/>
    </row>
    <row r="631" spans="70:74" ht="27" customHeight="1" x14ac:dyDescent="0.25">
      <c r="BR631" s="591"/>
      <c r="BS631" s="591"/>
      <c r="BT631" s="591"/>
      <c r="BU631" s="2"/>
      <c r="BV631" s="2"/>
    </row>
    <row r="632" spans="70:74" ht="27" customHeight="1" x14ac:dyDescent="0.25">
      <c r="BR632" s="591"/>
      <c r="BS632" s="591"/>
      <c r="BT632" s="591"/>
      <c r="BU632" s="2"/>
      <c r="BV632" s="2"/>
    </row>
    <row r="633" spans="70:74" ht="27" customHeight="1" x14ac:dyDescent="0.25">
      <c r="BR633" s="591"/>
      <c r="BS633" s="591"/>
      <c r="BT633" s="591"/>
      <c r="BU633" s="2"/>
      <c r="BV633" s="2"/>
    </row>
    <row r="634" spans="70:74" ht="27" customHeight="1" x14ac:dyDescent="0.25">
      <c r="BR634" s="591"/>
      <c r="BS634" s="591"/>
      <c r="BT634" s="591"/>
      <c r="BU634" s="2"/>
      <c r="BV634" s="2"/>
    </row>
    <row r="635" spans="70:74" ht="27" customHeight="1" x14ac:dyDescent="0.25">
      <c r="BR635" s="591"/>
      <c r="BS635" s="591"/>
      <c r="BT635" s="591"/>
      <c r="BU635" s="2"/>
      <c r="BV635" s="2"/>
    </row>
    <row r="636" spans="70:74" ht="27" customHeight="1" x14ac:dyDescent="0.25">
      <c r="BR636" s="591"/>
      <c r="BS636" s="591"/>
      <c r="BT636" s="591"/>
      <c r="BU636" s="2"/>
      <c r="BV636" s="2"/>
    </row>
    <row r="637" spans="70:74" ht="27" customHeight="1" x14ac:dyDescent="0.25">
      <c r="BR637" s="591"/>
      <c r="BS637" s="591"/>
      <c r="BT637" s="591"/>
      <c r="BU637" s="2"/>
      <c r="BV637" s="2"/>
    </row>
    <row r="638" spans="70:74" ht="27" customHeight="1" x14ac:dyDescent="0.25">
      <c r="BR638" s="591"/>
      <c r="BS638" s="591"/>
      <c r="BT638" s="591"/>
      <c r="BU638" s="2"/>
      <c r="BV638" s="2"/>
    </row>
    <row r="639" spans="70:74" ht="27" customHeight="1" x14ac:dyDescent="0.25">
      <c r="BR639" s="591"/>
      <c r="BS639" s="591"/>
      <c r="BT639" s="591"/>
      <c r="BU639" s="2"/>
      <c r="BV639" s="2"/>
    </row>
    <row r="640" spans="70:74" ht="27" customHeight="1" x14ac:dyDescent="0.25">
      <c r="BR640" s="591"/>
      <c r="BS640" s="591"/>
      <c r="BT640" s="591"/>
      <c r="BU640" s="2"/>
      <c r="BV640" s="2"/>
    </row>
    <row r="641" spans="70:74" ht="27" customHeight="1" x14ac:dyDescent="0.25">
      <c r="BR641" s="591"/>
      <c r="BS641" s="591"/>
      <c r="BT641" s="591"/>
      <c r="BU641" s="2"/>
      <c r="BV641" s="2"/>
    </row>
    <row r="642" spans="70:74" ht="27" customHeight="1" x14ac:dyDescent="0.25">
      <c r="BR642" s="591"/>
      <c r="BS642" s="591"/>
      <c r="BT642" s="591"/>
      <c r="BU642" s="2"/>
      <c r="BV642" s="2"/>
    </row>
    <row r="643" spans="70:74" ht="27" customHeight="1" x14ac:dyDescent="0.25">
      <c r="BR643" s="591"/>
      <c r="BS643" s="591"/>
      <c r="BT643" s="591"/>
      <c r="BU643" s="2"/>
      <c r="BV643" s="2"/>
    </row>
    <row r="644" spans="70:74" ht="27" customHeight="1" x14ac:dyDescent="0.25">
      <c r="BR644" s="591"/>
      <c r="BS644" s="591"/>
      <c r="BT644" s="591"/>
      <c r="BU644" s="2"/>
      <c r="BV644" s="2"/>
    </row>
    <row r="645" spans="70:74" ht="27" customHeight="1" x14ac:dyDescent="0.25">
      <c r="BR645" s="591"/>
      <c r="BS645" s="591"/>
      <c r="BT645" s="591"/>
      <c r="BU645" s="2"/>
      <c r="BV645" s="2"/>
    </row>
    <row r="646" spans="70:74" ht="27" customHeight="1" x14ac:dyDescent="0.25">
      <c r="BR646" s="591"/>
      <c r="BS646" s="591"/>
      <c r="BT646" s="591"/>
      <c r="BU646" s="2"/>
      <c r="BV646" s="2"/>
    </row>
    <row r="647" spans="70:74" ht="27" customHeight="1" x14ac:dyDescent="0.25">
      <c r="BR647" s="591"/>
      <c r="BS647" s="591"/>
      <c r="BT647" s="591"/>
      <c r="BU647" s="2"/>
      <c r="BV647" s="2"/>
    </row>
    <row r="648" spans="70:74" ht="27" customHeight="1" x14ac:dyDescent="0.25">
      <c r="BR648" s="591"/>
      <c r="BS648" s="591"/>
      <c r="BT648" s="591"/>
      <c r="BU648" s="2"/>
      <c r="BV648" s="2"/>
    </row>
    <row r="649" spans="70:74" ht="27" customHeight="1" x14ac:dyDescent="0.25">
      <c r="BR649" s="591"/>
      <c r="BS649" s="591"/>
      <c r="BT649" s="591"/>
      <c r="BU649" s="2"/>
      <c r="BV649" s="2"/>
    </row>
    <row r="650" spans="70:74" ht="27" customHeight="1" x14ac:dyDescent="0.25">
      <c r="BR650" s="591"/>
      <c r="BS650" s="591"/>
      <c r="BT650" s="591"/>
      <c r="BU650" s="2"/>
      <c r="BV650" s="2"/>
    </row>
    <row r="651" spans="70:74" ht="27" customHeight="1" x14ac:dyDescent="0.25">
      <c r="BR651" s="591"/>
      <c r="BS651" s="591"/>
      <c r="BT651" s="591"/>
      <c r="BU651" s="2"/>
      <c r="BV651" s="2"/>
    </row>
    <row r="652" spans="70:74" ht="27" customHeight="1" x14ac:dyDescent="0.25">
      <c r="BR652" s="591"/>
      <c r="BS652" s="591"/>
      <c r="BT652" s="591"/>
      <c r="BU652" s="2"/>
      <c r="BV652" s="2"/>
    </row>
    <row r="653" spans="70:74" ht="27" customHeight="1" x14ac:dyDescent="0.25">
      <c r="BR653" s="591"/>
      <c r="BS653" s="591"/>
      <c r="BT653" s="591"/>
      <c r="BU653" s="2"/>
      <c r="BV653" s="2"/>
    </row>
    <row r="654" spans="70:74" ht="27" customHeight="1" x14ac:dyDescent="0.25">
      <c r="BR654" s="591"/>
      <c r="BS654" s="591"/>
      <c r="BT654" s="591"/>
      <c r="BU654" s="2"/>
      <c r="BV654" s="2"/>
    </row>
    <row r="655" spans="70:74" ht="27" customHeight="1" x14ac:dyDescent="0.25">
      <c r="BR655" s="591"/>
      <c r="BS655" s="591"/>
      <c r="BT655" s="591"/>
      <c r="BU655" s="2"/>
      <c r="BV655" s="2"/>
    </row>
    <row r="656" spans="70:74" ht="27" customHeight="1" x14ac:dyDescent="0.25">
      <c r="BR656" s="591"/>
      <c r="BS656" s="591"/>
      <c r="BT656" s="591"/>
      <c r="BU656" s="2"/>
      <c r="BV656" s="2"/>
    </row>
    <row r="657" spans="70:74" ht="27" customHeight="1" x14ac:dyDescent="0.25">
      <c r="BR657" s="591"/>
      <c r="BS657" s="591"/>
      <c r="BT657" s="591"/>
      <c r="BU657" s="2"/>
      <c r="BV657" s="2"/>
    </row>
    <row r="658" spans="70:74" ht="27" customHeight="1" x14ac:dyDescent="0.25">
      <c r="BR658" s="591"/>
      <c r="BS658" s="591"/>
      <c r="BT658" s="591"/>
      <c r="BU658" s="2"/>
      <c r="BV658" s="2"/>
    </row>
    <row r="659" spans="70:74" ht="27" customHeight="1" x14ac:dyDescent="0.25">
      <c r="BR659" s="591"/>
      <c r="BS659" s="591"/>
      <c r="BT659" s="591"/>
      <c r="BU659" s="2"/>
      <c r="BV659" s="2"/>
    </row>
    <row r="660" spans="70:74" ht="27" customHeight="1" x14ac:dyDescent="0.25">
      <c r="BR660" s="591"/>
      <c r="BS660" s="591"/>
      <c r="BT660" s="591"/>
      <c r="BU660" s="2"/>
      <c r="BV660" s="2"/>
    </row>
    <row r="661" spans="70:74" ht="27" customHeight="1" x14ac:dyDescent="0.25">
      <c r="BR661" s="591"/>
      <c r="BS661" s="591"/>
      <c r="BT661" s="591"/>
      <c r="BU661" s="2"/>
      <c r="BV661" s="2"/>
    </row>
    <row r="662" spans="70:74" ht="27" customHeight="1" x14ac:dyDescent="0.25">
      <c r="BR662" s="591"/>
      <c r="BS662" s="591"/>
      <c r="BT662" s="591"/>
      <c r="BU662" s="2"/>
      <c r="BV662" s="2"/>
    </row>
    <row r="663" spans="70:74" ht="27" customHeight="1" x14ac:dyDescent="0.25">
      <c r="BR663" s="591"/>
      <c r="BS663" s="591"/>
      <c r="BT663" s="591"/>
      <c r="BU663" s="2"/>
      <c r="BV663" s="2"/>
    </row>
    <row r="664" spans="70:74" ht="27" customHeight="1" x14ac:dyDescent="0.25">
      <c r="BR664" s="591"/>
      <c r="BS664" s="591"/>
      <c r="BT664" s="591"/>
      <c r="BU664" s="2"/>
      <c r="BV664" s="2"/>
    </row>
    <row r="665" spans="70:74" ht="27" customHeight="1" x14ac:dyDescent="0.25">
      <c r="BR665" s="591"/>
      <c r="BS665" s="591"/>
      <c r="BT665" s="591"/>
      <c r="BU665" s="2"/>
      <c r="BV665" s="2"/>
    </row>
    <row r="666" spans="70:74" ht="27" customHeight="1" x14ac:dyDescent="0.25">
      <c r="BR666" s="591"/>
      <c r="BS666" s="591"/>
      <c r="BT666" s="591"/>
      <c r="BU666" s="2"/>
      <c r="BV666" s="2"/>
    </row>
    <row r="667" spans="70:74" ht="27" customHeight="1" x14ac:dyDescent="0.25">
      <c r="BR667" s="591"/>
      <c r="BS667" s="591"/>
      <c r="BT667" s="591"/>
      <c r="BU667" s="2"/>
      <c r="BV667" s="2"/>
    </row>
    <row r="668" spans="70:74" ht="27" customHeight="1" x14ac:dyDescent="0.25">
      <c r="BR668" s="591"/>
      <c r="BS668" s="591"/>
      <c r="BT668" s="591"/>
      <c r="BU668" s="2"/>
      <c r="BV668" s="2"/>
    </row>
    <row r="669" spans="70:74" ht="27" customHeight="1" x14ac:dyDescent="0.25">
      <c r="BR669" s="591"/>
      <c r="BS669" s="591"/>
      <c r="BT669" s="591"/>
      <c r="BU669" s="2"/>
      <c r="BV669" s="2"/>
    </row>
    <row r="670" spans="70:74" ht="27" customHeight="1" x14ac:dyDescent="0.25">
      <c r="BR670" s="591"/>
      <c r="BS670" s="591"/>
      <c r="BT670" s="591"/>
      <c r="BU670" s="2"/>
      <c r="BV670" s="2"/>
    </row>
    <row r="671" spans="70:74" ht="27" customHeight="1" x14ac:dyDescent="0.25">
      <c r="BR671" s="591"/>
      <c r="BS671" s="591"/>
      <c r="BT671" s="591"/>
      <c r="BU671" s="2"/>
      <c r="BV671" s="2"/>
    </row>
    <row r="672" spans="70:74" ht="27" customHeight="1" x14ac:dyDescent="0.25">
      <c r="BR672" s="591"/>
      <c r="BS672" s="591"/>
      <c r="BT672" s="591"/>
      <c r="BU672" s="2"/>
      <c r="BV672" s="2"/>
    </row>
    <row r="673" spans="70:74" ht="27" customHeight="1" x14ac:dyDescent="0.25">
      <c r="BR673" s="591"/>
      <c r="BS673" s="591"/>
      <c r="BT673" s="591"/>
      <c r="BU673" s="2"/>
      <c r="BV673" s="2"/>
    </row>
    <row r="674" spans="70:74" ht="27" customHeight="1" x14ac:dyDescent="0.25">
      <c r="BR674" s="591"/>
      <c r="BS674" s="591"/>
      <c r="BT674" s="591"/>
      <c r="BU674" s="2"/>
      <c r="BV674" s="2"/>
    </row>
    <row r="675" spans="70:74" ht="27" customHeight="1" x14ac:dyDescent="0.25">
      <c r="BR675" s="591"/>
      <c r="BS675" s="591"/>
      <c r="BT675" s="591"/>
      <c r="BU675" s="2"/>
      <c r="BV675" s="2"/>
    </row>
    <row r="676" spans="70:74" ht="27" customHeight="1" x14ac:dyDescent="0.25">
      <c r="BR676" s="591"/>
      <c r="BS676" s="591"/>
      <c r="BT676" s="591"/>
      <c r="BU676" s="2"/>
      <c r="BV676" s="2"/>
    </row>
    <row r="677" spans="70:74" ht="27" customHeight="1" x14ac:dyDescent="0.25">
      <c r="BR677" s="591"/>
      <c r="BS677" s="591"/>
      <c r="BT677" s="591"/>
      <c r="BU677" s="2"/>
      <c r="BV677" s="2"/>
    </row>
    <row r="678" spans="70:74" ht="27" customHeight="1" x14ac:dyDescent="0.25">
      <c r="BR678" s="591"/>
      <c r="BS678" s="591"/>
      <c r="BT678" s="591"/>
      <c r="BU678" s="2"/>
      <c r="BV678" s="2"/>
    </row>
    <row r="679" spans="70:74" ht="27" customHeight="1" x14ac:dyDescent="0.25">
      <c r="BR679" s="591"/>
      <c r="BS679" s="591"/>
      <c r="BT679" s="591"/>
      <c r="BU679" s="2"/>
      <c r="BV679" s="2"/>
    </row>
    <row r="680" spans="70:74" ht="27" customHeight="1" x14ac:dyDescent="0.25">
      <c r="BR680" s="591"/>
      <c r="BS680" s="591"/>
      <c r="BT680" s="591"/>
      <c r="BU680" s="2"/>
      <c r="BV680" s="2"/>
    </row>
    <row r="681" spans="70:74" ht="27" customHeight="1" x14ac:dyDescent="0.25">
      <c r="BR681" s="591"/>
      <c r="BS681" s="591"/>
      <c r="BT681" s="591"/>
      <c r="BU681" s="2"/>
      <c r="BV681" s="2"/>
    </row>
    <row r="682" spans="70:74" ht="27" customHeight="1" x14ac:dyDescent="0.25">
      <c r="BR682" s="591"/>
      <c r="BS682" s="591"/>
      <c r="BT682" s="591"/>
      <c r="BU682" s="2"/>
      <c r="BV682" s="2"/>
    </row>
    <row r="683" spans="70:74" ht="27" customHeight="1" x14ac:dyDescent="0.25">
      <c r="BR683" s="591"/>
      <c r="BS683" s="591"/>
      <c r="BT683" s="591"/>
      <c r="BU683" s="2"/>
      <c r="BV683" s="2"/>
    </row>
    <row r="684" spans="70:74" ht="27" customHeight="1" x14ac:dyDescent="0.25">
      <c r="BR684" s="591"/>
      <c r="BS684" s="591"/>
      <c r="BT684" s="591"/>
      <c r="BU684" s="2"/>
      <c r="BV684" s="2"/>
    </row>
    <row r="685" spans="70:74" ht="27" customHeight="1" x14ac:dyDescent="0.25">
      <c r="BR685" s="591"/>
      <c r="BS685" s="591"/>
      <c r="BT685" s="591"/>
      <c r="BU685" s="2"/>
      <c r="BV685" s="2"/>
    </row>
    <row r="686" spans="70:74" ht="27" customHeight="1" x14ac:dyDescent="0.25">
      <c r="BR686" s="591"/>
      <c r="BS686" s="591"/>
      <c r="BT686" s="591"/>
      <c r="BU686" s="2"/>
      <c r="BV686" s="2"/>
    </row>
    <row r="687" spans="70:74" ht="27" customHeight="1" x14ac:dyDescent="0.25">
      <c r="BR687" s="591"/>
      <c r="BS687" s="591"/>
      <c r="BT687" s="591"/>
      <c r="BU687" s="2"/>
      <c r="BV687" s="2"/>
    </row>
    <row r="688" spans="70:74" ht="27" customHeight="1" x14ac:dyDescent="0.25">
      <c r="BR688" s="591"/>
      <c r="BS688" s="591"/>
      <c r="BT688" s="591"/>
      <c r="BU688" s="2"/>
      <c r="BV688" s="2"/>
    </row>
    <row r="689" spans="70:74" ht="27" customHeight="1" x14ac:dyDescent="0.25">
      <c r="BR689" s="591"/>
      <c r="BS689" s="591"/>
      <c r="BT689" s="591"/>
      <c r="BU689" s="2"/>
      <c r="BV689" s="2"/>
    </row>
    <row r="690" spans="70:74" ht="27" customHeight="1" x14ac:dyDescent="0.25">
      <c r="BR690" s="591"/>
      <c r="BS690" s="591"/>
      <c r="BT690" s="591"/>
      <c r="BU690" s="2"/>
      <c r="BV690" s="2"/>
    </row>
    <row r="691" spans="70:74" ht="27" customHeight="1" x14ac:dyDescent="0.25">
      <c r="BR691" s="591"/>
      <c r="BS691" s="591"/>
      <c r="BT691" s="591"/>
      <c r="BU691" s="2"/>
      <c r="BV691" s="2"/>
    </row>
    <row r="692" spans="70:74" ht="27" customHeight="1" x14ac:dyDescent="0.25">
      <c r="BR692" s="591"/>
      <c r="BS692" s="591"/>
      <c r="BT692" s="591"/>
      <c r="BU692" s="2"/>
      <c r="BV692" s="2"/>
    </row>
    <row r="693" spans="70:74" ht="27" customHeight="1" x14ac:dyDescent="0.25">
      <c r="BR693" s="591"/>
      <c r="BS693" s="591"/>
      <c r="BT693" s="591"/>
      <c r="BU693" s="2"/>
      <c r="BV693" s="2"/>
    </row>
    <row r="694" spans="70:74" ht="27" customHeight="1" x14ac:dyDescent="0.25">
      <c r="BR694" s="591"/>
      <c r="BS694" s="591"/>
      <c r="BT694" s="591"/>
      <c r="BU694" s="2"/>
      <c r="BV694" s="2"/>
    </row>
    <row r="695" spans="70:74" ht="27" customHeight="1" x14ac:dyDescent="0.25">
      <c r="BR695" s="591"/>
      <c r="BS695" s="591"/>
      <c r="BT695" s="591"/>
      <c r="BU695" s="2"/>
      <c r="BV695" s="2"/>
    </row>
    <row r="696" spans="70:74" ht="27" customHeight="1" x14ac:dyDescent="0.25">
      <c r="BR696" s="591"/>
      <c r="BS696" s="591"/>
      <c r="BT696" s="591"/>
      <c r="BU696" s="2"/>
      <c r="BV696" s="2"/>
    </row>
    <row r="697" spans="70:74" ht="27" customHeight="1" x14ac:dyDescent="0.25">
      <c r="BR697" s="591"/>
      <c r="BS697" s="591"/>
      <c r="BT697" s="591"/>
      <c r="BU697" s="2"/>
      <c r="BV697" s="2"/>
    </row>
    <row r="698" spans="70:74" ht="27" customHeight="1" x14ac:dyDescent="0.25">
      <c r="BR698" s="591"/>
      <c r="BS698" s="591"/>
      <c r="BT698" s="591"/>
      <c r="BU698" s="2"/>
      <c r="BV698" s="2"/>
    </row>
    <row r="699" spans="70:74" ht="27" customHeight="1" x14ac:dyDescent="0.25">
      <c r="BR699" s="591"/>
      <c r="BS699" s="591"/>
      <c r="BT699" s="591"/>
      <c r="BU699" s="2"/>
      <c r="BV699" s="2"/>
    </row>
    <row r="700" spans="70:74" ht="27" customHeight="1" x14ac:dyDescent="0.25">
      <c r="BR700" s="591"/>
      <c r="BS700" s="591"/>
      <c r="BT700" s="591"/>
      <c r="BU700" s="2"/>
      <c r="BV700" s="2"/>
    </row>
    <row r="701" spans="70:74" ht="27" customHeight="1" x14ac:dyDescent="0.25">
      <c r="BR701" s="591"/>
      <c r="BS701" s="591"/>
      <c r="BT701" s="591"/>
      <c r="BU701" s="2"/>
      <c r="BV701" s="2"/>
    </row>
    <row r="702" spans="70:74" ht="27" customHeight="1" x14ac:dyDescent="0.25">
      <c r="BR702" s="591"/>
      <c r="BS702" s="591"/>
      <c r="BT702" s="591"/>
      <c r="BU702" s="2"/>
      <c r="BV702" s="2"/>
    </row>
    <row r="703" spans="70:74" ht="27" customHeight="1" x14ac:dyDescent="0.25">
      <c r="BR703" s="591"/>
      <c r="BS703" s="591"/>
      <c r="BT703" s="591"/>
      <c r="BU703" s="2"/>
      <c r="BV703" s="2"/>
    </row>
    <row r="704" spans="70:74" ht="27" customHeight="1" x14ac:dyDescent="0.25">
      <c r="BR704" s="591"/>
      <c r="BS704" s="591"/>
      <c r="BT704" s="591"/>
      <c r="BU704" s="2"/>
      <c r="BV704" s="2"/>
    </row>
    <row r="705" spans="70:74" ht="27" customHeight="1" x14ac:dyDescent="0.25">
      <c r="BR705" s="591"/>
      <c r="BS705" s="591"/>
      <c r="BT705" s="591"/>
      <c r="BU705" s="2"/>
      <c r="BV705" s="2"/>
    </row>
    <row r="706" spans="70:74" ht="27" customHeight="1" x14ac:dyDescent="0.25">
      <c r="BR706" s="591"/>
      <c r="BS706" s="591"/>
      <c r="BT706" s="591"/>
      <c r="BU706" s="2"/>
      <c r="BV706" s="2"/>
    </row>
    <row r="707" spans="70:74" ht="27" customHeight="1" x14ac:dyDescent="0.25">
      <c r="BR707" s="591"/>
      <c r="BS707" s="591"/>
      <c r="BT707" s="591"/>
      <c r="BU707" s="2"/>
      <c r="BV707" s="2"/>
    </row>
    <row r="708" spans="70:74" ht="27" customHeight="1" x14ac:dyDescent="0.25">
      <c r="BR708" s="591"/>
      <c r="BS708" s="591"/>
      <c r="BT708" s="591"/>
      <c r="BU708" s="2"/>
      <c r="BV708" s="2"/>
    </row>
    <row r="709" spans="70:74" ht="27" customHeight="1" x14ac:dyDescent="0.25">
      <c r="BR709" s="591"/>
      <c r="BS709" s="591"/>
      <c r="BT709" s="591"/>
      <c r="BU709" s="2"/>
      <c r="BV709" s="2"/>
    </row>
    <row r="710" spans="70:74" ht="27" customHeight="1" x14ac:dyDescent="0.25">
      <c r="BR710" s="591"/>
      <c r="BS710" s="591"/>
      <c r="BT710" s="591"/>
      <c r="BU710" s="2"/>
      <c r="BV710" s="2"/>
    </row>
    <row r="711" spans="70:74" ht="27" customHeight="1" x14ac:dyDescent="0.25">
      <c r="BR711" s="591"/>
      <c r="BS711" s="591"/>
      <c r="BT711" s="591"/>
      <c r="BU711" s="2"/>
      <c r="BV711" s="2"/>
    </row>
    <row r="712" spans="70:74" ht="27" customHeight="1" x14ac:dyDescent="0.25">
      <c r="BR712" s="591"/>
      <c r="BS712" s="591"/>
      <c r="BT712" s="591"/>
      <c r="BU712" s="2"/>
      <c r="BV712" s="2"/>
    </row>
    <row r="713" spans="70:74" ht="27" customHeight="1" x14ac:dyDescent="0.25">
      <c r="BR713" s="591"/>
      <c r="BS713" s="591"/>
      <c r="BT713" s="591"/>
      <c r="BU713" s="2"/>
      <c r="BV713" s="2"/>
    </row>
    <row r="714" spans="70:74" ht="27" customHeight="1" x14ac:dyDescent="0.25">
      <c r="BR714" s="591"/>
      <c r="BS714" s="591"/>
      <c r="BT714" s="591"/>
      <c r="BU714" s="2"/>
      <c r="BV714" s="2"/>
    </row>
    <row r="715" spans="70:74" ht="27" customHeight="1" x14ac:dyDescent="0.25">
      <c r="BR715" s="591"/>
      <c r="BS715" s="591"/>
      <c r="BT715" s="591"/>
      <c r="BU715" s="2"/>
      <c r="BV715" s="2"/>
    </row>
    <row r="716" spans="70:74" ht="27" customHeight="1" x14ac:dyDescent="0.25">
      <c r="BR716" s="591"/>
      <c r="BS716" s="591"/>
      <c r="BT716" s="591"/>
      <c r="BU716" s="2"/>
      <c r="BV716" s="2"/>
    </row>
    <row r="717" spans="70:74" ht="27" customHeight="1" x14ac:dyDescent="0.25">
      <c r="BR717" s="591"/>
      <c r="BS717" s="591"/>
      <c r="BT717" s="591"/>
      <c r="BU717" s="2"/>
      <c r="BV717" s="2"/>
    </row>
    <row r="718" spans="70:74" ht="27" customHeight="1" x14ac:dyDescent="0.25">
      <c r="BR718" s="591"/>
      <c r="BS718" s="591"/>
      <c r="BT718" s="591"/>
      <c r="BU718" s="2"/>
      <c r="BV718" s="2"/>
    </row>
    <row r="719" spans="70:74" ht="27" customHeight="1" x14ac:dyDescent="0.25">
      <c r="BR719" s="591"/>
      <c r="BS719" s="591"/>
      <c r="BT719" s="591"/>
      <c r="BU719" s="2"/>
      <c r="BV719" s="2"/>
    </row>
    <row r="720" spans="70:74" ht="27" customHeight="1" x14ac:dyDescent="0.25">
      <c r="BR720" s="591"/>
      <c r="BS720" s="591"/>
      <c r="BT720" s="591"/>
      <c r="BU720" s="2"/>
      <c r="BV720" s="2"/>
    </row>
    <row r="721" spans="70:74" ht="27" customHeight="1" x14ac:dyDescent="0.25">
      <c r="BR721" s="591"/>
      <c r="BS721" s="591"/>
      <c r="BT721" s="591"/>
      <c r="BU721" s="2"/>
      <c r="BV721" s="2"/>
    </row>
    <row r="722" spans="70:74" ht="27" customHeight="1" x14ac:dyDescent="0.25">
      <c r="BR722" s="591"/>
      <c r="BS722" s="591"/>
      <c r="BT722" s="591"/>
      <c r="BU722" s="2"/>
      <c r="BV722" s="2"/>
    </row>
    <row r="723" spans="70:74" ht="27" customHeight="1" x14ac:dyDescent="0.25">
      <c r="BR723" s="591"/>
      <c r="BS723" s="591"/>
      <c r="BT723" s="591"/>
      <c r="BU723" s="2"/>
      <c r="BV723" s="2"/>
    </row>
    <row r="724" spans="70:74" ht="27" customHeight="1" x14ac:dyDescent="0.25">
      <c r="BR724" s="591"/>
      <c r="BS724" s="591"/>
      <c r="BT724" s="591"/>
      <c r="BU724" s="2"/>
      <c r="BV724" s="2"/>
    </row>
    <row r="725" spans="70:74" ht="27" customHeight="1" x14ac:dyDescent="0.25">
      <c r="BR725" s="591"/>
      <c r="BS725" s="591"/>
      <c r="BT725" s="591"/>
      <c r="BU725" s="2"/>
      <c r="BV725" s="2"/>
    </row>
    <row r="726" spans="70:74" ht="27" customHeight="1" x14ac:dyDescent="0.25">
      <c r="BR726" s="591"/>
      <c r="BS726" s="591"/>
      <c r="BT726" s="591"/>
      <c r="BU726" s="2"/>
      <c r="BV726" s="2"/>
    </row>
    <row r="727" spans="70:74" ht="27" customHeight="1" x14ac:dyDescent="0.25">
      <c r="BR727" s="591"/>
      <c r="BS727" s="591"/>
      <c r="BT727" s="591"/>
      <c r="BU727" s="2"/>
      <c r="BV727" s="2"/>
    </row>
    <row r="728" spans="70:74" ht="27" customHeight="1" x14ac:dyDescent="0.25">
      <c r="BR728" s="591"/>
      <c r="BS728" s="591"/>
      <c r="BT728" s="591"/>
      <c r="BU728" s="2"/>
      <c r="BV728" s="2"/>
    </row>
    <row r="729" spans="70:74" ht="27" customHeight="1" x14ac:dyDescent="0.25">
      <c r="BR729" s="591"/>
      <c r="BS729" s="591"/>
      <c r="BT729" s="591"/>
      <c r="BU729" s="2"/>
      <c r="BV729" s="2"/>
    </row>
    <row r="730" spans="70:74" ht="27" customHeight="1" x14ac:dyDescent="0.25">
      <c r="BR730" s="591"/>
      <c r="BS730" s="591"/>
      <c r="BT730" s="591"/>
      <c r="BU730" s="2"/>
      <c r="BV730" s="2"/>
    </row>
    <row r="731" spans="70:74" ht="27" customHeight="1" x14ac:dyDescent="0.25">
      <c r="BR731" s="591"/>
      <c r="BS731" s="591"/>
      <c r="BT731" s="591"/>
      <c r="BU731" s="2"/>
      <c r="BV731" s="2"/>
    </row>
    <row r="732" spans="70:74" ht="27" customHeight="1" x14ac:dyDescent="0.25">
      <c r="BR732" s="591"/>
      <c r="BS732" s="591"/>
      <c r="BT732" s="591"/>
      <c r="BU732" s="2"/>
      <c r="BV732" s="2"/>
    </row>
    <row r="733" spans="70:74" ht="27" customHeight="1" x14ac:dyDescent="0.25">
      <c r="BR733" s="591"/>
      <c r="BS733" s="591"/>
      <c r="BT733" s="591"/>
      <c r="BU733" s="2"/>
      <c r="BV733" s="2"/>
    </row>
    <row r="734" spans="70:74" ht="27" customHeight="1" x14ac:dyDescent="0.25">
      <c r="BR734" s="591"/>
      <c r="BS734" s="591"/>
      <c r="BT734" s="591"/>
      <c r="BU734" s="2"/>
      <c r="BV734" s="2"/>
    </row>
    <row r="735" spans="70:74" ht="27" customHeight="1" x14ac:dyDescent="0.25">
      <c r="BR735" s="591"/>
      <c r="BS735" s="591"/>
      <c r="BT735" s="591"/>
      <c r="BU735" s="2"/>
      <c r="BV735" s="2"/>
    </row>
    <row r="736" spans="70:74" ht="27" customHeight="1" x14ac:dyDescent="0.25">
      <c r="BR736" s="591"/>
      <c r="BS736" s="591"/>
      <c r="BT736" s="591"/>
      <c r="BU736" s="2"/>
      <c r="BV736" s="2"/>
    </row>
    <row r="737" spans="70:74" ht="27" customHeight="1" x14ac:dyDescent="0.25">
      <c r="BR737" s="591"/>
      <c r="BS737" s="591"/>
      <c r="BT737" s="591"/>
      <c r="BU737" s="2"/>
      <c r="BV737" s="2"/>
    </row>
    <row r="738" spans="70:74" ht="27" customHeight="1" x14ac:dyDescent="0.25">
      <c r="BR738" s="591"/>
      <c r="BS738" s="591"/>
      <c r="BT738" s="591"/>
      <c r="BU738" s="2"/>
      <c r="BV738" s="2"/>
    </row>
    <row r="739" spans="70:74" ht="27" customHeight="1" x14ac:dyDescent="0.25">
      <c r="BR739" s="591"/>
      <c r="BS739" s="591"/>
      <c r="BT739" s="591"/>
      <c r="BU739" s="2"/>
      <c r="BV739" s="2"/>
    </row>
    <row r="740" spans="70:74" ht="27" customHeight="1" x14ac:dyDescent="0.25">
      <c r="BR740" s="591"/>
      <c r="BS740" s="591"/>
      <c r="BT740" s="591"/>
      <c r="BU740" s="2"/>
      <c r="BV740" s="2"/>
    </row>
    <row r="741" spans="70:74" ht="27" customHeight="1" x14ac:dyDescent="0.25">
      <c r="BR741" s="591"/>
      <c r="BS741" s="591"/>
      <c r="BT741" s="591"/>
      <c r="BU741" s="2"/>
      <c r="BV741" s="2"/>
    </row>
    <row r="742" spans="70:74" ht="27" customHeight="1" x14ac:dyDescent="0.25">
      <c r="BR742" s="591"/>
      <c r="BS742" s="591"/>
      <c r="BT742" s="591"/>
      <c r="BU742" s="2"/>
      <c r="BV742" s="2"/>
    </row>
    <row r="743" spans="70:74" ht="27" customHeight="1" x14ac:dyDescent="0.25">
      <c r="BR743" s="591"/>
      <c r="BS743" s="591"/>
      <c r="BT743" s="591"/>
      <c r="BU743" s="2"/>
      <c r="BV743" s="2"/>
    </row>
    <row r="744" spans="70:74" ht="27" customHeight="1" x14ac:dyDescent="0.25">
      <c r="BR744" s="591"/>
      <c r="BS744" s="591"/>
      <c r="BT744" s="591"/>
      <c r="BU744" s="2"/>
      <c r="BV744" s="2"/>
    </row>
    <row r="745" spans="70:74" ht="27" customHeight="1" x14ac:dyDescent="0.25">
      <c r="BR745" s="591"/>
      <c r="BS745" s="591"/>
      <c r="BT745" s="591"/>
      <c r="BU745" s="2"/>
      <c r="BV745" s="2"/>
    </row>
    <row r="746" spans="70:74" ht="27" customHeight="1" x14ac:dyDescent="0.25">
      <c r="BR746" s="591"/>
      <c r="BS746" s="591"/>
      <c r="BT746" s="591"/>
      <c r="BU746" s="2"/>
      <c r="BV746" s="2"/>
    </row>
    <row r="747" spans="70:74" ht="27" customHeight="1" x14ac:dyDescent="0.25">
      <c r="BR747" s="591"/>
      <c r="BS747" s="591"/>
      <c r="BT747" s="591"/>
      <c r="BU747" s="2"/>
      <c r="BV747" s="2"/>
    </row>
    <row r="748" spans="70:74" ht="27" customHeight="1" x14ac:dyDescent="0.25">
      <c r="BR748" s="591"/>
      <c r="BS748" s="591"/>
      <c r="BT748" s="591"/>
      <c r="BU748" s="2"/>
      <c r="BV748" s="2"/>
    </row>
    <row r="749" spans="70:74" ht="27" customHeight="1" x14ac:dyDescent="0.25">
      <c r="BR749" s="591"/>
      <c r="BS749" s="591"/>
      <c r="BT749" s="591"/>
      <c r="BU749" s="2"/>
      <c r="BV749" s="2"/>
    </row>
    <row r="750" spans="70:74" ht="27" customHeight="1" x14ac:dyDescent="0.25">
      <c r="BR750" s="591"/>
      <c r="BS750" s="591"/>
      <c r="BT750" s="591"/>
      <c r="BU750" s="2"/>
      <c r="BV750" s="2"/>
    </row>
    <row r="751" spans="70:74" ht="27" customHeight="1" x14ac:dyDescent="0.25">
      <c r="BR751" s="591"/>
      <c r="BS751" s="591"/>
      <c r="BT751" s="591"/>
      <c r="BU751" s="2"/>
      <c r="BV751" s="2"/>
    </row>
    <row r="752" spans="70:74" ht="27" customHeight="1" x14ac:dyDescent="0.25">
      <c r="BR752" s="591"/>
      <c r="BS752" s="591"/>
      <c r="BT752" s="591"/>
      <c r="BU752" s="2"/>
      <c r="BV752" s="2"/>
    </row>
    <row r="753" spans="70:74" ht="27" customHeight="1" x14ac:dyDescent="0.25">
      <c r="BR753" s="591"/>
      <c r="BS753" s="591"/>
      <c r="BT753" s="591"/>
      <c r="BU753" s="2"/>
      <c r="BV753" s="2"/>
    </row>
    <row r="754" spans="70:74" ht="27" customHeight="1" x14ac:dyDescent="0.25">
      <c r="BR754" s="591"/>
      <c r="BS754" s="591"/>
      <c r="BT754" s="591"/>
      <c r="BU754" s="2"/>
      <c r="BV754" s="2"/>
    </row>
    <row r="755" spans="70:74" ht="27" customHeight="1" x14ac:dyDescent="0.25">
      <c r="BR755" s="591"/>
      <c r="BS755" s="591"/>
      <c r="BT755" s="591"/>
      <c r="BU755" s="2"/>
      <c r="BV755" s="2"/>
    </row>
    <row r="756" spans="70:74" ht="27" customHeight="1" x14ac:dyDescent="0.25">
      <c r="BR756" s="591"/>
      <c r="BS756" s="591"/>
      <c r="BT756" s="591"/>
      <c r="BU756" s="2"/>
      <c r="BV756" s="2"/>
    </row>
    <row r="757" spans="70:74" ht="27" customHeight="1" x14ac:dyDescent="0.25">
      <c r="BR757" s="591"/>
      <c r="BS757" s="591"/>
      <c r="BT757" s="591"/>
      <c r="BU757" s="2"/>
      <c r="BV757" s="2"/>
    </row>
    <row r="758" spans="70:74" ht="27" customHeight="1" x14ac:dyDescent="0.25">
      <c r="BR758" s="591"/>
      <c r="BS758" s="591"/>
      <c r="BT758" s="591"/>
      <c r="BU758" s="2"/>
      <c r="BV758" s="2"/>
    </row>
    <row r="759" spans="70:74" ht="27" customHeight="1" x14ac:dyDescent="0.25">
      <c r="BR759" s="591"/>
      <c r="BS759" s="591"/>
      <c r="BT759" s="591"/>
      <c r="BU759" s="2"/>
      <c r="BV759" s="2"/>
    </row>
    <row r="760" spans="70:74" ht="27" customHeight="1" x14ac:dyDescent="0.25">
      <c r="BR760" s="591"/>
      <c r="BS760" s="591"/>
      <c r="BT760" s="591"/>
      <c r="BU760" s="2"/>
      <c r="BV760" s="2"/>
    </row>
    <row r="761" spans="70:74" ht="27" customHeight="1" x14ac:dyDescent="0.25">
      <c r="BR761" s="591"/>
      <c r="BS761" s="591"/>
      <c r="BT761" s="591"/>
      <c r="BU761" s="2"/>
      <c r="BV761" s="2"/>
    </row>
    <row r="762" spans="70:74" ht="27" customHeight="1" x14ac:dyDescent="0.25">
      <c r="BR762" s="591"/>
      <c r="BS762" s="591"/>
      <c r="BT762" s="591"/>
      <c r="BU762" s="2"/>
      <c r="BV762" s="2"/>
    </row>
    <row r="763" spans="70:74" ht="27" customHeight="1" x14ac:dyDescent="0.25">
      <c r="BR763" s="591"/>
      <c r="BS763" s="591"/>
      <c r="BT763" s="591"/>
      <c r="BU763" s="2"/>
      <c r="BV763" s="2"/>
    </row>
    <row r="764" spans="70:74" ht="27" customHeight="1" x14ac:dyDescent="0.25">
      <c r="BR764" s="591"/>
      <c r="BS764" s="591"/>
      <c r="BT764" s="591"/>
      <c r="BU764" s="2"/>
      <c r="BV764" s="2"/>
    </row>
    <row r="765" spans="70:74" ht="27" customHeight="1" x14ac:dyDescent="0.25">
      <c r="BR765" s="591"/>
      <c r="BS765" s="591"/>
      <c r="BT765" s="591"/>
      <c r="BU765" s="2"/>
      <c r="BV765" s="2"/>
    </row>
    <row r="766" spans="70:74" ht="27" customHeight="1" x14ac:dyDescent="0.25">
      <c r="BR766" s="591"/>
      <c r="BS766" s="591"/>
      <c r="BT766" s="591"/>
      <c r="BU766" s="2"/>
      <c r="BV766" s="2"/>
    </row>
    <row r="767" spans="70:74" ht="27" customHeight="1" x14ac:dyDescent="0.25">
      <c r="BR767" s="591"/>
      <c r="BS767" s="591"/>
      <c r="BT767" s="591"/>
      <c r="BU767" s="2"/>
      <c r="BV767" s="2"/>
    </row>
    <row r="768" spans="70:74" ht="27" customHeight="1" x14ac:dyDescent="0.25">
      <c r="BR768" s="591"/>
      <c r="BS768" s="591"/>
      <c r="BT768" s="591"/>
      <c r="BU768" s="2"/>
      <c r="BV768" s="2"/>
    </row>
    <row r="769" spans="70:74" ht="27" customHeight="1" x14ac:dyDescent="0.25">
      <c r="BR769" s="591"/>
      <c r="BS769" s="591"/>
      <c r="BT769" s="591"/>
      <c r="BU769" s="2"/>
      <c r="BV769" s="2"/>
    </row>
    <row r="770" spans="70:74" ht="27" customHeight="1" x14ac:dyDescent="0.25">
      <c r="BR770" s="591"/>
      <c r="BS770" s="591"/>
      <c r="BT770" s="591"/>
      <c r="BU770" s="2"/>
      <c r="BV770" s="2"/>
    </row>
    <row r="771" spans="70:74" ht="27" customHeight="1" x14ac:dyDescent="0.25">
      <c r="BR771" s="591"/>
      <c r="BS771" s="591"/>
      <c r="BT771" s="591"/>
      <c r="BU771" s="2"/>
      <c r="BV771" s="2"/>
    </row>
    <row r="772" spans="70:74" ht="27" customHeight="1" x14ac:dyDescent="0.25">
      <c r="BR772" s="591"/>
      <c r="BS772" s="591"/>
      <c r="BT772" s="591"/>
      <c r="BU772" s="2"/>
      <c r="BV772" s="2"/>
    </row>
    <row r="773" spans="70:74" ht="27" customHeight="1" x14ac:dyDescent="0.25">
      <c r="BR773" s="591"/>
      <c r="BS773" s="591"/>
      <c r="BT773" s="591"/>
      <c r="BU773" s="2"/>
      <c r="BV773" s="2"/>
    </row>
    <row r="774" spans="70:74" ht="27" customHeight="1" x14ac:dyDescent="0.25">
      <c r="BR774" s="591"/>
      <c r="BS774" s="591"/>
      <c r="BT774" s="591"/>
      <c r="BU774" s="2"/>
      <c r="BV774" s="2"/>
    </row>
    <row r="775" spans="70:74" ht="27" customHeight="1" x14ac:dyDescent="0.25">
      <c r="BR775" s="591"/>
      <c r="BS775" s="591"/>
      <c r="BT775" s="591"/>
      <c r="BU775" s="2"/>
      <c r="BV775" s="2"/>
    </row>
    <row r="776" spans="70:74" ht="27" customHeight="1" x14ac:dyDescent="0.25">
      <c r="BR776" s="591"/>
      <c r="BS776" s="591"/>
      <c r="BT776" s="591"/>
      <c r="BU776" s="2"/>
      <c r="BV776" s="2"/>
    </row>
    <row r="777" spans="70:74" ht="27" customHeight="1" x14ac:dyDescent="0.25">
      <c r="BR777" s="591"/>
      <c r="BS777" s="591"/>
      <c r="BT777" s="591"/>
      <c r="BU777" s="2"/>
      <c r="BV777" s="2"/>
    </row>
    <row r="778" spans="70:74" ht="27" customHeight="1" x14ac:dyDescent="0.25">
      <c r="BR778" s="591"/>
      <c r="BS778" s="591"/>
      <c r="BT778" s="591"/>
      <c r="BU778" s="2"/>
      <c r="BV778" s="2"/>
    </row>
    <row r="779" spans="70:74" ht="27" customHeight="1" x14ac:dyDescent="0.25">
      <c r="BR779" s="591"/>
      <c r="BS779" s="591"/>
      <c r="BT779" s="591"/>
      <c r="BU779" s="2"/>
      <c r="BV779" s="2"/>
    </row>
    <row r="780" spans="70:74" ht="27" customHeight="1" x14ac:dyDescent="0.25">
      <c r="BR780" s="591"/>
      <c r="BS780" s="591"/>
      <c r="BT780" s="591"/>
      <c r="BU780" s="2"/>
      <c r="BV780" s="2"/>
    </row>
    <row r="781" spans="70:74" ht="27" customHeight="1" x14ac:dyDescent="0.25">
      <c r="BR781" s="591"/>
      <c r="BS781" s="591"/>
      <c r="BT781" s="591"/>
      <c r="BU781" s="2"/>
      <c r="BV781" s="2"/>
    </row>
    <row r="782" spans="70:74" ht="27" customHeight="1" x14ac:dyDescent="0.25">
      <c r="BR782" s="591"/>
      <c r="BS782" s="591"/>
      <c r="BT782" s="591"/>
      <c r="BU782" s="2"/>
      <c r="BV782" s="2"/>
    </row>
    <row r="783" spans="70:74" ht="27" customHeight="1" x14ac:dyDescent="0.25">
      <c r="BR783" s="591"/>
      <c r="BS783" s="591"/>
      <c r="BT783" s="591"/>
      <c r="BU783" s="2"/>
      <c r="BV783" s="2"/>
    </row>
    <row r="784" spans="70:74" ht="27" customHeight="1" x14ac:dyDescent="0.25">
      <c r="BR784" s="591"/>
      <c r="BS784" s="591"/>
      <c r="BT784" s="591"/>
      <c r="BU784" s="2"/>
      <c r="BV784" s="2"/>
    </row>
    <row r="785" spans="70:74" ht="27" customHeight="1" x14ac:dyDescent="0.25">
      <c r="BR785" s="591"/>
      <c r="BS785" s="591"/>
      <c r="BT785" s="591"/>
      <c r="BU785" s="2"/>
      <c r="BV785" s="2"/>
    </row>
    <row r="786" spans="70:74" ht="27" customHeight="1" x14ac:dyDescent="0.25">
      <c r="BR786" s="591"/>
      <c r="BS786" s="591"/>
      <c r="BT786" s="591"/>
      <c r="BU786" s="2"/>
      <c r="BV786" s="2"/>
    </row>
    <row r="787" spans="70:74" ht="27" customHeight="1" x14ac:dyDescent="0.25">
      <c r="BR787" s="591"/>
      <c r="BS787" s="591"/>
      <c r="BT787" s="591"/>
      <c r="BU787" s="2"/>
      <c r="BV787" s="2"/>
    </row>
    <row r="788" spans="70:74" ht="27" customHeight="1" x14ac:dyDescent="0.25">
      <c r="BR788" s="591"/>
      <c r="BS788" s="591"/>
      <c r="BT788" s="591"/>
      <c r="BU788" s="2"/>
      <c r="BV788" s="2"/>
    </row>
    <row r="789" spans="70:74" ht="27" customHeight="1" x14ac:dyDescent="0.25">
      <c r="BR789" s="591"/>
      <c r="BS789" s="591"/>
      <c r="BT789" s="591"/>
      <c r="BU789" s="2"/>
      <c r="BV789" s="2"/>
    </row>
    <row r="790" spans="70:74" ht="27" customHeight="1" x14ac:dyDescent="0.25">
      <c r="BR790" s="591"/>
      <c r="BS790" s="591"/>
      <c r="BT790" s="591"/>
      <c r="BU790" s="2"/>
      <c r="BV790" s="2"/>
    </row>
    <row r="791" spans="70:74" ht="27" customHeight="1" x14ac:dyDescent="0.25">
      <c r="BR791" s="591"/>
      <c r="BS791" s="591"/>
      <c r="BT791" s="591"/>
      <c r="BU791" s="2"/>
      <c r="BV791" s="2"/>
    </row>
    <row r="792" spans="70:74" ht="27" customHeight="1" x14ac:dyDescent="0.25">
      <c r="BR792" s="591"/>
      <c r="BS792" s="591"/>
      <c r="BT792" s="591"/>
      <c r="BU792" s="2"/>
      <c r="BV792" s="2"/>
    </row>
    <row r="793" spans="70:74" ht="27" customHeight="1" x14ac:dyDescent="0.25">
      <c r="BR793" s="591"/>
      <c r="BS793" s="591"/>
      <c r="BT793" s="591"/>
      <c r="BU793" s="2"/>
      <c r="BV793" s="2"/>
    </row>
    <row r="794" spans="70:74" ht="27" customHeight="1" x14ac:dyDescent="0.25">
      <c r="BR794" s="591"/>
      <c r="BS794" s="591"/>
      <c r="BT794" s="591"/>
      <c r="BU794" s="2"/>
      <c r="BV794" s="2"/>
    </row>
    <row r="795" spans="70:74" ht="27" customHeight="1" x14ac:dyDescent="0.25">
      <c r="BR795" s="591"/>
      <c r="BS795" s="591"/>
      <c r="BT795" s="591"/>
      <c r="BU795" s="2"/>
      <c r="BV795" s="2"/>
    </row>
    <row r="796" spans="70:74" ht="27" customHeight="1" x14ac:dyDescent="0.25">
      <c r="BR796" s="591"/>
      <c r="BS796" s="591"/>
      <c r="BT796" s="591"/>
      <c r="BU796" s="2"/>
      <c r="BV796" s="2"/>
    </row>
    <row r="797" spans="70:74" ht="27" customHeight="1" x14ac:dyDescent="0.25">
      <c r="BR797" s="591"/>
      <c r="BS797" s="591"/>
      <c r="BT797" s="591"/>
      <c r="BU797" s="2"/>
      <c r="BV797" s="2"/>
    </row>
    <row r="798" spans="70:74" ht="27" customHeight="1" x14ac:dyDescent="0.25">
      <c r="BR798" s="591"/>
      <c r="BS798" s="591"/>
      <c r="BT798" s="591"/>
      <c r="BU798" s="2"/>
      <c r="BV798" s="2"/>
    </row>
    <row r="799" spans="70:74" ht="27" customHeight="1" x14ac:dyDescent="0.25">
      <c r="BR799" s="591"/>
      <c r="BS799" s="591"/>
      <c r="BT799" s="591"/>
      <c r="BU799" s="2"/>
      <c r="BV799" s="2"/>
    </row>
    <row r="800" spans="70:74" ht="27" customHeight="1" x14ac:dyDescent="0.25">
      <c r="BR800" s="591"/>
      <c r="BS800" s="591"/>
      <c r="BT800" s="591"/>
      <c r="BU800" s="2"/>
      <c r="BV800" s="2"/>
    </row>
    <row r="801" spans="70:74" ht="27" customHeight="1" x14ac:dyDescent="0.25">
      <c r="BR801" s="591"/>
      <c r="BS801" s="591"/>
      <c r="BT801" s="591"/>
      <c r="BU801" s="2"/>
      <c r="BV801" s="2"/>
    </row>
    <row r="802" spans="70:74" ht="27" customHeight="1" x14ac:dyDescent="0.25">
      <c r="BR802" s="591"/>
      <c r="BS802" s="591"/>
      <c r="BT802" s="591"/>
      <c r="BU802" s="2"/>
      <c r="BV802" s="2"/>
    </row>
    <row r="803" spans="70:74" ht="27" customHeight="1" x14ac:dyDescent="0.25">
      <c r="BR803" s="591"/>
      <c r="BS803" s="591"/>
      <c r="BT803" s="591"/>
      <c r="BU803" s="2"/>
      <c r="BV803" s="2"/>
    </row>
    <row r="804" spans="70:74" ht="27" customHeight="1" x14ac:dyDescent="0.25">
      <c r="BR804" s="591"/>
      <c r="BS804" s="591"/>
      <c r="BT804" s="591"/>
      <c r="BU804" s="2"/>
      <c r="BV804" s="2"/>
    </row>
    <row r="805" spans="70:74" ht="27" customHeight="1" x14ac:dyDescent="0.25">
      <c r="BR805" s="591"/>
      <c r="BS805" s="591"/>
      <c r="BT805" s="591"/>
      <c r="BU805" s="2"/>
      <c r="BV805" s="2"/>
    </row>
    <row r="806" spans="70:74" ht="27" customHeight="1" x14ac:dyDescent="0.25">
      <c r="BR806" s="591"/>
      <c r="BS806" s="591"/>
      <c r="BT806" s="591"/>
      <c r="BU806" s="2"/>
      <c r="BV806" s="2"/>
    </row>
    <row r="807" spans="70:74" ht="27" customHeight="1" x14ac:dyDescent="0.25">
      <c r="BR807" s="591"/>
      <c r="BS807" s="591"/>
      <c r="BT807" s="591"/>
      <c r="BU807" s="2"/>
      <c r="BV807" s="2"/>
    </row>
    <row r="808" spans="70:74" ht="27" customHeight="1" x14ac:dyDescent="0.25">
      <c r="BR808" s="591"/>
      <c r="BS808" s="591"/>
      <c r="BT808" s="591"/>
      <c r="BU808" s="2"/>
      <c r="BV808" s="2"/>
    </row>
    <row r="809" spans="70:74" ht="27" customHeight="1" x14ac:dyDescent="0.25">
      <c r="BR809" s="591"/>
      <c r="BS809" s="591"/>
      <c r="BT809" s="591"/>
      <c r="BU809" s="2"/>
      <c r="BV809" s="2"/>
    </row>
    <row r="810" spans="70:74" ht="27" customHeight="1" x14ac:dyDescent="0.25">
      <c r="BR810" s="591"/>
      <c r="BS810" s="591"/>
      <c r="BT810" s="591"/>
      <c r="BU810" s="2"/>
      <c r="BV810" s="2"/>
    </row>
    <row r="811" spans="70:74" ht="27" customHeight="1" x14ac:dyDescent="0.25">
      <c r="BR811" s="591"/>
      <c r="BS811" s="591"/>
      <c r="BT811" s="591"/>
      <c r="BU811" s="2"/>
      <c r="BV811" s="2"/>
    </row>
    <row r="812" spans="70:74" ht="27" customHeight="1" x14ac:dyDescent="0.25">
      <c r="BR812" s="591"/>
      <c r="BS812" s="591"/>
      <c r="BT812" s="591"/>
      <c r="BU812" s="2"/>
      <c r="BV812" s="2"/>
    </row>
    <row r="813" spans="70:74" ht="27" customHeight="1" x14ac:dyDescent="0.25">
      <c r="BR813" s="591"/>
      <c r="BS813" s="591"/>
      <c r="BT813" s="591"/>
      <c r="BU813" s="2"/>
      <c r="BV813" s="2"/>
    </row>
    <row r="814" spans="70:74" ht="27" customHeight="1" x14ac:dyDescent="0.25">
      <c r="BR814" s="591"/>
      <c r="BS814" s="591"/>
      <c r="BT814" s="591"/>
      <c r="BU814" s="2"/>
      <c r="BV814" s="2"/>
    </row>
    <row r="815" spans="70:74" ht="27" customHeight="1" x14ac:dyDescent="0.25">
      <c r="BR815" s="591"/>
      <c r="BS815" s="591"/>
      <c r="BT815" s="591"/>
      <c r="BU815" s="2"/>
      <c r="BV815" s="2"/>
    </row>
    <row r="816" spans="70:74" ht="27" customHeight="1" x14ac:dyDescent="0.25">
      <c r="BR816" s="591"/>
      <c r="BS816" s="591"/>
      <c r="BT816" s="591"/>
      <c r="BU816" s="2"/>
      <c r="BV816" s="2"/>
    </row>
    <row r="817" spans="70:74" ht="27" customHeight="1" x14ac:dyDescent="0.25">
      <c r="BR817" s="591"/>
      <c r="BS817" s="591"/>
      <c r="BT817" s="591"/>
      <c r="BU817" s="2"/>
      <c r="BV817" s="2"/>
    </row>
    <row r="818" spans="70:74" ht="27" customHeight="1" x14ac:dyDescent="0.25">
      <c r="BR818" s="591"/>
      <c r="BS818" s="591"/>
      <c r="BT818" s="591"/>
      <c r="BU818" s="2"/>
      <c r="BV818" s="2"/>
    </row>
    <row r="819" spans="70:74" ht="27" customHeight="1" x14ac:dyDescent="0.25">
      <c r="BR819" s="591"/>
      <c r="BS819" s="591"/>
      <c r="BT819" s="591"/>
      <c r="BU819" s="2"/>
      <c r="BV819" s="2"/>
    </row>
    <row r="820" spans="70:74" ht="27" customHeight="1" x14ac:dyDescent="0.25">
      <c r="BR820" s="591"/>
      <c r="BS820" s="591"/>
      <c r="BT820" s="591"/>
      <c r="BU820" s="2"/>
      <c r="BV820" s="2"/>
    </row>
    <row r="821" spans="70:74" ht="27" customHeight="1" x14ac:dyDescent="0.25">
      <c r="BR821" s="591"/>
      <c r="BS821" s="591"/>
      <c r="BT821" s="591"/>
      <c r="BU821" s="2"/>
      <c r="BV821" s="2"/>
    </row>
    <row r="822" spans="70:74" ht="27" customHeight="1" x14ac:dyDescent="0.25">
      <c r="BR822" s="591"/>
      <c r="BS822" s="591"/>
      <c r="BT822" s="591"/>
      <c r="BU822" s="2"/>
      <c r="BV822" s="2"/>
    </row>
    <row r="823" spans="70:74" ht="27" customHeight="1" x14ac:dyDescent="0.25">
      <c r="BR823" s="591"/>
      <c r="BS823" s="591"/>
      <c r="BT823" s="591"/>
      <c r="BU823" s="2"/>
      <c r="BV823" s="2"/>
    </row>
    <row r="824" spans="70:74" ht="27" customHeight="1" x14ac:dyDescent="0.25">
      <c r="BR824" s="591"/>
      <c r="BS824" s="591"/>
      <c r="BT824" s="591"/>
      <c r="BU824" s="2"/>
      <c r="BV824" s="2"/>
    </row>
    <row r="825" spans="70:74" ht="27" customHeight="1" x14ac:dyDescent="0.25">
      <c r="BR825" s="591"/>
      <c r="BS825" s="591"/>
      <c r="BT825" s="591"/>
      <c r="BU825" s="2"/>
      <c r="BV825" s="2"/>
    </row>
    <row r="826" spans="70:74" ht="27" customHeight="1" x14ac:dyDescent="0.25">
      <c r="BR826" s="591"/>
      <c r="BS826" s="591"/>
      <c r="BT826" s="591"/>
      <c r="BU826" s="2"/>
      <c r="BV826" s="2"/>
    </row>
    <row r="827" spans="70:74" ht="27" customHeight="1" x14ac:dyDescent="0.25">
      <c r="BR827" s="591"/>
      <c r="BS827" s="591"/>
      <c r="BT827" s="591"/>
      <c r="BU827" s="2"/>
      <c r="BV827" s="2"/>
    </row>
    <row r="828" spans="70:74" ht="27" customHeight="1" x14ac:dyDescent="0.25">
      <c r="BR828" s="591"/>
      <c r="BS828" s="591"/>
      <c r="BT828" s="591"/>
      <c r="BU828" s="2"/>
      <c r="BV828" s="2"/>
    </row>
    <row r="829" spans="70:74" ht="27" customHeight="1" x14ac:dyDescent="0.25">
      <c r="BR829" s="591"/>
      <c r="BS829" s="591"/>
      <c r="BT829" s="591"/>
      <c r="BU829" s="2"/>
      <c r="BV829" s="2"/>
    </row>
    <row r="830" spans="70:74" ht="27" customHeight="1" x14ac:dyDescent="0.25">
      <c r="BR830" s="591"/>
      <c r="BS830" s="591"/>
      <c r="BT830" s="591"/>
      <c r="BU830" s="2"/>
      <c r="BV830" s="2"/>
    </row>
    <row r="831" spans="70:74" ht="27" customHeight="1" x14ac:dyDescent="0.25">
      <c r="BR831" s="591"/>
      <c r="BS831" s="591"/>
      <c r="BT831" s="591"/>
      <c r="BU831" s="2"/>
      <c r="BV831" s="2"/>
    </row>
    <row r="832" spans="70:74" ht="27" customHeight="1" x14ac:dyDescent="0.25">
      <c r="BR832" s="591"/>
      <c r="BS832" s="591"/>
      <c r="BT832" s="591"/>
      <c r="BU832" s="2"/>
      <c r="BV832" s="2"/>
    </row>
    <row r="833" spans="70:74" ht="27" customHeight="1" x14ac:dyDescent="0.25">
      <c r="BR833" s="591"/>
      <c r="BS833" s="591"/>
      <c r="BT833" s="591"/>
      <c r="BU833" s="2"/>
      <c r="BV833" s="2"/>
    </row>
    <row r="834" spans="70:74" ht="27" customHeight="1" x14ac:dyDescent="0.25">
      <c r="BR834" s="591"/>
      <c r="BS834" s="591"/>
      <c r="BT834" s="591"/>
      <c r="BU834" s="2"/>
      <c r="BV834" s="2"/>
    </row>
    <row r="835" spans="70:74" ht="27" customHeight="1" x14ac:dyDescent="0.25">
      <c r="BR835" s="591"/>
      <c r="BS835" s="591"/>
      <c r="BT835" s="591"/>
      <c r="BU835" s="2"/>
      <c r="BV835" s="2"/>
    </row>
    <row r="836" spans="70:74" ht="27" customHeight="1" x14ac:dyDescent="0.25">
      <c r="BR836" s="591"/>
      <c r="BS836" s="591"/>
      <c r="BT836" s="591"/>
      <c r="BU836" s="2"/>
      <c r="BV836" s="2"/>
    </row>
    <row r="837" spans="70:74" ht="27" customHeight="1" x14ac:dyDescent="0.25">
      <c r="BR837" s="591"/>
      <c r="BS837" s="591"/>
      <c r="BT837" s="591"/>
      <c r="BU837" s="2"/>
      <c r="BV837" s="2"/>
    </row>
    <row r="838" spans="70:74" ht="27" customHeight="1" x14ac:dyDescent="0.25">
      <c r="BR838" s="591"/>
      <c r="BS838" s="591"/>
      <c r="BT838" s="591"/>
      <c r="BU838" s="2"/>
      <c r="BV838" s="2"/>
    </row>
    <row r="839" spans="70:74" ht="27" customHeight="1" x14ac:dyDescent="0.25">
      <c r="BR839" s="591"/>
      <c r="BS839" s="591"/>
      <c r="BT839" s="591"/>
      <c r="BU839" s="2"/>
      <c r="BV839" s="2"/>
    </row>
    <row r="840" spans="70:74" ht="27" customHeight="1" x14ac:dyDescent="0.25">
      <c r="BR840" s="591"/>
      <c r="BS840" s="591"/>
      <c r="BT840" s="591"/>
      <c r="BU840" s="2"/>
      <c r="BV840" s="2"/>
    </row>
    <row r="841" spans="70:74" ht="27" customHeight="1" x14ac:dyDescent="0.25">
      <c r="BR841" s="591"/>
      <c r="BS841" s="591"/>
      <c r="BT841" s="591"/>
      <c r="BU841" s="2"/>
      <c r="BV841" s="2"/>
    </row>
    <row r="842" spans="70:74" ht="27" customHeight="1" x14ac:dyDescent="0.25">
      <c r="BR842" s="591"/>
      <c r="BS842" s="591"/>
      <c r="BT842" s="591"/>
      <c r="BU842" s="2"/>
      <c r="BV842" s="2"/>
    </row>
    <row r="843" spans="70:74" ht="27" customHeight="1" x14ac:dyDescent="0.25">
      <c r="BR843" s="591"/>
      <c r="BS843" s="591"/>
      <c r="BT843" s="591"/>
      <c r="BU843" s="2"/>
      <c r="BV843" s="2"/>
    </row>
    <row r="844" spans="70:74" ht="27" customHeight="1" x14ac:dyDescent="0.25">
      <c r="BR844" s="591"/>
      <c r="BS844" s="591"/>
      <c r="BT844" s="591"/>
      <c r="BU844" s="2"/>
      <c r="BV844" s="2"/>
    </row>
    <row r="845" spans="70:74" ht="27" customHeight="1" x14ac:dyDescent="0.25">
      <c r="BR845" s="591"/>
      <c r="BS845" s="591"/>
      <c r="BT845" s="591"/>
      <c r="BU845" s="2"/>
      <c r="BV845" s="2"/>
    </row>
    <row r="846" spans="70:74" ht="27" customHeight="1" x14ac:dyDescent="0.25">
      <c r="BR846" s="591"/>
      <c r="BS846" s="591"/>
      <c r="BT846" s="591"/>
      <c r="BU846" s="2"/>
      <c r="BV846" s="2"/>
    </row>
    <row r="847" spans="70:74" ht="27" customHeight="1" x14ac:dyDescent="0.25">
      <c r="BR847" s="591"/>
      <c r="BS847" s="591"/>
      <c r="BT847" s="591"/>
      <c r="BU847" s="2"/>
      <c r="BV847" s="2"/>
    </row>
    <row r="848" spans="70:74" ht="27" customHeight="1" x14ac:dyDescent="0.25">
      <c r="BR848" s="591"/>
      <c r="BS848" s="591"/>
      <c r="BT848" s="591"/>
      <c r="BU848" s="2"/>
      <c r="BV848" s="2"/>
    </row>
    <row r="849" spans="70:74" ht="27" customHeight="1" x14ac:dyDescent="0.25">
      <c r="BR849" s="591"/>
      <c r="BS849" s="591"/>
      <c r="BT849" s="591"/>
      <c r="BU849" s="2"/>
      <c r="BV849" s="2"/>
    </row>
    <row r="850" spans="70:74" ht="27" customHeight="1" x14ac:dyDescent="0.25">
      <c r="BR850" s="591"/>
      <c r="BS850" s="591"/>
      <c r="BT850" s="591"/>
      <c r="BU850" s="2"/>
      <c r="BV850" s="2"/>
    </row>
    <row r="851" spans="70:74" ht="27" customHeight="1" x14ac:dyDescent="0.25">
      <c r="BR851" s="591"/>
      <c r="BS851" s="591"/>
      <c r="BT851" s="591"/>
      <c r="BU851" s="2"/>
      <c r="BV851" s="2"/>
    </row>
    <row r="852" spans="70:74" ht="27" customHeight="1" x14ac:dyDescent="0.25">
      <c r="BR852" s="591"/>
      <c r="BS852" s="591"/>
      <c r="BT852" s="591"/>
      <c r="BU852" s="2"/>
      <c r="BV852" s="2"/>
    </row>
    <row r="853" spans="70:74" ht="27" customHeight="1" x14ac:dyDescent="0.25">
      <c r="BR853" s="591"/>
      <c r="BS853" s="591"/>
      <c r="BT853" s="591"/>
      <c r="BU853" s="2"/>
      <c r="BV853" s="2"/>
    </row>
    <row r="854" spans="70:74" ht="27" customHeight="1" x14ac:dyDescent="0.25">
      <c r="BR854" s="591"/>
      <c r="BS854" s="591"/>
      <c r="BT854" s="591"/>
      <c r="BU854" s="2"/>
      <c r="BV854" s="2"/>
    </row>
    <row r="855" spans="70:74" ht="27" customHeight="1" x14ac:dyDescent="0.25">
      <c r="BR855" s="591"/>
      <c r="BS855" s="591"/>
      <c r="BT855" s="591"/>
      <c r="BU855" s="2"/>
      <c r="BV855" s="2"/>
    </row>
    <row r="856" spans="70:74" ht="27" customHeight="1" x14ac:dyDescent="0.25">
      <c r="BR856" s="591"/>
      <c r="BS856" s="591"/>
      <c r="BT856" s="591"/>
      <c r="BU856" s="2"/>
      <c r="BV856" s="2"/>
    </row>
    <row r="857" spans="70:74" ht="27" customHeight="1" x14ac:dyDescent="0.25">
      <c r="BR857" s="591"/>
      <c r="BS857" s="591"/>
      <c r="BT857" s="591"/>
      <c r="BU857" s="2"/>
      <c r="BV857" s="2"/>
    </row>
    <row r="858" spans="70:74" ht="27" customHeight="1" x14ac:dyDescent="0.25">
      <c r="BR858" s="591"/>
      <c r="BS858" s="591"/>
      <c r="BT858" s="591"/>
      <c r="BU858" s="2"/>
      <c r="BV858" s="2"/>
    </row>
    <row r="859" spans="70:74" ht="27" customHeight="1" x14ac:dyDescent="0.25">
      <c r="BR859" s="591"/>
      <c r="BS859" s="591"/>
      <c r="BT859" s="591"/>
      <c r="BU859" s="2"/>
      <c r="BV859" s="2"/>
    </row>
    <row r="860" spans="70:74" ht="27" customHeight="1" x14ac:dyDescent="0.25">
      <c r="BR860" s="591"/>
      <c r="BS860" s="591"/>
      <c r="BT860" s="591"/>
      <c r="BU860" s="2"/>
      <c r="BV860" s="2"/>
    </row>
    <row r="861" spans="70:74" ht="27" customHeight="1" x14ac:dyDescent="0.25">
      <c r="BR861" s="591"/>
      <c r="BS861" s="591"/>
      <c r="BT861" s="591"/>
      <c r="BU861" s="2"/>
      <c r="BV861" s="2"/>
    </row>
    <row r="862" spans="70:74" ht="27" customHeight="1" x14ac:dyDescent="0.25">
      <c r="BR862" s="591"/>
      <c r="BS862" s="591"/>
      <c r="BT862" s="591"/>
      <c r="BU862" s="2"/>
      <c r="BV862" s="2"/>
    </row>
    <row r="863" spans="70:74" ht="27" customHeight="1" x14ac:dyDescent="0.25">
      <c r="BR863" s="591"/>
      <c r="BS863" s="591"/>
      <c r="BT863" s="591"/>
      <c r="BU863" s="2"/>
      <c r="BV863" s="2"/>
    </row>
    <row r="864" spans="70:74" ht="27" customHeight="1" x14ac:dyDescent="0.25">
      <c r="BR864" s="591"/>
      <c r="BS864" s="591"/>
      <c r="BT864" s="591"/>
      <c r="BU864" s="2"/>
      <c r="BV864" s="2"/>
    </row>
    <row r="865" spans="70:74" ht="27" customHeight="1" x14ac:dyDescent="0.25">
      <c r="BR865" s="591"/>
      <c r="BS865" s="591"/>
      <c r="BT865" s="591"/>
      <c r="BU865" s="2"/>
      <c r="BV865" s="2"/>
    </row>
    <row r="866" spans="70:74" ht="27" customHeight="1" x14ac:dyDescent="0.25">
      <c r="BR866" s="591"/>
      <c r="BS866" s="591"/>
      <c r="BT866" s="591"/>
      <c r="BU866" s="2"/>
      <c r="BV866" s="2"/>
    </row>
    <row r="867" spans="70:74" ht="27" customHeight="1" x14ac:dyDescent="0.25">
      <c r="BR867" s="591"/>
      <c r="BS867" s="591"/>
      <c r="BT867" s="591"/>
      <c r="BU867" s="2"/>
      <c r="BV867" s="2"/>
    </row>
    <row r="868" spans="70:74" ht="27" customHeight="1" x14ac:dyDescent="0.25">
      <c r="BR868" s="591"/>
      <c r="BS868" s="591"/>
      <c r="BT868" s="591"/>
      <c r="BU868" s="2"/>
      <c r="BV868" s="2"/>
    </row>
    <row r="869" spans="70:74" ht="27" customHeight="1" x14ac:dyDescent="0.25">
      <c r="BR869" s="591"/>
      <c r="BS869" s="591"/>
      <c r="BT869" s="591"/>
      <c r="BU869" s="2"/>
      <c r="BV869" s="2"/>
    </row>
    <row r="870" spans="70:74" ht="27" customHeight="1" x14ac:dyDescent="0.25">
      <c r="BR870" s="591"/>
      <c r="BS870" s="591"/>
      <c r="BT870" s="591"/>
      <c r="BU870" s="2"/>
      <c r="BV870" s="2"/>
    </row>
    <row r="871" spans="70:74" ht="27" customHeight="1" x14ac:dyDescent="0.25">
      <c r="BR871" s="591"/>
      <c r="BS871" s="591"/>
      <c r="BT871" s="591"/>
      <c r="BU871" s="2"/>
      <c r="BV871" s="2"/>
    </row>
    <row r="872" spans="70:74" ht="27" customHeight="1" x14ac:dyDescent="0.25">
      <c r="BR872" s="591"/>
      <c r="BS872" s="591"/>
      <c r="BT872" s="591"/>
      <c r="BU872" s="2"/>
      <c r="BV872" s="2"/>
    </row>
    <row r="873" spans="70:74" ht="27" customHeight="1" x14ac:dyDescent="0.25">
      <c r="BR873" s="591"/>
      <c r="BS873" s="591"/>
      <c r="BT873" s="591"/>
      <c r="BU873" s="2"/>
      <c r="BV873" s="2"/>
    </row>
    <row r="874" spans="70:74" ht="27" customHeight="1" x14ac:dyDescent="0.25">
      <c r="BR874" s="591"/>
      <c r="BS874" s="591"/>
      <c r="BT874" s="591"/>
      <c r="BU874" s="2"/>
      <c r="BV874" s="2"/>
    </row>
    <row r="875" spans="70:74" ht="27" customHeight="1" x14ac:dyDescent="0.25">
      <c r="BR875" s="591"/>
      <c r="BS875" s="591"/>
      <c r="BT875" s="591"/>
      <c r="BU875" s="2"/>
      <c r="BV875" s="2"/>
    </row>
    <row r="876" spans="70:74" ht="27" customHeight="1" x14ac:dyDescent="0.25">
      <c r="BR876" s="591"/>
      <c r="BS876" s="591"/>
      <c r="BT876" s="591"/>
      <c r="BU876" s="2"/>
      <c r="BV876" s="2"/>
    </row>
    <row r="877" spans="70:74" ht="27" customHeight="1" x14ac:dyDescent="0.25">
      <c r="BR877" s="591"/>
      <c r="BS877" s="591"/>
      <c r="BT877" s="591"/>
      <c r="BU877" s="2"/>
      <c r="BV877" s="2"/>
    </row>
    <row r="878" spans="70:74" ht="27" customHeight="1" x14ac:dyDescent="0.25">
      <c r="BR878" s="591"/>
      <c r="BS878" s="591"/>
      <c r="BT878" s="591"/>
      <c r="BU878" s="2"/>
      <c r="BV878" s="2"/>
    </row>
    <row r="879" spans="70:74" ht="27" customHeight="1" x14ac:dyDescent="0.25">
      <c r="BR879" s="591"/>
      <c r="BS879" s="591"/>
      <c r="BT879" s="591"/>
      <c r="BU879" s="2"/>
      <c r="BV879" s="2"/>
    </row>
    <row r="880" spans="70:74" ht="27" customHeight="1" x14ac:dyDescent="0.25">
      <c r="BR880" s="591"/>
      <c r="BS880" s="591"/>
      <c r="BT880" s="591"/>
      <c r="BU880" s="2"/>
      <c r="BV880" s="2"/>
    </row>
    <row r="881" spans="70:74" ht="27" customHeight="1" x14ac:dyDescent="0.25">
      <c r="BR881" s="591"/>
      <c r="BS881" s="591"/>
      <c r="BT881" s="591"/>
      <c r="BU881" s="2"/>
      <c r="BV881" s="2"/>
    </row>
    <row r="882" spans="70:74" ht="27" customHeight="1" x14ac:dyDescent="0.25">
      <c r="BR882" s="591"/>
      <c r="BS882" s="591"/>
      <c r="BT882" s="591"/>
      <c r="BU882" s="2"/>
      <c r="BV882" s="2"/>
    </row>
    <row r="883" spans="70:74" ht="27" customHeight="1" x14ac:dyDescent="0.25">
      <c r="BR883" s="591"/>
      <c r="BS883" s="591"/>
      <c r="BT883" s="591"/>
      <c r="BU883" s="2"/>
      <c r="BV883" s="2"/>
    </row>
    <row r="884" spans="70:74" ht="27" customHeight="1" x14ac:dyDescent="0.25">
      <c r="BR884" s="591"/>
      <c r="BS884" s="591"/>
      <c r="BT884" s="591"/>
      <c r="BU884" s="2"/>
      <c r="BV884" s="2"/>
    </row>
    <row r="885" spans="70:74" ht="27" customHeight="1" x14ac:dyDescent="0.25">
      <c r="BR885" s="591"/>
      <c r="BS885" s="591"/>
      <c r="BT885" s="591"/>
      <c r="BU885" s="2"/>
      <c r="BV885" s="2"/>
    </row>
    <row r="886" spans="70:74" ht="27" customHeight="1" x14ac:dyDescent="0.25">
      <c r="BR886" s="591"/>
      <c r="BS886" s="591"/>
      <c r="BT886" s="591"/>
      <c r="BU886" s="2"/>
      <c r="BV886" s="2"/>
    </row>
    <row r="887" spans="70:74" ht="27" customHeight="1" x14ac:dyDescent="0.25">
      <c r="BR887" s="591"/>
      <c r="BS887" s="591"/>
      <c r="BT887" s="591"/>
      <c r="BU887" s="2"/>
      <c r="BV887" s="2"/>
    </row>
    <row r="888" spans="70:74" ht="27" customHeight="1" x14ac:dyDescent="0.25">
      <c r="BR888" s="591"/>
      <c r="BS888" s="591"/>
      <c r="BT888" s="591"/>
      <c r="BU888" s="2"/>
      <c r="BV888" s="2"/>
    </row>
    <row r="889" spans="70:74" ht="27" customHeight="1" x14ac:dyDescent="0.25">
      <c r="BR889" s="591"/>
      <c r="BS889" s="591"/>
      <c r="BT889" s="591"/>
      <c r="BU889" s="2"/>
      <c r="BV889" s="2"/>
    </row>
    <row r="890" spans="70:74" ht="27" customHeight="1" x14ac:dyDescent="0.25">
      <c r="BR890" s="591"/>
      <c r="BS890" s="591"/>
      <c r="BT890" s="591"/>
      <c r="BU890" s="2"/>
      <c r="BV890" s="2"/>
    </row>
    <row r="891" spans="70:74" ht="27" customHeight="1" x14ac:dyDescent="0.25">
      <c r="BR891" s="591"/>
      <c r="BS891" s="591"/>
      <c r="BT891" s="591"/>
      <c r="BU891" s="2"/>
      <c r="BV891" s="2"/>
    </row>
    <row r="892" spans="70:74" ht="27" customHeight="1" x14ac:dyDescent="0.25">
      <c r="BR892" s="591"/>
      <c r="BS892" s="591"/>
      <c r="BT892" s="591"/>
      <c r="BU892" s="2"/>
      <c r="BV892" s="2"/>
    </row>
    <row r="893" spans="70:74" ht="27" customHeight="1" x14ac:dyDescent="0.25">
      <c r="BR893" s="591"/>
      <c r="BS893" s="591"/>
      <c r="BT893" s="591"/>
      <c r="BU893" s="2"/>
      <c r="BV893" s="2"/>
    </row>
    <row r="894" spans="70:74" ht="27" customHeight="1" x14ac:dyDescent="0.25">
      <c r="BR894" s="591"/>
      <c r="BS894" s="591"/>
      <c r="BT894" s="591"/>
      <c r="BU894" s="2"/>
      <c r="BV894" s="2"/>
    </row>
    <row r="895" spans="70:74" ht="27" customHeight="1" x14ac:dyDescent="0.25">
      <c r="BR895" s="591"/>
      <c r="BS895" s="591"/>
      <c r="BT895" s="591"/>
      <c r="BU895" s="2"/>
      <c r="BV895" s="2"/>
    </row>
    <row r="896" spans="70:74" ht="27" customHeight="1" x14ac:dyDescent="0.25">
      <c r="BR896" s="591"/>
      <c r="BS896" s="591"/>
      <c r="BT896" s="591"/>
      <c r="BU896" s="2"/>
      <c r="BV896" s="2"/>
    </row>
    <row r="897" spans="70:74" ht="27" customHeight="1" x14ac:dyDescent="0.25">
      <c r="BR897" s="591"/>
      <c r="BS897" s="591"/>
      <c r="BT897" s="591"/>
      <c r="BU897" s="2"/>
      <c r="BV897" s="2"/>
    </row>
    <row r="898" spans="70:74" ht="27" customHeight="1" x14ac:dyDescent="0.25">
      <c r="BR898" s="591"/>
      <c r="BS898" s="591"/>
      <c r="BT898" s="591"/>
      <c r="BU898" s="2"/>
      <c r="BV898" s="2"/>
    </row>
    <row r="899" spans="70:74" ht="27" customHeight="1" x14ac:dyDescent="0.25">
      <c r="BR899" s="591"/>
      <c r="BS899" s="591"/>
      <c r="BT899" s="591"/>
      <c r="BU899" s="2"/>
      <c r="BV899" s="2"/>
    </row>
    <row r="900" spans="70:74" ht="27" customHeight="1" x14ac:dyDescent="0.25">
      <c r="BR900" s="591"/>
      <c r="BS900" s="591"/>
      <c r="BT900" s="591"/>
      <c r="BU900" s="2"/>
      <c r="BV900" s="2"/>
    </row>
    <row r="901" spans="70:74" ht="27" customHeight="1" x14ac:dyDescent="0.25">
      <c r="BR901" s="591"/>
      <c r="BS901" s="591"/>
      <c r="BT901" s="591"/>
      <c r="BU901" s="2"/>
      <c r="BV901" s="2"/>
    </row>
    <row r="902" spans="70:74" ht="27" customHeight="1" x14ac:dyDescent="0.25">
      <c r="BR902" s="591"/>
      <c r="BS902" s="591"/>
      <c r="BT902" s="591"/>
      <c r="BU902" s="2"/>
      <c r="BV902" s="2"/>
    </row>
    <row r="903" spans="70:74" ht="27" customHeight="1" x14ac:dyDescent="0.25">
      <c r="BR903" s="591"/>
      <c r="BS903" s="591"/>
      <c r="BT903" s="591"/>
      <c r="BU903" s="2"/>
      <c r="BV903" s="2"/>
    </row>
    <row r="904" spans="70:74" ht="27" customHeight="1" x14ac:dyDescent="0.25">
      <c r="BR904" s="591"/>
      <c r="BS904" s="591"/>
      <c r="BT904" s="591"/>
      <c r="BU904" s="2"/>
      <c r="BV904" s="2"/>
    </row>
    <row r="905" spans="70:74" ht="27" customHeight="1" x14ac:dyDescent="0.25">
      <c r="BR905" s="591"/>
      <c r="BS905" s="591"/>
      <c r="BT905" s="591"/>
      <c r="BU905" s="2"/>
      <c r="BV905" s="2"/>
    </row>
    <row r="906" spans="70:74" ht="27" customHeight="1" x14ac:dyDescent="0.25">
      <c r="BR906" s="591"/>
      <c r="BS906" s="591"/>
      <c r="BT906" s="591"/>
      <c r="BU906" s="2"/>
      <c r="BV906" s="2"/>
    </row>
    <row r="907" spans="70:74" ht="27" customHeight="1" x14ac:dyDescent="0.25">
      <c r="BR907" s="591"/>
      <c r="BS907" s="591"/>
      <c r="BT907" s="591"/>
      <c r="BU907" s="2"/>
      <c r="BV907" s="2"/>
    </row>
    <row r="908" spans="70:74" ht="27" customHeight="1" x14ac:dyDescent="0.25">
      <c r="BR908" s="591"/>
      <c r="BS908" s="591"/>
      <c r="BT908" s="591"/>
      <c r="BU908" s="2"/>
      <c r="BV908" s="2"/>
    </row>
    <row r="909" spans="70:74" ht="27" customHeight="1" x14ac:dyDescent="0.25">
      <c r="BR909" s="591"/>
      <c r="BS909" s="591"/>
      <c r="BT909" s="591"/>
      <c r="BU909" s="2"/>
      <c r="BV909" s="2"/>
    </row>
    <row r="910" spans="70:74" ht="27" customHeight="1" x14ac:dyDescent="0.25">
      <c r="BR910" s="591"/>
      <c r="BS910" s="591"/>
      <c r="BT910" s="591"/>
      <c r="BU910" s="2"/>
      <c r="BV910" s="2"/>
    </row>
    <row r="911" spans="70:74" ht="27" customHeight="1" x14ac:dyDescent="0.25">
      <c r="BR911" s="591"/>
      <c r="BS911" s="591"/>
      <c r="BT911" s="591"/>
      <c r="BU911" s="2"/>
      <c r="BV911" s="2"/>
    </row>
    <row r="912" spans="70:74" ht="27" customHeight="1" x14ac:dyDescent="0.25">
      <c r="BR912" s="591"/>
      <c r="BS912" s="591"/>
      <c r="BT912" s="591"/>
      <c r="BU912" s="2"/>
      <c r="BV912" s="2"/>
    </row>
    <row r="913" spans="70:74" ht="27" customHeight="1" x14ac:dyDescent="0.25">
      <c r="BR913" s="591"/>
      <c r="BS913" s="591"/>
      <c r="BT913" s="591"/>
      <c r="BU913" s="2"/>
      <c r="BV913" s="2"/>
    </row>
    <row r="914" spans="70:74" ht="27" customHeight="1" x14ac:dyDescent="0.25">
      <c r="BR914" s="591"/>
      <c r="BS914" s="591"/>
      <c r="BT914" s="591"/>
      <c r="BU914" s="2"/>
      <c r="BV914" s="2"/>
    </row>
    <row r="915" spans="70:74" ht="27" customHeight="1" x14ac:dyDescent="0.25">
      <c r="BR915" s="591"/>
      <c r="BS915" s="591"/>
      <c r="BT915" s="591"/>
      <c r="BU915" s="2"/>
      <c r="BV915" s="2"/>
    </row>
    <row r="916" spans="70:74" ht="27" customHeight="1" x14ac:dyDescent="0.25">
      <c r="BR916" s="591"/>
      <c r="BS916" s="591"/>
      <c r="BT916" s="591"/>
      <c r="BU916" s="2"/>
      <c r="BV916" s="2"/>
    </row>
    <row r="917" spans="70:74" ht="27" customHeight="1" x14ac:dyDescent="0.25">
      <c r="BR917" s="591"/>
      <c r="BS917" s="591"/>
      <c r="BT917" s="591"/>
      <c r="BU917" s="2"/>
      <c r="BV917" s="2"/>
    </row>
    <row r="918" spans="70:74" ht="27" customHeight="1" x14ac:dyDescent="0.25">
      <c r="BR918" s="591"/>
      <c r="BS918" s="591"/>
      <c r="BT918" s="591"/>
      <c r="BU918" s="2"/>
      <c r="BV918" s="2"/>
    </row>
    <row r="919" spans="70:74" ht="27" customHeight="1" x14ac:dyDescent="0.25">
      <c r="BR919" s="591"/>
      <c r="BS919" s="591"/>
      <c r="BT919" s="591"/>
      <c r="BU919" s="2"/>
      <c r="BV919" s="2"/>
    </row>
    <row r="920" spans="70:74" ht="27" customHeight="1" x14ac:dyDescent="0.25">
      <c r="BR920" s="591"/>
      <c r="BS920" s="591"/>
      <c r="BT920" s="591"/>
      <c r="BU920" s="2"/>
      <c r="BV920" s="2"/>
    </row>
    <row r="921" spans="70:74" ht="27" customHeight="1" x14ac:dyDescent="0.25">
      <c r="BR921" s="591"/>
      <c r="BS921" s="591"/>
      <c r="BT921" s="591"/>
      <c r="BU921" s="2"/>
      <c r="BV921" s="2"/>
    </row>
    <row r="922" spans="70:74" ht="27" customHeight="1" x14ac:dyDescent="0.25">
      <c r="BR922" s="591"/>
      <c r="BS922" s="591"/>
      <c r="BT922" s="591"/>
      <c r="BU922" s="2"/>
      <c r="BV922" s="2"/>
    </row>
    <row r="923" spans="70:74" ht="27" customHeight="1" x14ac:dyDescent="0.25">
      <c r="BR923" s="591"/>
      <c r="BS923" s="591"/>
      <c r="BT923" s="591"/>
      <c r="BU923" s="2"/>
      <c r="BV923" s="2"/>
    </row>
    <row r="924" spans="70:74" ht="27" customHeight="1" x14ac:dyDescent="0.25">
      <c r="BR924" s="591"/>
      <c r="BS924" s="591"/>
      <c r="BT924" s="591"/>
      <c r="BU924" s="2"/>
      <c r="BV924" s="2"/>
    </row>
    <row r="925" spans="70:74" ht="27" customHeight="1" x14ac:dyDescent="0.25">
      <c r="BR925" s="591"/>
      <c r="BS925" s="591"/>
      <c r="BT925" s="591"/>
      <c r="BU925" s="2"/>
      <c r="BV925" s="2"/>
    </row>
    <row r="926" spans="70:74" ht="27" customHeight="1" x14ac:dyDescent="0.25">
      <c r="BR926" s="591"/>
      <c r="BS926" s="591"/>
      <c r="BT926" s="591"/>
      <c r="BU926" s="2"/>
      <c r="BV926" s="2"/>
    </row>
    <row r="927" spans="70:74" ht="27" customHeight="1" x14ac:dyDescent="0.25">
      <c r="BR927" s="591"/>
      <c r="BS927" s="591"/>
      <c r="BT927" s="591"/>
      <c r="BU927" s="2"/>
      <c r="BV927" s="2"/>
    </row>
    <row r="928" spans="70:74" ht="27" customHeight="1" x14ac:dyDescent="0.25">
      <c r="BR928" s="591"/>
      <c r="BS928" s="591"/>
      <c r="BT928" s="591"/>
      <c r="BU928" s="2"/>
      <c r="BV928" s="2"/>
    </row>
    <row r="929" spans="70:74" ht="27" customHeight="1" x14ac:dyDescent="0.25">
      <c r="BR929" s="591"/>
      <c r="BS929" s="591"/>
      <c r="BT929" s="591"/>
      <c r="BU929" s="2"/>
      <c r="BV929" s="2"/>
    </row>
    <row r="930" spans="70:74" ht="27" customHeight="1" x14ac:dyDescent="0.25">
      <c r="BR930" s="591"/>
      <c r="BS930" s="591"/>
      <c r="BT930" s="591"/>
      <c r="BU930" s="2"/>
      <c r="BV930" s="2"/>
    </row>
    <row r="931" spans="70:74" ht="27" customHeight="1" x14ac:dyDescent="0.25">
      <c r="BR931" s="591"/>
      <c r="BS931" s="591"/>
      <c r="BT931" s="591"/>
      <c r="BU931" s="2"/>
      <c r="BV931" s="2"/>
    </row>
    <row r="932" spans="70:74" ht="27" customHeight="1" x14ac:dyDescent="0.25">
      <c r="BR932" s="591"/>
      <c r="BS932" s="591"/>
      <c r="BT932" s="591"/>
      <c r="BU932" s="2"/>
      <c r="BV932" s="2"/>
    </row>
    <row r="933" spans="70:74" ht="27" customHeight="1" x14ac:dyDescent="0.25">
      <c r="BR933" s="591"/>
      <c r="BS933" s="591"/>
      <c r="BT933" s="591"/>
      <c r="BU933" s="2"/>
      <c r="BV933" s="2"/>
    </row>
    <row r="934" spans="70:74" ht="27" customHeight="1" x14ac:dyDescent="0.25">
      <c r="BR934" s="591"/>
      <c r="BS934" s="591"/>
      <c r="BT934" s="591"/>
      <c r="BU934" s="2"/>
      <c r="BV934" s="2"/>
    </row>
    <row r="935" spans="70:74" ht="27" customHeight="1" x14ac:dyDescent="0.25">
      <c r="BR935" s="591"/>
      <c r="BS935" s="591"/>
      <c r="BT935" s="591"/>
      <c r="BU935" s="2"/>
      <c r="BV935" s="2"/>
    </row>
    <row r="936" spans="70:74" ht="27" customHeight="1" x14ac:dyDescent="0.25">
      <c r="BR936" s="591"/>
      <c r="BS936" s="591"/>
      <c r="BT936" s="591"/>
      <c r="BU936" s="2"/>
      <c r="BV936" s="2"/>
    </row>
    <row r="937" spans="70:74" ht="27" customHeight="1" x14ac:dyDescent="0.25">
      <c r="BR937" s="591"/>
      <c r="BS937" s="591"/>
      <c r="BT937" s="591"/>
      <c r="BU937" s="2"/>
      <c r="BV937" s="2"/>
    </row>
    <row r="938" spans="70:74" ht="27" customHeight="1" x14ac:dyDescent="0.25">
      <c r="BR938" s="591"/>
      <c r="BS938" s="591"/>
      <c r="BT938" s="591"/>
      <c r="BU938" s="2"/>
      <c r="BV938" s="2"/>
    </row>
    <row r="939" spans="70:74" ht="27" customHeight="1" x14ac:dyDescent="0.25">
      <c r="BR939" s="591"/>
      <c r="BS939" s="591"/>
      <c r="BT939" s="591"/>
      <c r="BU939" s="2"/>
      <c r="BV939" s="2"/>
    </row>
    <row r="940" spans="70:74" ht="27" customHeight="1" x14ac:dyDescent="0.25">
      <c r="BR940" s="591"/>
      <c r="BS940" s="591"/>
      <c r="BT940" s="591"/>
      <c r="BU940" s="2"/>
      <c r="BV940" s="2"/>
    </row>
    <row r="941" spans="70:74" ht="27" customHeight="1" x14ac:dyDescent="0.25">
      <c r="BR941" s="591"/>
      <c r="BS941" s="591"/>
      <c r="BT941" s="591"/>
      <c r="BU941" s="2"/>
      <c r="BV941" s="2"/>
    </row>
    <row r="942" spans="70:74" ht="27" customHeight="1" x14ac:dyDescent="0.25">
      <c r="BR942" s="591"/>
      <c r="BS942" s="591"/>
      <c r="BT942" s="591"/>
      <c r="BU942" s="2"/>
      <c r="BV942" s="2"/>
    </row>
    <row r="943" spans="70:74" ht="27" customHeight="1" x14ac:dyDescent="0.25">
      <c r="BR943" s="591"/>
      <c r="BS943" s="591"/>
      <c r="BT943" s="591"/>
      <c r="BU943" s="2"/>
      <c r="BV943" s="2"/>
    </row>
    <row r="944" spans="70:74" ht="27" customHeight="1" x14ac:dyDescent="0.25">
      <c r="BR944" s="591"/>
      <c r="BS944" s="591"/>
      <c r="BT944" s="591"/>
      <c r="BU944" s="2"/>
      <c r="BV944" s="2"/>
    </row>
    <row r="945" spans="70:74" ht="27" customHeight="1" x14ac:dyDescent="0.25">
      <c r="BR945" s="591"/>
      <c r="BS945" s="591"/>
      <c r="BT945" s="591"/>
      <c r="BU945" s="2"/>
      <c r="BV945" s="2"/>
    </row>
    <row r="946" spans="70:74" ht="27" customHeight="1" x14ac:dyDescent="0.25">
      <c r="BR946" s="591"/>
      <c r="BS946" s="591"/>
      <c r="BT946" s="591"/>
      <c r="BU946" s="2"/>
      <c r="BV946" s="2"/>
    </row>
    <row r="947" spans="70:74" ht="27" customHeight="1" x14ac:dyDescent="0.25">
      <c r="BR947" s="591"/>
      <c r="BS947" s="591"/>
      <c r="BT947" s="591"/>
      <c r="BU947" s="2"/>
      <c r="BV947" s="2"/>
    </row>
    <row r="948" spans="70:74" ht="27" customHeight="1" x14ac:dyDescent="0.25">
      <c r="BR948" s="591"/>
      <c r="BS948" s="591"/>
      <c r="BT948" s="591"/>
      <c r="BU948" s="2"/>
      <c r="BV948" s="2"/>
    </row>
    <row r="949" spans="70:74" ht="27" customHeight="1" x14ac:dyDescent="0.25">
      <c r="BR949" s="591"/>
      <c r="BS949" s="591"/>
      <c r="BT949" s="591"/>
      <c r="BU949" s="2"/>
      <c r="BV949" s="2"/>
    </row>
    <row r="950" spans="70:74" ht="27" customHeight="1" x14ac:dyDescent="0.25">
      <c r="BR950" s="591"/>
      <c r="BS950" s="591"/>
      <c r="BT950" s="591"/>
      <c r="BU950" s="2"/>
      <c r="BV950" s="2"/>
    </row>
    <row r="951" spans="70:74" ht="27" customHeight="1" x14ac:dyDescent="0.25">
      <c r="BR951" s="591"/>
      <c r="BS951" s="591"/>
      <c r="BT951" s="591"/>
      <c r="BU951" s="2"/>
      <c r="BV951" s="2"/>
    </row>
    <row r="952" spans="70:74" ht="27" customHeight="1" x14ac:dyDescent="0.25">
      <c r="BR952" s="591"/>
      <c r="BS952" s="591"/>
      <c r="BT952" s="591"/>
      <c r="BU952" s="2"/>
      <c r="BV952" s="2"/>
    </row>
    <row r="953" spans="70:74" ht="27" customHeight="1" x14ac:dyDescent="0.25">
      <c r="BR953" s="591"/>
      <c r="BS953" s="591"/>
      <c r="BT953" s="591"/>
      <c r="BU953" s="2"/>
      <c r="BV953" s="2"/>
    </row>
    <row r="954" spans="70:74" ht="27" customHeight="1" x14ac:dyDescent="0.25">
      <c r="BR954" s="591"/>
      <c r="BS954" s="591"/>
      <c r="BT954" s="591"/>
      <c r="BU954" s="2"/>
      <c r="BV954" s="2"/>
    </row>
    <row r="955" spans="70:74" ht="27" customHeight="1" x14ac:dyDescent="0.25">
      <c r="BR955" s="591"/>
      <c r="BS955" s="591"/>
      <c r="BT955" s="591"/>
      <c r="BU955" s="2"/>
      <c r="BV955" s="2"/>
    </row>
    <row r="956" spans="70:74" ht="27" customHeight="1" x14ac:dyDescent="0.25">
      <c r="BR956" s="591"/>
      <c r="BS956" s="591"/>
      <c r="BT956" s="591"/>
      <c r="BU956" s="2"/>
      <c r="BV956" s="2"/>
    </row>
    <row r="957" spans="70:74" ht="27" customHeight="1" x14ac:dyDescent="0.25">
      <c r="BR957" s="591"/>
      <c r="BS957" s="591"/>
      <c r="BT957" s="591"/>
      <c r="BU957" s="2"/>
      <c r="BV957" s="2"/>
    </row>
    <row r="958" spans="70:74" ht="27" customHeight="1" x14ac:dyDescent="0.25">
      <c r="BR958" s="591"/>
      <c r="BS958" s="591"/>
      <c r="BT958" s="591"/>
      <c r="BU958" s="2"/>
      <c r="BV958" s="2"/>
    </row>
    <row r="959" spans="70:74" ht="27" customHeight="1" x14ac:dyDescent="0.25">
      <c r="BR959" s="591"/>
      <c r="BS959" s="591"/>
      <c r="BT959" s="591"/>
      <c r="BU959" s="2"/>
      <c r="BV959" s="2"/>
    </row>
    <row r="960" spans="70:74" ht="27" customHeight="1" x14ac:dyDescent="0.25">
      <c r="BR960" s="591"/>
      <c r="BS960" s="591"/>
      <c r="BT960" s="591"/>
      <c r="BU960" s="2"/>
      <c r="BV960" s="2"/>
    </row>
    <row r="961" spans="70:74" ht="27" customHeight="1" x14ac:dyDescent="0.25">
      <c r="BR961" s="591"/>
      <c r="BS961" s="591"/>
      <c r="BT961" s="591"/>
      <c r="BU961" s="2"/>
      <c r="BV961" s="2"/>
    </row>
    <row r="962" spans="70:74" ht="27" customHeight="1" x14ac:dyDescent="0.25">
      <c r="BR962" s="591"/>
      <c r="BS962" s="591"/>
      <c r="BT962" s="591"/>
      <c r="BU962" s="2"/>
      <c r="BV962" s="2"/>
    </row>
    <row r="963" spans="70:74" ht="27" customHeight="1" x14ac:dyDescent="0.25">
      <c r="BR963" s="591"/>
      <c r="BS963" s="591"/>
      <c r="BT963" s="591"/>
      <c r="BU963" s="2"/>
      <c r="BV963" s="2"/>
    </row>
    <row r="964" spans="70:74" ht="27" customHeight="1" x14ac:dyDescent="0.25">
      <c r="BR964" s="591"/>
      <c r="BS964" s="591"/>
      <c r="BT964" s="591"/>
      <c r="BU964" s="2"/>
      <c r="BV964" s="2"/>
    </row>
    <row r="965" spans="70:74" ht="27" customHeight="1" x14ac:dyDescent="0.25">
      <c r="BR965" s="591"/>
      <c r="BS965" s="591"/>
      <c r="BT965" s="591"/>
      <c r="BU965" s="2"/>
      <c r="BV965" s="2"/>
    </row>
    <row r="966" spans="70:74" ht="27" customHeight="1" x14ac:dyDescent="0.25">
      <c r="BR966" s="591"/>
      <c r="BS966" s="591"/>
      <c r="BT966" s="591"/>
      <c r="BU966" s="2"/>
      <c r="BV966" s="2"/>
    </row>
    <row r="967" spans="70:74" ht="27" customHeight="1" x14ac:dyDescent="0.25">
      <c r="BR967" s="591"/>
      <c r="BS967" s="591"/>
      <c r="BT967" s="591"/>
      <c r="BU967" s="2"/>
      <c r="BV967" s="2"/>
    </row>
    <row r="968" spans="70:74" ht="27" customHeight="1" x14ac:dyDescent="0.25">
      <c r="BR968" s="591"/>
      <c r="BS968" s="591"/>
      <c r="BT968" s="591"/>
      <c r="BU968" s="2"/>
      <c r="BV968" s="2"/>
    </row>
    <row r="969" spans="70:74" ht="27" customHeight="1" x14ac:dyDescent="0.25">
      <c r="BR969" s="591"/>
      <c r="BS969" s="591"/>
      <c r="BT969" s="591"/>
      <c r="BU969" s="2"/>
      <c r="BV969" s="2"/>
    </row>
    <row r="970" spans="70:74" ht="27" customHeight="1" x14ac:dyDescent="0.25">
      <c r="BR970" s="591"/>
      <c r="BS970" s="591"/>
      <c r="BT970" s="591"/>
      <c r="BU970" s="2"/>
      <c r="BV970" s="2"/>
    </row>
    <row r="971" spans="70:74" ht="27" customHeight="1" x14ac:dyDescent="0.25">
      <c r="BR971" s="591"/>
      <c r="BS971" s="591"/>
      <c r="BT971" s="591"/>
      <c r="BU971" s="2"/>
      <c r="BV971" s="2"/>
    </row>
    <row r="972" spans="70:74" ht="27" customHeight="1" x14ac:dyDescent="0.25">
      <c r="BR972" s="591"/>
      <c r="BS972" s="591"/>
      <c r="BT972" s="591"/>
      <c r="BU972" s="2"/>
      <c r="BV972" s="2"/>
    </row>
    <row r="973" spans="70:74" ht="27" customHeight="1" x14ac:dyDescent="0.25">
      <c r="BR973" s="591"/>
      <c r="BS973" s="591"/>
      <c r="BT973" s="591"/>
      <c r="BU973" s="2"/>
      <c r="BV973" s="2"/>
    </row>
    <row r="974" spans="70:74" ht="27" customHeight="1" x14ac:dyDescent="0.25">
      <c r="BR974" s="591"/>
      <c r="BS974" s="591"/>
      <c r="BT974" s="591"/>
      <c r="BU974" s="2"/>
      <c r="BV974" s="2"/>
    </row>
    <row r="975" spans="70:74" ht="27" customHeight="1" x14ac:dyDescent="0.25">
      <c r="BR975" s="591"/>
      <c r="BS975" s="591"/>
      <c r="BT975" s="591"/>
      <c r="BU975" s="2"/>
      <c r="BV975" s="2"/>
    </row>
    <row r="976" spans="70:74" ht="27" customHeight="1" x14ac:dyDescent="0.25">
      <c r="BR976" s="591"/>
      <c r="BS976" s="591"/>
      <c r="BT976" s="591"/>
      <c r="BU976" s="2"/>
      <c r="BV976" s="2"/>
    </row>
    <row r="977" spans="70:74" ht="27" customHeight="1" x14ac:dyDescent="0.25">
      <c r="BR977" s="591"/>
      <c r="BS977" s="591"/>
      <c r="BT977" s="591"/>
      <c r="BU977" s="2"/>
      <c r="BV977" s="2"/>
    </row>
    <row r="978" spans="70:74" ht="27" customHeight="1" x14ac:dyDescent="0.25">
      <c r="BR978" s="591"/>
      <c r="BS978" s="591"/>
      <c r="BT978" s="591"/>
      <c r="BU978" s="2"/>
      <c r="BV978" s="2"/>
    </row>
    <row r="979" spans="70:74" ht="27" customHeight="1" x14ac:dyDescent="0.25">
      <c r="BR979" s="591"/>
      <c r="BS979" s="591"/>
      <c r="BT979" s="591"/>
      <c r="BU979" s="2"/>
      <c r="BV979" s="2"/>
    </row>
    <row r="980" spans="70:74" ht="27" customHeight="1" x14ac:dyDescent="0.25">
      <c r="BR980" s="591"/>
      <c r="BS980" s="591"/>
      <c r="BT980" s="591"/>
      <c r="BU980" s="2"/>
      <c r="BV980" s="2"/>
    </row>
    <row r="981" spans="70:74" ht="27" customHeight="1" x14ac:dyDescent="0.25">
      <c r="BR981" s="591"/>
      <c r="BS981" s="591"/>
      <c r="BT981" s="591"/>
      <c r="BU981" s="2"/>
      <c r="BV981" s="2"/>
    </row>
    <row r="982" spans="70:74" ht="27" customHeight="1" x14ac:dyDescent="0.25">
      <c r="BR982" s="591"/>
      <c r="BS982" s="591"/>
      <c r="BT982" s="591"/>
      <c r="BU982" s="2"/>
      <c r="BV982" s="2"/>
    </row>
    <row r="983" spans="70:74" ht="27" customHeight="1" x14ac:dyDescent="0.25">
      <c r="BR983" s="591"/>
      <c r="BS983" s="591"/>
      <c r="BT983" s="591"/>
      <c r="BU983" s="2"/>
      <c r="BV983" s="2"/>
    </row>
    <row r="984" spans="70:74" ht="27" customHeight="1" x14ac:dyDescent="0.25">
      <c r="BR984" s="591"/>
      <c r="BS984" s="591"/>
      <c r="BT984" s="591"/>
      <c r="BU984" s="2"/>
      <c r="BV984" s="2"/>
    </row>
    <row r="985" spans="70:74" ht="27" customHeight="1" x14ac:dyDescent="0.25">
      <c r="BR985" s="591"/>
      <c r="BS985" s="591"/>
      <c r="BT985" s="591"/>
      <c r="BU985" s="2"/>
      <c r="BV985" s="2"/>
    </row>
    <row r="986" spans="70:74" ht="27" customHeight="1" x14ac:dyDescent="0.25">
      <c r="BR986" s="591"/>
      <c r="BS986" s="591"/>
      <c r="BT986" s="591"/>
      <c r="BU986" s="2"/>
      <c r="BV986" s="2"/>
    </row>
    <row r="987" spans="70:74" ht="27" customHeight="1" x14ac:dyDescent="0.25">
      <c r="BR987" s="591"/>
      <c r="BS987" s="591"/>
      <c r="BT987" s="591"/>
      <c r="BU987" s="2"/>
      <c r="BV987" s="2"/>
    </row>
    <row r="988" spans="70:74" ht="27" customHeight="1" x14ac:dyDescent="0.25">
      <c r="BR988" s="591"/>
      <c r="BS988" s="591"/>
      <c r="BT988" s="591"/>
      <c r="BU988" s="2"/>
      <c r="BV988" s="2"/>
    </row>
    <row r="989" spans="70:74" ht="27" customHeight="1" x14ac:dyDescent="0.25">
      <c r="BR989" s="591"/>
      <c r="BS989" s="591"/>
      <c r="BT989" s="591"/>
      <c r="BU989" s="2"/>
      <c r="BV989" s="2"/>
    </row>
    <row r="990" spans="70:74" ht="27" customHeight="1" x14ac:dyDescent="0.25">
      <c r="BR990" s="591"/>
      <c r="BS990" s="591"/>
      <c r="BT990" s="591"/>
      <c r="BU990" s="2"/>
      <c r="BV990" s="2"/>
    </row>
    <row r="991" spans="70:74" ht="27" customHeight="1" x14ac:dyDescent="0.25">
      <c r="BR991" s="591"/>
      <c r="BS991" s="591"/>
      <c r="BT991" s="591"/>
      <c r="BU991" s="2"/>
      <c r="BV991" s="2"/>
    </row>
    <row r="992" spans="70:74" ht="27" customHeight="1" x14ac:dyDescent="0.25">
      <c r="BR992" s="591"/>
      <c r="BS992" s="591"/>
      <c r="BT992" s="591"/>
      <c r="BU992" s="2"/>
      <c r="BV992" s="2"/>
    </row>
    <row r="993" spans="70:74" ht="27" customHeight="1" x14ac:dyDescent="0.25">
      <c r="BR993" s="591"/>
      <c r="BS993" s="591"/>
      <c r="BT993" s="591"/>
      <c r="BU993" s="2"/>
      <c r="BV993" s="2"/>
    </row>
    <row r="994" spans="70:74" ht="27" customHeight="1" x14ac:dyDescent="0.25">
      <c r="BR994" s="591"/>
      <c r="BS994" s="591"/>
      <c r="BT994" s="591"/>
      <c r="BU994" s="2"/>
      <c r="BV994" s="2"/>
    </row>
    <row r="995" spans="70:74" ht="27" customHeight="1" x14ac:dyDescent="0.25">
      <c r="BR995" s="591"/>
      <c r="BS995" s="591"/>
      <c r="BT995" s="591"/>
      <c r="BU995" s="2"/>
      <c r="BV995" s="2"/>
    </row>
    <row r="996" spans="70:74" ht="27" customHeight="1" x14ac:dyDescent="0.25">
      <c r="BR996" s="591"/>
      <c r="BS996" s="591"/>
      <c r="BT996" s="591"/>
      <c r="BU996" s="2"/>
      <c r="BV996" s="2"/>
    </row>
    <row r="997" spans="70:74" ht="27" customHeight="1" x14ac:dyDescent="0.25">
      <c r="BR997" s="591"/>
      <c r="BS997" s="591"/>
      <c r="BT997" s="591"/>
      <c r="BU997" s="2"/>
      <c r="BV997" s="2"/>
    </row>
    <row r="998" spans="70:74" ht="27" customHeight="1" x14ac:dyDescent="0.25">
      <c r="BR998" s="591"/>
      <c r="BS998" s="591"/>
      <c r="BT998" s="591"/>
      <c r="BU998" s="2"/>
      <c r="BV998" s="2"/>
    </row>
    <row r="999" spans="70:74" ht="27" customHeight="1" x14ac:dyDescent="0.25">
      <c r="BR999" s="591"/>
      <c r="BS999" s="591"/>
      <c r="BT999" s="591"/>
      <c r="BU999" s="2"/>
      <c r="BV999" s="2"/>
    </row>
    <row r="1000" spans="70:74" ht="27" customHeight="1" x14ac:dyDescent="0.25">
      <c r="BR1000" s="591"/>
      <c r="BS1000" s="591"/>
      <c r="BT1000" s="591"/>
      <c r="BU1000" s="2"/>
      <c r="BV1000" s="2"/>
    </row>
    <row r="1001" spans="70:74" ht="27" customHeight="1" x14ac:dyDescent="0.25">
      <c r="BR1001" s="591"/>
      <c r="BS1001" s="591"/>
      <c r="BT1001" s="591"/>
      <c r="BU1001" s="2"/>
      <c r="BV1001" s="2"/>
    </row>
    <row r="1002" spans="70:74" ht="27" customHeight="1" x14ac:dyDescent="0.25">
      <c r="BR1002" s="591"/>
      <c r="BS1002" s="591"/>
      <c r="BT1002" s="591"/>
      <c r="BU1002" s="2"/>
      <c r="BV1002" s="2"/>
    </row>
    <row r="1003" spans="70:74" ht="27" customHeight="1" x14ac:dyDescent="0.25">
      <c r="BR1003" s="591"/>
      <c r="BS1003" s="591"/>
      <c r="BT1003" s="591"/>
      <c r="BU1003" s="2"/>
      <c r="BV1003" s="2"/>
    </row>
    <row r="1004" spans="70:74" ht="27" customHeight="1" x14ac:dyDescent="0.25">
      <c r="BR1004" s="591"/>
      <c r="BS1004" s="591"/>
      <c r="BT1004" s="591"/>
      <c r="BU1004" s="2"/>
      <c r="BV1004" s="2"/>
    </row>
    <row r="1005" spans="70:74" ht="27" customHeight="1" x14ac:dyDescent="0.25">
      <c r="BR1005" s="591"/>
      <c r="BS1005" s="591"/>
      <c r="BT1005" s="591"/>
      <c r="BU1005" s="2"/>
      <c r="BV1005" s="2"/>
    </row>
    <row r="1006" spans="70:74" ht="27" customHeight="1" x14ac:dyDescent="0.25">
      <c r="BR1006" s="591"/>
      <c r="BS1006" s="591"/>
      <c r="BT1006" s="591"/>
      <c r="BU1006" s="2"/>
      <c r="BV1006" s="2"/>
    </row>
    <row r="1007" spans="70:74" ht="27" customHeight="1" x14ac:dyDescent="0.25">
      <c r="BR1007" s="591"/>
      <c r="BS1007" s="591"/>
      <c r="BT1007" s="591"/>
      <c r="BU1007" s="2"/>
      <c r="BV1007" s="2"/>
    </row>
    <row r="1008" spans="70:74" ht="27" customHeight="1" x14ac:dyDescent="0.25">
      <c r="BR1008" s="591"/>
      <c r="BS1008" s="591"/>
      <c r="BT1008" s="591"/>
      <c r="BU1008" s="2"/>
      <c r="BV1008" s="2"/>
    </row>
    <row r="1009" spans="70:74" ht="27" customHeight="1" x14ac:dyDescent="0.25">
      <c r="BR1009" s="591"/>
      <c r="BS1009" s="591"/>
      <c r="BT1009" s="591"/>
      <c r="BU1009" s="2"/>
      <c r="BV1009" s="2"/>
    </row>
    <row r="1010" spans="70:74" ht="27" customHeight="1" x14ac:dyDescent="0.25">
      <c r="BR1010" s="591"/>
      <c r="BS1010" s="591"/>
      <c r="BT1010" s="591"/>
      <c r="BU1010" s="2"/>
      <c r="BV1010" s="2"/>
    </row>
    <row r="1011" spans="70:74" ht="27" customHeight="1" x14ac:dyDescent="0.25">
      <c r="BR1011" s="591"/>
      <c r="BS1011" s="591"/>
      <c r="BT1011" s="591"/>
      <c r="BU1011" s="2"/>
      <c r="BV1011" s="2"/>
    </row>
    <row r="1012" spans="70:74" ht="27" customHeight="1" x14ac:dyDescent="0.25">
      <c r="BR1012" s="591"/>
      <c r="BS1012" s="591"/>
      <c r="BT1012" s="591"/>
      <c r="BU1012" s="2"/>
      <c r="BV1012" s="2"/>
    </row>
    <row r="1013" spans="70:74" ht="27" customHeight="1" x14ac:dyDescent="0.25">
      <c r="BR1013" s="591"/>
      <c r="BS1013" s="591"/>
      <c r="BT1013" s="591"/>
      <c r="BU1013" s="2"/>
      <c r="BV1013" s="2"/>
    </row>
    <row r="1014" spans="70:74" ht="27" customHeight="1" x14ac:dyDescent="0.25">
      <c r="BR1014" s="591"/>
      <c r="BS1014" s="591"/>
      <c r="BT1014" s="591"/>
      <c r="BU1014" s="2"/>
      <c r="BV1014" s="2"/>
    </row>
    <row r="1015" spans="70:74" ht="27" customHeight="1" x14ac:dyDescent="0.25">
      <c r="BR1015" s="591"/>
      <c r="BS1015" s="591"/>
      <c r="BT1015" s="591"/>
      <c r="BU1015" s="2"/>
      <c r="BV1015" s="2"/>
    </row>
    <row r="1016" spans="70:74" ht="27" customHeight="1" x14ac:dyDescent="0.25">
      <c r="BR1016" s="591"/>
      <c r="BS1016" s="591"/>
      <c r="BT1016" s="591"/>
      <c r="BU1016" s="2"/>
      <c r="BV1016" s="2"/>
    </row>
    <row r="1017" spans="70:74" ht="27" customHeight="1" x14ac:dyDescent="0.25">
      <c r="BR1017" s="591"/>
      <c r="BS1017" s="591"/>
      <c r="BT1017" s="591"/>
      <c r="BU1017" s="2"/>
      <c r="BV1017" s="2"/>
    </row>
    <row r="1018" spans="70:74" ht="27" customHeight="1" x14ac:dyDescent="0.25">
      <c r="BR1018" s="591"/>
      <c r="BS1018" s="591"/>
      <c r="BT1018" s="591"/>
      <c r="BU1018" s="2"/>
      <c r="BV1018" s="2"/>
    </row>
    <row r="1019" spans="70:74" ht="27" customHeight="1" x14ac:dyDescent="0.25">
      <c r="BR1019" s="591"/>
      <c r="BS1019" s="591"/>
      <c r="BT1019" s="591"/>
      <c r="BU1019" s="2"/>
      <c r="BV1019" s="2"/>
    </row>
    <row r="1020" spans="70:74" ht="27" customHeight="1" x14ac:dyDescent="0.25">
      <c r="BR1020" s="591"/>
      <c r="BS1020" s="591"/>
      <c r="BT1020" s="591"/>
      <c r="BU1020" s="2"/>
      <c r="BV1020" s="2"/>
    </row>
    <row r="1021" spans="70:74" ht="27" customHeight="1" x14ac:dyDescent="0.25">
      <c r="BR1021" s="591"/>
      <c r="BS1021" s="591"/>
      <c r="BT1021" s="591"/>
      <c r="BU1021" s="2"/>
      <c r="BV1021" s="2"/>
    </row>
    <row r="1022" spans="70:74" ht="27" customHeight="1" x14ac:dyDescent="0.25">
      <c r="BR1022" s="591"/>
      <c r="BS1022" s="591"/>
      <c r="BT1022" s="591"/>
      <c r="BU1022" s="2"/>
      <c r="BV1022" s="2"/>
    </row>
    <row r="1023" spans="70:74" ht="27" customHeight="1" x14ac:dyDescent="0.25">
      <c r="BR1023" s="591"/>
      <c r="BS1023" s="591"/>
      <c r="BT1023" s="591"/>
      <c r="BU1023" s="2"/>
      <c r="BV1023" s="2"/>
    </row>
    <row r="1024" spans="70:74" ht="27" customHeight="1" x14ac:dyDescent="0.25">
      <c r="BR1024" s="591"/>
      <c r="BS1024" s="591"/>
      <c r="BT1024" s="591"/>
      <c r="BU1024" s="2"/>
      <c r="BV1024" s="2"/>
    </row>
    <row r="1025" spans="70:74" ht="27" customHeight="1" x14ac:dyDescent="0.25">
      <c r="BR1025" s="591"/>
      <c r="BS1025" s="591"/>
      <c r="BT1025" s="591"/>
      <c r="BU1025" s="2"/>
      <c r="BV1025" s="2"/>
    </row>
    <row r="1026" spans="70:74" ht="27" customHeight="1" x14ac:dyDescent="0.25">
      <c r="BR1026" s="591"/>
      <c r="BS1026" s="591"/>
      <c r="BT1026" s="591"/>
      <c r="BU1026" s="2"/>
      <c r="BV1026" s="2"/>
    </row>
    <row r="1027" spans="70:74" ht="27" customHeight="1" x14ac:dyDescent="0.25">
      <c r="BR1027" s="591"/>
      <c r="BS1027" s="591"/>
      <c r="BT1027" s="591"/>
      <c r="BU1027" s="2"/>
      <c r="BV1027" s="2"/>
    </row>
    <row r="1028" spans="70:74" ht="27" customHeight="1" x14ac:dyDescent="0.25">
      <c r="BR1028" s="591"/>
      <c r="BS1028" s="591"/>
      <c r="BT1028" s="591"/>
      <c r="BU1028" s="2"/>
      <c r="BV1028" s="2"/>
    </row>
    <row r="1029" spans="70:74" ht="27" customHeight="1" x14ac:dyDescent="0.25">
      <c r="BR1029" s="591"/>
      <c r="BS1029" s="591"/>
      <c r="BT1029" s="591"/>
      <c r="BU1029" s="2"/>
      <c r="BV1029" s="2"/>
    </row>
    <row r="1030" spans="70:74" ht="27" customHeight="1" x14ac:dyDescent="0.25">
      <c r="BR1030" s="591"/>
      <c r="BS1030" s="591"/>
      <c r="BT1030" s="591"/>
      <c r="BU1030" s="2"/>
      <c r="BV1030" s="2"/>
    </row>
    <row r="1031" spans="70:74" ht="27" customHeight="1" x14ac:dyDescent="0.25">
      <c r="BR1031" s="591"/>
      <c r="BS1031" s="591"/>
      <c r="BT1031" s="591"/>
      <c r="BU1031" s="2"/>
      <c r="BV1031" s="2"/>
    </row>
    <row r="1032" spans="70:74" ht="27" customHeight="1" x14ac:dyDescent="0.25">
      <c r="BR1032" s="591"/>
      <c r="BS1032" s="591"/>
      <c r="BT1032" s="591"/>
      <c r="BU1032" s="2"/>
      <c r="BV1032" s="2"/>
    </row>
    <row r="1033" spans="70:74" ht="27" customHeight="1" x14ac:dyDescent="0.25">
      <c r="BR1033" s="591"/>
      <c r="BS1033" s="591"/>
      <c r="BT1033" s="591"/>
      <c r="BU1033" s="2"/>
      <c r="BV1033" s="2"/>
    </row>
    <row r="1034" spans="70:74" ht="27" customHeight="1" x14ac:dyDescent="0.25">
      <c r="BR1034" s="591"/>
      <c r="BS1034" s="591"/>
      <c r="BT1034" s="591"/>
      <c r="BU1034" s="2"/>
      <c r="BV1034" s="2"/>
    </row>
    <row r="1035" spans="70:74" ht="27" customHeight="1" x14ac:dyDescent="0.25">
      <c r="BR1035" s="591"/>
      <c r="BS1035" s="591"/>
      <c r="BT1035" s="591"/>
      <c r="BU1035" s="2"/>
      <c r="BV1035" s="2"/>
    </row>
    <row r="1036" spans="70:74" ht="27" customHeight="1" x14ac:dyDescent="0.25">
      <c r="BR1036" s="591"/>
      <c r="BS1036" s="591"/>
      <c r="BT1036" s="591"/>
      <c r="BU1036" s="2"/>
      <c r="BV1036" s="2"/>
    </row>
    <row r="1037" spans="70:74" ht="27" customHeight="1" x14ac:dyDescent="0.25">
      <c r="BR1037" s="591"/>
      <c r="BS1037" s="591"/>
      <c r="BT1037" s="591"/>
      <c r="BU1037" s="2"/>
      <c r="BV1037" s="2"/>
    </row>
    <row r="1038" spans="70:74" ht="27" customHeight="1" x14ac:dyDescent="0.25">
      <c r="BR1038" s="591"/>
      <c r="BS1038" s="591"/>
      <c r="BT1038" s="591"/>
      <c r="BU1038" s="2"/>
      <c r="BV1038" s="2"/>
    </row>
    <row r="1039" spans="70:74" ht="27" customHeight="1" x14ac:dyDescent="0.25">
      <c r="BR1039" s="591"/>
      <c r="BS1039" s="591"/>
      <c r="BT1039" s="591"/>
      <c r="BU1039" s="2"/>
      <c r="BV1039" s="2"/>
    </row>
    <row r="1040" spans="70:74" ht="27" customHeight="1" x14ac:dyDescent="0.25">
      <c r="BR1040" s="591"/>
      <c r="BS1040" s="591"/>
      <c r="BT1040" s="591"/>
      <c r="BU1040" s="2"/>
      <c r="BV1040" s="2"/>
    </row>
    <row r="1041" spans="70:74" ht="27" customHeight="1" x14ac:dyDescent="0.25">
      <c r="BR1041" s="591"/>
      <c r="BS1041" s="591"/>
      <c r="BT1041" s="591"/>
      <c r="BU1041" s="2"/>
      <c r="BV1041" s="2"/>
    </row>
    <row r="1042" spans="70:74" ht="27" customHeight="1" x14ac:dyDescent="0.25">
      <c r="BR1042" s="591"/>
      <c r="BS1042" s="591"/>
      <c r="BT1042" s="591"/>
      <c r="BU1042" s="2"/>
      <c r="BV1042" s="2"/>
    </row>
    <row r="1043" spans="70:74" ht="27" customHeight="1" x14ac:dyDescent="0.25">
      <c r="BR1043" s="591"/>
      <c r="BS1043" s="591"/>
      <c r="BT1043" s="591"/>
      <c r="BU1043" s="2"/>
      <c r="BV1043" s="2"/>
    </row>
    <row r="1044" spans="70:74" ht="27" customHeight="1" x14ac:dyDescent="0.25">
      <c r="BR1044" s="591"/>
      <c r="BS1044" s="591"/>
      <c r="BT1044" s="591"/>
      <c r="BU1044" s="2"/>
      <c r="BV1044" s="2"/>
    </row>
    <row r="1045" spans="70:74" ht="27" customHeight="1" x14ac:dyDescent="0.25">
      <c r="BR1045" s="591"/>
      <c r="BS1045" s="591"/>
      <c r="BT1045" s="591"/>
      <c r="BU1045" s="2"/>
      <c r="BV1045" s="2"/>
    </row>
    <row r="1046" spans="70:74" ht="27" customHeight="1" x14ac:dyDescent="0.25">
      <c r="BR1046" s="591"/>
      <c r="BS1046" s="591"/>
      <c r="BT1046" s="591"/>
      <c r="BU1046" s="2"/>
      <c r="BV1046" s="2"/>
    </row>
    <row r="1047" spans="70:74" ht="27" customHeight="1" x14ac:dyDescent="0.25">
      <c r="BR1047" s="591"/>
      <c r="BS1047" s="591"/>
      <c r="BT1047" s="591"/>
      <c r="BU1047" s="2"/>
      <c r="BV1047" s="2"/>
    </row>
    <row r="1048" spans="70:74" ht="27" customHeight="1" x14ac:dyDescent="0.25">
      <c r="BR1048" s="591"/>
      <c r="BS1048" s="591"/>
      <c r="BT1048" s="591"/>
      <c r="BU1048" s="2"/>
      <c r="BV1048" s="2"/>
    </row>
    <row r="1049" spans="70:74" ht="27" customHeight="1" x14ac:dyDescent="0.25">
      <c r="BR1049" s="591"/>
      <c r="BS1049" s="591"/>
      <c r="BT1049" s="591"/>
      <c r="BU1049" s="2"/>
      <c r="BV1049" s="2"/>
    </row>
    <row r="1050" spans="70:74" ht="27" customHeight="1" x14ac:dyDescent="0.25">
      <c r="BR1050" s="591"/>
      <c r="BS1050" s="591"/>
      <c r="BT1050" s="591"/>
      <c r="BU1050" s="2"/>
      <c r="BV1050" s="2"/>
    </row>
    <row r="1051" spans="70:74" ht="27" customHeight="1" x14ac:dyDescent="0.25">
      <c r="BR1051" s="591"/>
      <c r="BS1051" s="591"/>
      <c r="BT1051" s="591"/>
      <c r="BU1051" s="2"/>
      <c r="BV1051" s="2"/>
    </row>
    <row r="1052" spans="70:74" ht="27" customHeight="1" x14ac:dyDescent="0.25">
      <c r="BR1052" s="591"/>
      <c r="BS1052" s="591"/>
      <c r="BT1052" s="591"/>
      <c r="BU1052" s="2"/>
      <c r="BV1052" s="2"/>
    </row>
    <row r="1053" spans="70:74" ht="27" customHeight="1" x14ac:dyDescent="0.25">
      <c r="BR1053" s="591"/>
      <c r="BS1053" s="591"/>
      <c r="BT1053" s="591"/>
      <c r="BU1053" s="2"/>
      <c r="BV1053" s="2"/>
    </row>
    <row r="1054" spans="70:74" ht="27" customHeight="1" x14ac:dyDescent="0.25">
      <c r="BR1054" s="591"/>
      <c r="BS1054" s="591"/>
      <c r="BT1054" s="591"/>
      <c r="BU1054" s="2"/>
      <c r="BV1054" s="2"/>
    </row>
    <row r="1055" spans="70:74" ht="27" customHeight="1" x14ac:dyDescent="0.25">
      <c r="BR1055" s="591"/>
      <c r="BS1055" s="591"/>
      <c r="BT1055" s="591"/>
      <c r="BU1055" s="2"/>
      <c r="BV1055" s="2"/>
    </row>
    <row r="1056" spans="70:74" ht="27" customHeight="1" x14ac:dyDescent="0.25">
      <c r="BR1056" s="591"/>
      <c r="BS1056" s="591"/>
      <c r="BT1056" s="591"/>
      <c r="BU1056" s="2"/>
      <c r="BV1056" s="2"/>
    </row>
    <row r="1057" spans="70:74" ht="27" customHeight="1" x14ac:dyDescent="0.25">
      <c r="BR1057" s="591"/>
      <c r="BS1057" s="591"/>
      <c r="BT1057" s="591"/>
      <c r="BU1057" s="2"/>
      <c r="BV1057" s="2"/>
    </row>
    <row r="1058" spans="70:74" ht="27" customHeight="1" x14ac:dyDescent="0.25">
      <c r="BR1058" s="591"/>
      <c r="BS1058" s="591"/>
      <c r="BT1058" s="591"/>
      <c r="BU1058" s="2"/>
      <c r="BV1058" s="2"/>
    </row>
    <row r="1059" spans="70:74" ht="27" customHeight="1" x14ac:dyDescent="0.25">
      <c r="BR1059" s="591"/>
      <c r="BS1059" s="591"/>
      <c r="BT1059" s="591"/>
      <c r="BU1059" s="2"/>
      <c r="BV1059" s="2"/>
    </row>
    <row r="1060" spans="70:74" ht="27" customHeight="1" x14ac:dyDescent="0.25">
      <c r="BR1060" s="591"/>
      <c r="BS1060" s="591"/>
      <c r="BT1060" s="591"/>
      <c r="BU1060" s="2"/>
      <c r="BV1060" s="2"/>
    </row>
    <row r="1061" spans="70:74" ht="27" customHeight="1" x14ac:dyDescent="0.25">
      <c r="BR1061" s="591"/>
      <c r="BS1061" s="591"/>
      <c r="BT1061" s="591"/>
      <c r="BU1061" s="2"/>
      <c r="BV1061" s="2"/>
    </row>
    <row r="1062" spans="70:74" ht="27" customHeight="1" x14ac:dyDescent="0.25">
      <c r="BR1062" s="591"/>
      <c r="BS1062" s="591"/>
      <c r="BT1062" s="591"/>
      <c r="BU1062" s="2"/>
      <c r="BV1062" s="2"/>
    </row>
    <row r="1063" spans="70:74" ht="27" customHeight="1" x14ac:dyDescent="0.25">
      <c r="BR1063" s="591"/>
      <c r="BS1063" s="591"/>
      <c r="BT1063" s="591"/>
      <c r="BU1063" s="2"/>
      <c r="BV1063" s="2"/>
    </row>
    <row r="1064" spans="70:74" ht="27" customHeight="1" x14ac:dyDescent="0.25">
      <c r="BR1064" s="591"/>
      <c r="BS1064" s="591"/>
      <c r="BT1064" s="591"/>
      <c r="BU1064" s="2"/>
      <c r="BV1064" s="2"/>
    </row>
    <row r="1065" spans="70:74" ht="27" customHeight="1" x14ac:dyDescent="0.25">
      <c r="BR1065" s="591"/>
      <c r="BS1065" s="591"/>
      <c r="BT1065" s="591"/>
      <c r="BU1065" s="2"/>
      <c r="BV1065" s="2"/>
    </row>
    <row r="1066" spans="70:74" ht="27" customHeight="1" x14ac:dyDescent="0.25">
      <c r="BR1066" s="591"/>
      <c r="BS1066" s="591"/>
      <c r="BT1066" s="591"/>
      <c r="BU1066" s="2"/>
      <c r="BV1066" s="2"/>
    </row>
    <row r="1067" spans="70:74" ht="27" customHeight="1" x14ac:dyDescent="0.25">
      <c r="BR1067" s="591"/>
      <c r="BS1067" s="591"/>
      <c r="BT1067" s="591"/>
      <c r="BU1067" s="2"/>
      <c r="BV1067" s="2"/>
    </row>
    <row r="1068" spans="70:74" ht="27" customHeight="1" x14ac:dyDescent="0.25">
      <c r="BR1068" s="591"/>
      <c r="BS1068" s="591"/>
      <c r="BT1068" s="591"/>
      <c r="BU1068" s="2"/>
      <c r="BV1068" s="2"/>
    </row>
    <row r="1069" spans="70:74" ht="27" customHeight="1" x14ac:dyDescent="0.25">
      <c r="BR1069" s="591"/>
      <c r="BS1069" s="591"/>
      <c r="BT1069" s="591"/>
      <c r="BU1069" s="2"/>
      <c r="BV1069" s="2"/>
    </row>
    <row r="1070" spans="70:74" ht="27" customHeight="1" x14ac:dyDescent="0.25">
      <c r="BR1070" s="591"/>
      <c r="BS1070" s="591"/>
      <c r="BT1070" s="591"/>
      <c r="BU1070" s="2"/>
      <c r="BV1070" s="2"/>
    </row>
    <row r="1071" spans="70:74" ht="27" customHeight="1" x14ac:dyDescent="0.25">
      <c r="BR1071" s="591"/>
      <c r="BS1071" s="591"/>
      <c r="BT1071" s="591"/>
      <c r="BU1071" s="2"/>
      <c r="BV1071" s="2"/>
    </row>
    <row r="1072" spans="70:74" ht="27" customHeight="1" x14ac:dyDescent="0.25">
      <c r="BR1072" s="591"/>
      <c r="BS1072" s="591"/>
      <c r="BT1072" s="591"/>
      <c r="BU1072" s="2"/>
      <c r="BV1072" s="2"/>
    </row>
    <row r="1073" spans="70:74" ht="27" customHeight="1" x14ac:dyDescent="0.25">
      <c r="BR1073" s="591"/>
      <c r="BS1073" s="591"/>
      <c r="BT1073" s="591"/>
      <c r="BU1073" s="2"/>
      <c r="BV1073" s="2"/>
    </row>
    <row r="1074" spans="70:74" ht="27" customHeight="1" x14ac:dyDescent="0.25">
      <c r="BR1074" s="591"/>
      <c r="BS1074" s="591"/>
      <c r="BT1074" s="591"/>
      <c r="BU1074" s="2"/>
      <c r="BV1074" s="2"/>
    </row>
    <row r="1075" spans="70:74" ht="27" customHeight="1" x14ac:dyDescent="0.25">
      <c r="BR1075" s="591"/>
      <c r="BS1075" s="591"/>
      <c r="BT1075" s="591"/>
      <c r="BU1075" s="2"/>
      <c r="BV1075" s="2"/>
    </row>
    <row r="1076" spans="70:74" ht="27" customHeight="1" x14ac:dyDescent="0.25">
      <c r="BR1076" s="591"/>
      <c r="BS1076" s="591"/>
      <c r="BT1076" s="591"/>
      <c r="BU1076" s="2"/>
      <c r="BV1076" s="2"/>
    </row>
    <row r="1077" spans="70:74" ht="27" customHeight="1" x14ac:dyDescent="0.25">
      <c r="BR1077" s="591"/>
      <c r="BS1077" s="591"/>
      <c r="BT1077" s="591"/>
      <c r="BU1077" s="2"/>
      <c r="BV1077" s="2"/>
    </row>
    <row r="1078" spans="70:74" ht="27" customHeight="1" x14ac:dyDescent="0.25">
      <c r="BR1078" s="591"/>
      <c r="BS1078" s="591"/>
      <c r="BT1078" s="591"/>
      <c r="BU1078" s="2"/>
      <c r="BV1078" s="2"/>
    </row>
    <row r="1079" spans="70:74" ht="27" customHeight="1" x14ac:dyDescent="0.25">
      <c r="BR1079" s="591"/>
      <c r="BS1079" s="591"/>
      <c r="BT1079" s="591"/>
      <c r="BU1079" s="2"/>
      <c r="BV1079" s="2"/>
    </row>
    <row r="1080" spans="70:74" ht="27" customHeight="1" x14ac:dyDescent="0.25">
      <c r="BR1080" s="591"/>
      <c r="BS1080" s="591"/>
      <c r="BT1080" s="591"/>
      <c r="BU1080" s="2"/>
      <c r="BV1080" s="2"/>
    </row>
    <row r="1081" spans="70:74" ht="27" customHeight="1" x14ac:dyDescent="0.25">
      <c r="BR1081" s="591"/>
      <c r="BS1081" s="591"/>
      <c r="BT1081" s="591"/>
      <c r="BU1081" s="2"/>
      <c r="BV1081" s="2"/>
    </row>
    <row r="1082" spans="70:74" ht="27" customHeight="1" x14ac:dyDescent="0.25">
      <c r="BR1082" s="591"/>
      <c r="BS1082" s="591"/>
      <c r="BT1082" s="591"/>
      <c r="BU1082" s="2"/>
      <c r="BV1082" s="2"/>
    </row>
    <row r="1083" spans="70:74" ht="27" customHeight="1" x14ac:dyDescent="0.25">
      <c r="BR1083" s="591"/>
      <c r="BS1083" s="591"/>
      <c r="BT1083" s="591"/>
      <c r="BU1083" s="2"/>
      <c r="BV1083" s="2"/>
    </row>
    <row r="1084" spans="70:74" ht="27" customHeight="1" x14ac:dyDescent="0.25">
      <c r="BR1084" s="591"/>
      <c r="BS1084" s="591"/>
      <c r="BT1084" s="591"/>
      <c r="BU1084" s="2"/>
      <c r="BV1084" s="2"/>
    </row>
    <row r="1085" spans="70:74" ht="27" customHeight="1" x14ac:dyDescent="0.25">
      <c r="BR1085" s="591"/>
      <c r="BS1085" s="591"/>
      <c r="BT1085" s="591"/>
      <c r="BU1085" s="2"/>
      <c r="BV1085" s="2"/>
    </row>
    <row r="1086" spans="70:74" ht="27" customHeight="1" x14ac:dyDescent="0.25">
      <c r="BR1086" s="591"/>
      <c r="BS1086" s="591"/>
      <c r="BT1086" s="591"/>
      <c r="BU1086" s="2"/>
      <c r="BV1086" s="2"/>
    </row>
    <row r="1087" spans="70:74" ht="27" customHeight="1" x14ac:dyDescent="0.25">
      <c r="BR1087" s="591"/>
      <c r="BS1087" s="591"/>
      <c r="BT1087" s="591"/>
      <c r="BU1087" s="2"/>
      <c r="BV1087" s="2"/>
    </row>
    <row r="1088" spans="70:74" ht="27" customHeight="1" x14ac:dyDescent="0.25">
      <c r="BR1088" s="591"/>
      <c r="BS1088" s="591"/>
      <c r="BT1088" s="591"/>
      <c r="BU1088" s="2"/>
      <c r="BV1088" s="2"/>
    </row>
    <row r="1089" spans="70:74" ht="27" customHeight="1" x14ac:dyDescent="0.25">
      <c r="BR1089" s="591"/>
      <c r="BS1089" s="591"/>
      <c r="BT1089" s="591"/>
      <c r="BU1089" s="2"/>
      <c r="BV1089" s="2"/>
    </row>
    <row r="1090" spans="70:74" ht="27" customHeight="1" x14ac:dyDescent="0.25">
      <c r="BR1090" s="591"/>
      <c r="BS1090" s="591"/>
      <c r="BT1090" s="591"/>
      <c r="BU1090" s="2"/>
      <c r="BV1090" s="2"/>
    </row>
    <row r="1091" spans="70:74" ht="27" customHeight="1" x14ac:dyDescent="0.25">
      <c r="BR1091" s="591"/>
      <c r="BS1091" s="591"/>
      <c r="BT1091" s="591"/>
      <c r="BU1091" s="2"/>
      <c r="BV1091" s="2"/>
    </row>
    <row r="1092" spans="70:74" ht="27" customHeight="1" x14ac:dyDescent="0.25">
      <c r="BR1092" s="591"/>
      <c r="BS1092" s="591"/>
      <c r="BT1092" s="591"/>
      <c r="BU1092" s="2"/>
      <c r="BV1092" s="2"/>
    </row>
    <row r="1093" spans="70:74" ht="27" customHeight="1" x14ac:dyDescent="0.25">
      <c r="BR1093" s="591"/>
      <c r="BS1093" s="591"/>
      <c r="BT1093" s="591"/>
      <c r="BU1093" s="2"/>
      <c r="BV1093" s="2"/>
    </row>
    <row r="1094" spans="70:74" ht="27" customHeight="1" x14ac:dyDescent="0.25">
      <c r="BR1094" s="591"/>
      <c r="BS1094" s="591"/>
      <c r="BT1094" s="591"/>
      <c r="BU1094" s="2"/>
      <c r="BV1094" s="2"/>
    </row>
    <row r="1095" spans="70:74" ht="27" customHeight="1" x14ac:dyDescent="0.25">
      <c r="BR1095" s="591"/>
      <c r="BS1095" s="591"/>
      <c r="BT1095" s="591"/>
      <c r="BU1095" s="2"/>
      <c r="BV1095" s="2"/>
    </row>
    <row r="1096" spans="70:74" ht="27" customHeight="1" x14ac:dyDescent="0.25">
      <c r="BR1096" s="591"/>
      <c r="BS1096" s="591"/>
      <c r="BT1096" s="591"/>
      <c r="BU1096" s="2"/>
      <c r="BV1096" s="2"/>
    </row>
    <row r="1097" spans="70:74" ht="27" customHeight="1" x14ac:dyDescent="0.25">
      <c r="BR1097" s="591"/>
      <c r="BS1097" s="591"/>
      <c r="BT1097" s="591"/>
      <c r="BU1097" s="2"/>
      <c r="BV1097" s="2"/>
    </row>
    <row r="1098" spans="70:74" ht="27" customHeight="1" x14ac:dyDescent="0.25">
      <c r="BR1098" s="591"/>
      <c r="BS1098" s="591"/>
      <c r="BT1098" s="591"/>
      <c r="BU1098" s="2"/>
      <c r="BV1098" s="2"/>
    </row>
    <row r="1099" spans="70:74" ht="27" customHeight="1" x14ac:dyDescent="0.25">
      <c r="BR1099" s="591"/>
      <c r="BS1099" s="591"/>
      <c r="BT1099" s="591"/>
      <c r="BU1099" s="2"/>
      <c r="BV1099" s="2"/>
    </row>
    <row r="1100" spans="70:74" ht="27" customHeight="1" x14ac:dyDescent="0.25">
      <c r="BR1100" s="591"/>
      <c r="BS1100" s="591"/>
      <c r="BT1100" s="591"/>
      <c r="BU1100" s="2"/>
      <c r="BV1100" s="2"/>
    </row>
    <row r="1101" spans="70:74" ht="27" customHeight="1" x14ac:dyDescent="0.25">
      <c r="BR1101" s="591"/>
      <c r="BS1101" s="591"/>
      <c r="BT1101" s="591"/>
      <c r="BU1101" s="2"/>
      <c r="BV1101" s="2"/>
    </row>
    <row r="1102" spans="70:74" ht="27" customHeight="1" x14ac:dyDescent="0.25">
      <c r="BR1102" s="591"/>
      <c r="BS1102" s="591"/>
      <c r="BT1102" s="591"/>
      <c r="BU1102" s="2"/>
      <c r="BV1102" s="2"/>
    </row>
    <row r="1103" spans="70:74" ht="27" customHeight="1" x14ac:dyDescent="0.25">
      <c r="BR1103" s="591"/>
      <c r="BS1103" s="591"/>
      <c r="BT1103" s="591"/>
      <c r="BU1103" s="2"/>
      <c r="BV1103" s="2"/>
    </row>
    <row r="1104" spans="70:74" ht="27" customHeight="1" x14ac:dyDescent="0.25">
      <c r="BR1104" s="591"/>
      <c r="BS1104" s="591"/>
      <c r="BT1104" s="591"/>
      <c r="BU1104" s="2"/>
      <c r="BV1104" s="2"/>
    </row>
    <row r="1105" spans="70:74" ht="27" customHeight="1" x14ac:dyDescent="0.25">
      <c r="BR1105" s="591"/>
      <c r="BS1105" s="591"/>
      <c r="BT1105" s="591"/>
      <c r="BU1105" s="2"/>
      <c r="BV1105" s="2"/>
    </row>
    <row r="1106" spans="70:74" ht="27" customHeight="1" x14ac:dyDescent="0.25">
      <c r="BR1106" s="591"/>
      <c r="BS1106" s="591"/>
      <c r="BT1106" s="591"/>
      <c r="BU1106" s="2"/>
      <c r="BV1106" s="2"/>
    </row>
    <row r="1107" spans="70:74" ht="27" customHeight="1" x14ac:dyDescent="0.25">
      <c r="BR1107" s="591"/>
      <c r="BS1107" s="591"/>
      <c r="BT1107" s="591"/>
      <c r="BU1107" s="2"/>
      <c r="BV1107" s="2"/>
    </row>
    <row r="1108" spans="70:74" ht="27" customHeight="1" x14ac:dyDescent="0.25">
      <c r="BR1108" s="591"/>
      <c r="BS1108" s="591"/>
      <c r="BT1108" s="591"/>
      <c r="BU1108" s="2"/>
      <c r="BV1108" s="2"/>
    </row>
    <row r="1109" spans="70:74" ht="27" customHeight="1" x14ac:dyDescent="0.25">
      <c r="BR1109" s="591"/>
      <c r="BS1109" s="591"/>
      <c r="BT1109" s="591"/>
      <c r="BU1109" s="2"/>
      <c r="BV1109" s="2"/>
    </row>
    <row r="1110" spans="70:74" ht="27" customHeight="1" x14ac:dyDescent="0.25">
      <c r="BR1110" s="591"/>
      <c r="BS1110" s="591"/>
      <c r="BT1110" s="591"/>
      <c r="BU1110" s="2"/>
      <c r="BV1110" s="2"/>
    </row>
    <row r="1111" spans="70:74" ht="27" customHeight="1" x14ac:dyDescent="0.25">
      <c r="BR1111" s="591"/>
      <c r="BS1111" s="591"/>
      <c r="BT1111" s="591"/>
      <c r="BU1111" s="2"/>
      <c r="BV1111" s="2"/>
    </row>
    <row r="1112" spans="70:74" ht="27" customHeight="1" x14ac:dyDescent="0.25">
      <c r="BR1112" s="591"/>
      <c r="BS1112" s="591"/>
      <c r="BT1112" s="591"/>
      <c r="BU1112" s="2"/>
      <c r="BV1112" s="2"/>
    </row>
    <row r="1113" spans="70:74" ht="27" customHeight="1" x14ac:dyDescent="0.25">
      <c r="BR1113" s="591"/>
      <c r="BS1113" s="591"/>
      <c r="BT1113" s="591"/>
      <c r="BU1113" s="2"/>
      <c r="BV1113" s="2"/>
    </row>
    <row r="1114" spans="70:74" ht="27" customHeight="1" x14ac:dyDescent="0.25">
      <c r="BR1114" s="591"/>
      <c r="BS1114" s="591"/>
      <c r="BT1114" s="591"/>
      <c r="BU1114" s="2"/>
      <c r="BV1114" s="2"/>
    </row>
    <row r="1115" spans="70:74" ht="27" customHeight="1" x14ac:dyDescent="0.25">
      <c r="BR1115" s="591"/>
      <c r="BS1115" s="591"/>
      <c r="BT1115" s="591"/>
      <c r="BU1115" s="2"/>
      <c r="BV1115" s="2"/>
    </row>
    <row r="1116" spans="70:74" ht="27" customHeight="1" x14ac:dyDescent="0.25">
      <c r="BR1116" s="591"/>
      <c r="BS1116" s="591"/>
      <c r="BT1116" s="591"/>
      <c r="BU1116" s="2"/>
      <c r="BV1116" s="2"/>
    </row>
    <row r="1117" spans="70:74" ht="27" customHeight="1" x14ac:dyDescent="0.25">
      <c r="BR1117" s="591"/>
      <c r="BS1117" s="591"/>
      <c r="BT1117" s="591"/>
      <c r="BU1117" s="2"/>
      <c r="BV1117" s="2"/>
    </row>
    <row r="1118" spans="70:74" ht="27" customHeight="1" x14ac:dyDescent="0.25">
      <c r="BR1118" s="591"/>
      <c r="BS1118" s="591"/>
      <c r="BT1118" s="591"/>
      <c r="BU1118" s="2"/>
      <c r="BV1118" s="2"/>
    </row>
    <row r="1119" spans="70:74" ht="27" customHeight="1" x14ac:dyDescent="0.25">
      <c r="BR1119" s="591"/>
      <c r="BS1119" s="591"/>
      <c r="BT1119" s="591"/>
      <c r="BU1119" s="2"/>
      <c r="BV1119" s="2"/>
    </row>
    <row r="1120" spans="70:74" ht="27" customHeight="1" x14ac:dyDescent="0.25">
      <c r="BR1120" s="591"/>
      <c r="BS1120" s="591"/>
      <c r="BT1120" s="591"/>
      <c r="BU1120" s="2"/>
      <c r="BV1120" s="2"/>
    </row>
    <row r="1121" spans="70:74" ht="27" customHeight="1" x14ac:dyDescent="0.25">
      <c r="BR1121" s="591"/>
      <c r="BS1121" s="591"/>
      <c r="BT1121" s="591"/>
      <c r="BU1121" s="2"/>
      <c r="BV1121" s="2"/>
    </row>
    <row r="1122" spans="70:74" ht="27" customHeight="1" x14ac:dyDescent="0.25">
      <c r="BR1122" s="591"/>
      <c r="BS1122" s="591"/>
      <c r="BT1122" s="591"/>
      <c r="BU1122" s="2"/>
      <c r="BV1122" s="2"/>
    </row>
    <row r="1123" spans="70:74" ht="27" customHeight="1" x14ac:dyDescent="0.25">
      <c r="BR1123" s="591"/>
      <c r="BS1123" s="591"/>
      <c r="BT1123" s="591"/>
      <c r="BU1123" s="2"/>
      <c r="BV1123" s="2"/>
    </row>
    <row r="1124" spans="70:74" ht="27" customHeight="1" x14ac:dyDescent="0.25">
      <c r="BR1124" s="591"/>
      <c r="BS1124" s="591"/>
      <c r="BT1124" s="591"/>
      <c r="BU1124" s="2"/>
      <c r="BV1124" s="2"/>
    </row>
    <row r="1125" spans="70:74" ht="27" customHeight="1" x14ac:dyDescent="0.25">
      <c r="BR1125" s="591"/>
      <c r="BS1125" s="591"/>
      <c r="BT1125" s="591"/>
      <c r="BU1125" s="2"/>
      <c r="BV1125" s="2"/>
    </row>
    <row r="1126" spans="70:74" ht="27" customHeight="1" x14ac:dyDescent="0.25">
      <c r="BR1126" s="591"/>
      <c r="BS1126" s="591"/>
      <c r="BT1126" s="591"/>
      <c r="BU1126" s="2"/>
      <c r="BV1126" s="2"/>
    </row>
    <row r="1127" spans="70:74" ht="27" customHeight="1" x14ac:dyDescent="0.25">
      <c r="BR1127" s="591"/>
      <c r="BS1127" s="591"/>
      <c r="BT1127" s="591"/>
      <c r="BU1127" s="2"/>
      <c r="BV1127" s="2"/>
    </row>
    <row r="1128" spans="70:74" ht="27" customHeight="1" x14ac:dyDescent="0.25">
      <c r="BR1128" s="591"/>
      <c r="BS1128" s="591"/>
      <c r="BT1128" s="591"/>
      <c r="BU1128" s="2"/>
      <c r="BV1128" s="2"/>
    </row>
    <row r="1129" spans="70:74" ht="27" customHeight="1" x14ac:dyDescent="0.25">
      <c r="BR1129" s="591"/>
      <c r="BS1129" s="591"/>
      <c r="BT1129" s="591"/>
      <c r="BU1129" s="2"/>
      <c r="BV1129" s="2"/>
    </row>
    <row r="1130" spans="70:74" ht="27" customHeight="1" x14ac:dyDescent="0.25">
      <c r="BR1130" s="591"/>
      <c r="BS1130" s="591"/>
      <c r="BT1130" s="591"/>
      <c r="BU1130" s="2"/>
      <c r="BV1130" s="2"/>
    </row>
    <row r="1131" spans="70:74" ht="27" customHeight="1" x14ac:dyDescent="0.25">
      <c r="BR1131" s="591"/>
      <c r="BS1131" s="591"/>
      <c r="BT1131" s="591"/>
      <c r="BU1131" s="2"/>
      <c r="BV1131" s="2"/>
    </row>
    <row r="1132" spans="70:74" ht="27" customHeight="1" x14ac:dyDescent="0.25">
      <c r="BR1132" s="591"/>
      <c r="BS1132" s="591"/>
      <c r="BT1132" s="591"/>
      <c r="BU1132" s="2"/>
      <c r="BV1132" s="2"/>
    </row>
    <row r="1133" spans="70:74" ht="27" customHeight="1" x14ac:dyDescent="0.25">
      <c r="BR1133" s="591"/>
      <c r="BS1133" s="591"/>
      <c r="BT1133" s="591"/>
      <c r="BU1133" s="2"/>
      <c r="BV1133" s="2"/>
    </row>
    <row r="1134" spans="70:74" ht="27" customHeight="1" x14ac:dyDescent="0.25">
      <c r="BR1134" s="591"/>
      <c r="BS1134" s="591"/>
      <c r="BT1134" s="591"/>
      <c r="BU1134" s="2"/>
      <c r="BV1134" s="2"/>
    </row>
    <row r="1135" spans="70:74" ht="27" customHeight="1" x14ac:dyDescent="0.25">
      <c r="BR1135" s="591"/>
      <c r="BS1135" s="591"/>
      <c r="BT1135" s="591"/>
      <c r="BU1135" s="2"/>
      <c r="BV1135" s="2"/>
    </row>
    <row r="1136" spans="70:74" ht="27" customHeight="1" x14ac:dyDescent="0.25">
      <c r="BR1136" s="591"/>
      <c r="BS1136" s="591"/>
      <c r="BT1136" s="591"/>
      <c r="BU1136" s="2"/>
      <c r="BV1136" s="2"/>
    </row>
    <row r="1137" spans="70:74" ht="27" customHeight="1" x14ac:dyDescent="0.25">
      <c r="BR1137" s="591"/>
      <c r="BS1137" s="591"/>
      <c r="BT1137" s="591"/>
      <c r="BU1137" s="2"/>
      <c r="BV1137" s="2"/>
    </row>
    <row r="1138" spans="70:74" ht="27" customHeight="1" x14ac:dyDescent="0.25">
      <c r="BR1138" s="591"/>
      <c r="BS1138" s="591"/>
      <c r="BT1138" s="591"/>
      <c r="BU1138" s="2"/>
      <c r="BV1138" s="2"/>
    </row>
    <row r="1139" spans="70:74" ht="27" customHeight="1" x14ac:dyDescent="0.25">
      <c r="BR1139" s="591"/>
      <c r="BS1139" s="591"/>
      <c r="BT1139" s="591"/>
      <c r="BU1139" s="2"/>
      <c r="BV1139" s="2"/>
    </row>
    <row r="1140" spans="70:74" ht="27" customHeight="1" x14ac:dyDescent="0.25">
      <c r="BR1140" s="591"/>
      <c r="BS1140" s="591"/>
      <c r="BT1140" s="591"/>
      <c r="BU1140" s="2"/>
      <c r="BV1140" s="2"/>
    </row>
    <row r="1141" spans="70:74" ht="27" customHeight="1" x14ac:dyDescent="0.25">
      <c r="BR1141" s="591"/>
      <c r="BS1141" s="591"/>
      <c r="BT1141" s="591"/>
      <c r="BU1141" s="2"/>
      <c r="BV1141" s="2"/>
    </row>
    <row r="1142" spans="70:74" ht="27" customHeight="1" x14ac:dyDescent="0.25">
      <c r="BR1142" s="591"/>
      <c r="BS1142" s="591"/>
      <c r="BT1142" s="591"/>
      <c r="BU1142" s="2"/>
      <c r="BV1142" s="2"/>
    </row>
    <row r="1143" spans="70:74" ht="27" customHeight="1" x14ac:dyDescent="0.25">
      <c r="BR1143" s="591"/>
      <c r="BS1143" s="591"/>
      <c r="BT1143" s="591"/>
      <c r="BU1143" s="2"/>
      <c r="BV1143" s="2"/>
    </row>
    <row r="1144" spans="70:74" ht="27" customHeight="1" x14ac:dyDescent="0.25">
      <c r="BR1144" s="591"/>
      <c r="BS1144" s="591"/>
      <c r="BT1144" s="591"/>
      <c r="BU1144" s="2"/>
      <c r="BV1144" s="2"/>
    </row>
    <row r="1145" spans="70:74" ht="27" customHeight="1" x14ac:dyDescent="0.25">
      <c r="BR1145" s="591"/>
      <c r="BS1145" s="591"/>
      <c r="BT1145" s="591"/>
      <c r="BU1145" s="2"/>
      <c r="BV1145" s="2"/>
    </row>
    <row r="1146" spans="70:74" ht="27" customHeight="1" x14ac:dyDescent="0.25">
      <c r="BR1146" s="591"/>
      <c r="BS1146" s="591"/>
      <c r="BT1146" s="591"/>
      <c r="BU1146" s="2"/>
      <c r="BV1146" s="2"/>
    </row>
    <row r="1147" spans="70:74" ht="27" customHeight="1" x14ac:dyDescent="0.25">
      <c r="BR1147" s="591"/>
      <c r="BS1147" s="591"/>
      <c r="BT1147" s="591"/>
      <c r="BU1147" s="2"/>
      <c r="BV1147" s="2"/>
    </row>
    <row r="1148" spans="70:74" ht="27" customHeight="1" x14ac:dyDescent="0.25">
      <c r="BR1148" s="591"/>
      <c r="BS1148" s="591"/>
      <c r="BT1148" s="591"/>
      <c r="BU1148" s="2"/>
      <c r="BV1148" s="2"/>
    </row>
    <row r="1149" spans="70:74" ht="27" customHeight="1" x14ac:dyDescent="0.25">
      <c r="BR1149" s="591"/>
      <c r="BS1149" s="591"/>
      <c r="BT1149" s="591"/>
      <c r="BU1149" s="2"/>
      <c r="BV1149" s="2"/>
    </row>
    <row r="1150" spans="70:74" ht="27" customHeight="1" x14ac:dyDescent="0.25">
      <c r="BR1150" s="591"/>
      <c r="BS1150" s="591"/>
      <c r="BT1150" s="591"/>
      <c r="BU1150" s="2"/>
      <c r="BV1150" s="2"/>
    </row>
    <row r="1151" spans="70:74" ht="27" customHeight="1" x14ac:dyDescent="0.25">
      <c r="BR1151" s="591"/>
      <c r="BS1151" s="591"/>
      <c r="BT1151" s="591"/>
      <c r="BU1151" s="2"/>
      <c r="BV1151" s="2"/>
    </row>
    <row r="1152" spans="70:74" ht="27" customHeight="1" x14ac:dyDescent="0.25">
      <c r="BR1152" s="591"/>
      <c r="BS1152" s="591"/>
      <c r="BT1152" s="591"/>
      <c r="BU1152" s="2"/>
      <c r="BV1152" s="2"/>
    </row>
    <row r="1153" spans="70:74" ht="27" customHeight="1" x14ac:dyDescent="0.25">
      <c r="BR1153" s="591"/>
      <c r="BS1153" s="591"/>
      <c r="BT1153" s="591"/>
      <c r="BU1153" s="2"/>
      <c r="BV1153" s="2"/>
    </row>
    <row r="1154" spans="70:74" ht="27" customHeight="1" x14ac:dyDescent="0.25">
      <c r="BR1154" s="591"/>
      <c r="BS1154" s="591"/>
      <c r="BT1154" s="591"/>
      <c r="BU1154" s="2"/>
      <c r="BV1154" s="2"/>
    </row>
    <row r="1155" spans="70:74" ht="27" customHeight="1" x14ac:dyDescent="0.25">
      <c r="BR1155" s="591"/>
      <c r="BS1155" s="591"/>
      <c r="BT1155" s="591"/>
      <c r="BU1155" s="2"/>
      <c r="BV1155" s="2"/>
    </row>
    <row r="1156" spans="70:74" ht="27" customHeight="1" x14ac:dyDescent="0.25">
      <c r="BR1156" s="591"/>
      <c r="BS1156" s="591"/>
      <c r="BT1156" s="591"/>
      <c r="BU1156" s="2"/>
      <c r="BV1156" s="2"/>
    </row>
    <row r="1157" spans="70:74" ht="27" customHeight="1" x14ac:dyDescent="0.25">
      <c r="BR1157" s="591"/>
      <c r="BS1157" s="591"/>
      <c r="BT1157" s="591"/>
      <c r="BU1157" s="2"/>
      <c r="BV1157" s="2"/>
    </row>
    <row r="1158" spans="70:74" ht="27" customHeight="1" x14ac:dyDescent="0.25">
      <c r="BR1158" s="591"/>
      <c r="BS1158" s="591"/>
      <c r="BT1158" s="591"/>
      <c r="BU1158" s="2"/>
      <c r="BV1158" s="2"/>
    </row>
    <row r="1159" spans="70:74" ht="27" customHeight="1" x14ac:dyDescent="0.25">
      <c r="BR1159" s="591"/>
      <c r="BS1159" s="591"/>
      <c r="BT1159" s="591"/>
      <c r="BU1159" s="2"/>
      <c r="BV1159" s="2"/>
    </row>
    <row r="1160" spans="70:74" ht="27" customHeight="1" x14ac:dyDescent="0.25">
      <c r="BR1160" s="591"/>
      <c r="BS1160" s="591"/>
      <c r="BT1160" s="591"/>
      <c r="BU1160" s="2"/>
      <c r="BV1160" s="2"/>
    </row>
    <row r="1161" spans="70:74" ht="27" customHeight="1" x14ac:dyDescent="0.25">
      <c r="BR1161" s="591"/>
      <c r="BS1161" s="591"/>
      <c r="BT1161" s="591"/>
      <c r="BU1161" s="2"/>
      <c r="BV1161" s="2"/>
    </row>
    <row r="1162" spans="70:74" ht="27" customHeight="1" x14ac:dyDescent="0.25">
      <c r="BR1162" s="591"/>
      <c r="BS1162" s="591"/>
      <c r="BT1162" s="591"/>
      <c r="BU1162" s="2"/>
      <c r="BV1162" s="2"/>
    </row>
    <row r="1163" spans="70:74" ht="27" customHeight="1" x14ac:dyDescent="0.25">
      <c r="BR1163" s="591"/>
      <c r="BS1163" s="591"/>
      <c r="BT1163" s="591"/>
      <c r="BU1163" s="2"/>
      <c r="BV1163" s="2"/>
    </row>
    <row r="1164" spans="70:74" ht="27" customHeight="1" x14ac:dyDescent="0.25">
      <c r="BR1164" s="591"/>
      <c r="BS1164" s="591"/>
      <c r="BT1164" s="591"/>
      <c r="BU1164" s="2"/>
      <c r="BV1164" s="2"/>
    </row>
    <row r="1165" spans="70:74" ht="27" customHeight="1" x14ac:dyDescent="0.25">
      <c r="BR1165" s="591"/>
      <c r="BS1165" s="591"/>
      <c r="BT1165" s="591"/>
      <c r="BU1165" s="2"/>
      <c r="BV1165" s="2"/>
    </row>
    <row r="1166" spans="70:74" ht="27" customHeight="1" x14ac:dyDescent="0.25">
      <c r="BR1166" s="591"/>
      <c r="BS1166" s="591"/>
      <c r="BT1166" s="591"/>
      <c r="BU1166" s="2"/>
      <c r="BV1166" s="2"/>
    </row>
    <row r="1167" spans="70:74" ht="27" customHeight="1" x14ac:dyDescent="0.25">
      <c r="BR1167" s="591"/>
      <c r="BS1167" s="591"/>
      <c r="BT1167" s="591"/>
      <c r="BU1167" s="2"/>
      <c r="BV1167" s="2"/>
    </row>
    <row r="1168" spans="70:74" ht="27" customHeight="1" x14ac:dyDescent="0.25">
      <c r="BR1168" s="591"/>
      <c r="BS1168" s="591"/>
      <c r="BT1168" s="591"/>
      <c r="BU1168" s="2"/>
      <c r="BV1168" s="2"/>
    </row>
    <row r="1169" spans="70:74" ht="27" customHeight="1" x14ac:dyDescent="0.25">
      <c r="BR1169" s="591"/>
      <c r="BS1169" s="591"/>
      <c r="BT1169" s="591"/>
      <c r="BU1169" s="2"/>
      <c r="BV1169" s="2"/>
    </row>
    <row r="1170" spans="70:74" ht="27" customHeight="1" x14ac:dyDescent="0.25">
      <c r="BR1170" s="591"/>
      <c r="BS1170" s="591"/>
      <c r="BT1170" s="591"/>
      <c r="BU1170" s="2"/>
      <c r="BV1170" s="2"/>
    </row>
    <row r="1171" spans="70:74" ht="27" customHeight="1" x14ac:dyDescent="0.25">
      <c r="BR1171" s="591"/>
      <c r="BS1171" s="591"/>
      <c r="BT1171" s="591"/>
      <c r="BU1171" s="2"/>
      <c r="BV1171" s="2"/>
    </row>
    <row r="1172" spans="70:74" ht="27" customHeight="1" x14ac:dyDescent="0.25">
      <c r="BR1172" s="591"/>
      <c r="BS1172" s="591"/>
      <c r="BT1172" s="591"/>
      <c r="BU1172" s="2"/>
      <c r="BV1172" s="2"/>
    </row>
    <row r="1173" spans="70:74" ht="27" customHeight="1" x14ac:dyDescent="0.25">
      <c r="BR1173" s="591"/>
      <c r="BS1173" s="591"/>
      <c r="BT1173" s="591"/>
      <c r="BU1173" s="2"/>
      <c r="BV1173" s="2"/>
    </row>
    <row r="1174" spans="70:74" ht="27" customHeight="1" x14ac:dyDescent="0.25">
      <c r="BR1174" s="591"/>
      <c r="BS1174" s="591"/>
      <c r="BT1174" s="591"/>
      <c r="BU1174" s="2"/>
      <c r="BV1174" s="2"/>
    </row>
    <row r="1175" spans="70:74" ht="27" customHeight="1" x14ac:dyDescent="0.25">
      <c r="BR1175" s="591"/>
      <c r="BS1175" s="591"/>
      <c r="BT1175" s="591"/>
      <c r="BU1175" s="2"/>
      <c r="BV1175" s="2"/>
    </row>
    <row r="1176" spans="70:74" ht="27" customHeight="1" x14ac:dyDescent="0.25">
      <c r="BR1176" s="591"/>
      <c r="BS1176" s="591"/>
      <c r="BT1176" s="591"/>
      <c r="BU1176" s="2"/>
      <c r="BV1176" s="2"/>
    </row>
    <row r="1177" spans="70:74" ht="27" customHeight="1" x14ac:dyDescent="0.25">
      <c r="BR1177" s="591"/>
      <c r="BS1177" s="591"/>
      <c r="BT1177" s="591"/>
      <c r="BU1177" s="2"/>
      <c r="BV1177" s="2"/>
    </row>
    <row r="1178" spans="70:74" ht="27" customHeight="1" x14ac:dyDescent="0.25">
      <c r="BR1178" s="591"/>
      <c r="BS1178" s="591"/>
      <c r="BT1178" s="591"/>
      <c r="BU1178" s="2"/>
      <c r="BV1178" s="2"/>
    </row>
    <row r="1179" spans="70:74" ht="27" customHeight="1" x14ac:dyDescent="0.25">
      <c r="BR1179" s="591"/>
      <c r="BS1179" s="591"/>
      <c r="BT1179" s="591"/>
      <c r="BU1179" s="2"/>
      <c r="BV1179" s="2"/>
    </row>
    <row r="1180" spans="70:74" ht="27" customHeight="1" x14ac:dyDescent="0.25">
      <c r="BR1180" s="591"/>
      <c r="BS1180" s="591"/>
      <c r="BT1180" s="591"/>
      <c r="BU1180" s="2"/>
      <c r="BV1180" s="2"/>
    </row>
    <row r="1181" spans="70:74" ht="27" customHeight="1" x14ac:dyDescent="0.25">
      <c r="BR1181" s="591"/>
      <c r="BS1181" s="591"/>
      <c r="BT1181" s="591"/>
      <c r="BU1181" s="2"/>
      <c r="BV1181" s="2"/>
    </row>
    <row r="1182" spans="70:74" ht="27" customHeight="1" x14ac:dyDescent="0.25">
      <c r="BR1182" s="591"/>
      <c r="BS1182" s="591"/>
      <c r="BT1182" s="591"/>
      <c r="BU1182" s="2"/>
      <c r="BV1182" s="2"/>
    </row>
    <row r="1183" spans="70:74" ht="27" customHeight="1" x14ac:dyDescent="0.25">
      <c r="BR1183" s="591"/>
      <c r="BS1183" s="591"/>
      <c r="BT1183" s="591"/>
      <c r="BU1183" s="2"/>
      <c r="BV1183" s="2"/>
    </row>
    <row r="1184" spans="70:74" ht="27" customHeight="1" x14ac:dyDescent="0.25">
      <c r="BR1184" s="591"/>
      <c r="BS1184" s="591"/>
      <c r="BT1184" s="591"/>
      <c r="BU1184" s="2"/>
      <c r="BV1184" s="2"/>
    </row>
    <row r="1185" spans="70:74" ht="27" customHeight="1" x14ac:dyDescent="0.25">
      <c r="BR1185" s="591"/>
      <c r="BS1185" s="591"/>
      <c r="BT1185" s="591"/>
      <c r="BU1185" s="2"/>
      <c r="BV1185" s="2"/>
    </row>
    <row r="1186" spans="70:74" ht="27" customHeight="1" x14ac:dyDescent="0.25">
      <c r="BR1186" s="591"/>
      <c r="BS1186" s="591"/>
      <c r="BT1186" s="591"/>
      <c r="BU1186" s="2"/>
      <c r="BV1186" s="2"/>
    </row>
    <row r="1187" spans="70:74" ht="27" customHeight="1" x14ac:dyDescent="0.25">
      <c r="BR1187" s="591"/>
      <c r="BS1187" s="591"/>
      <c r="BT1187" s="591"/>
      <c r="BU1187" s="2"/>
      <c r="BV1187" s="2"/>
    </row>
    <row r="1188" spans="70:74" ht="27" customHeight="1" x14ac:dyDescent="0.25">
      <c r="BR1188" s="591"/>
      <c r="BS1188" s="591"/>
      <c r="BT1188" s="591"/>
      <c r="BU1188" s="2"/>
      <c r="BV1188" s="2"/>
    </row>
    <row r="1189" spans="70:74" ht="27" customHeight="1" x14ac:dyDescent="0.25">
      <c r="BR1189" s="591"/>
      <c r="BS1189" s="591"/>
      <c r="BT1189" s="591"/>
      <c r="BU1189" s="2"/>
      <c r="BV1189" s="2"/>
    </row>
    <row r="1190" spans="70:74" ht="27" customHeight="1" x14ac:dyDescent="0.25">
      <c r="BR1190" s="591"/>
      <c r="BS1190" s="591"/>
      <c r="BT1190" s="591"/>
      <c r="BU1190" s="2"/>
      <c r="BV1190" s="2"/>
    </row>
    <row r="1191" spans="70:74" ht="27" customHeight="1" x14ac:dyDescent="0.25">
      <c r="BR1191" s="591"/>
      <c r="BS1191" s="591"/>
      <c r="BT1191" s="591"/>
      <c r="BU1191" s="2"/>
      <c r="BV1191" s="2"/>
    </row>
    <row r="1192" spans="70:74" ht="27" customHeight="1" x14ac:dyDescent="0.25">
      <c r="BR1192" s="591"/>
      <c r="BS1192" s="591"/>
      <c r="BT1192" s="591"/>
      <c r="BU1192" s="2"/>
      <c r="BV1192" s="2"/>
    </row>
    <row r="1193" spans="70:74" ht="27" customHeight="1" x14ac:dyDescent="0.25">
      <c r="BR1193" s="591"/>
      <c r="BS1193" s="591"/>
      <c r="BT1193" s="591"/>
      <c r="BU1193" s="2"/>
      <c r="BV1193" s="2"/>
    </row>
    <row r="1194" spans="70:74" ht="27" customHeight="1" x14ac:dyDescent="0.25">
      <c r="BR1194" s="591"/>
      <c r="BS1194" s="591"/>
      <c r="BT1194" s="591"/>
      <c r="BU1194" s="2"/>
      <c r="BV1194" s="2"/>
    </row>
    <row r="1195" spans="70:74" ht="27" customHeight="1" x14ac:dyDescent="0.25">
      <c r="BR1195" s="591"/>
      <c r="BS1195" s="591"/>
      <c r="BT1195" s="591"/>
      <c r="BU1195" s="2"/>
      <c r="BV1195" s="2"/>
    </row>
    <row r="1196" spans="70:74" ht="27" customHeight="1" x14ac:dyDescent="0.25">
      <c r="BR1196" s="591"/>
      <c r="BS1196" s="591"/>
      <c r="BT1196" s="591"/>
      <c r="BU1196" s="2"/>
      <c r="BV1196" s="2"/>
    </row>
    <row r="1197" spans="70:74" ht="27" customHeight="1" x14ac:dyDescent="0.25">
      <c r="BR1197" s="591"/>
      <c r="BS1197" s="591"/>
      <c r="BT1197" s="591"/>
      <c r="BU1197" s="2"/>
      <c r="BV1197" s="2"/>
    </row>
    <row r="1198" spans="70:74" ht="27" customHeight="1" x14ac:dyDescent="0.25">
      <c r="BR1198" s="591"/>
      <c r="BS1198" s="591"/>
      <c r="BT1198" s="591"/>
      <c r="BU1198" s="2"/>
      <c r="BV1198" s="2"/>
    </row>
    <row r="1199" spans="70:74" ht="27" customHeight="1" x14ac:dyDescent="0.25">
      <c r="BR1199" s="591"/>
      <c r="BS1199" s="591"/>
      <c r="BT1199" s="591"/>
      <c r="BU1199" s="2"/>
      <c r="BV1199" s="2"/>
    </row>
    <row r="1200" spans="70:74" ht="27" customHeight="1" x14ac:dyDescent="0.25">
      <c r="BR1200" s="591"/>
      <c r="BS1200" s="591"/>
      <c r="BT1200" s="591"/>
      <c r="BU1200" s="2"/>
      <c r="BV1200" s="2"/>
    </row>
    <row r="1201" spans="70:74" ht="27" customHeight="1" x14ac:dyDescent="0.25">
      <c r="BR1201" s="591"/>
      <c r="BS1201" s="591"/>
      <c r="BT1201" s="591"/>
      <c r="BU1201" s="2"/>
      <c r="BV1201" s="2"/>
    </row>
    <row r="1202" spans="70:74" ht="27" customHeight="1" x14ac:dyDescent="0.25">
      <c r="BR1202" s="591"/>
      <c r="BS1202" s="591"/>
      <c r="BT1202" s="591"/>
      <c r="BU1202" s="2"/>
      <c r="BV1202" s="2"/>
    </row>
    <row r="1203" spans="70:74" ht="27" customHeight="1" x14ac:dyDescent="0.25">
      <c r="BR1203" s="591"/>
      <c r="BS1203" s="591"/>
      <c r="BT1203" s="591"/>
      <c r="BU1203" s="2"/>
      <c r="BV1203" s="2"/>
    </row>
    <row r="1204" spans="70:74" ht="27" customHeight="1" x14ac:dyDescent="0.25">
      <c r="BR1204" s="591"/>
      <c r="BS1204" s="591"/>
      <c r="BT1204" s="591"/>
      <c r="BU1204" s="2"/>
      <c r="BV1204" s="2"/>
    </row>
    <row r="1205" spans="70:74" ht="27" customHeight="1" x14ac:dyDescent="0.25">
      <c r="BR1205" s="591"/>
      <c r="BS1205" s="591"/>
      <c r="BT1205" s="591"/>
      <c r="BU1205" s="2"/>
      <c r="BV1205" s="2"/>
    </row>
    <row r="1206" spans="70:74" ht="27" customHeight="1" x14ac:dyDescent="0.25">
      <c r="BR1206" s="591"/>
      <c r="BS1206" s="591"/>
      <c r="BT1206" s="591"/>
      <c r="BU1206" s="2"/>
      <c r="BV1206" s="2"/>
    </row>
    <row r="1207" spans="70:74" ht="27" customHeight="1" x14ac:dyDescent="0.25">
      <c r="BR1207" s="591"/>
      <c r="BS1207" s="591"/>
      <c r="BT1207" s="591"/>
      <c r="BU1207" s="2"/>
      <c r="BV1207" s="2"/>
    </row>
    <row r="1208" spans="70:74" ht="27" customHeight="1" x14ac:dyDescent="0.25">
      <c r="BR1208" s="591"/>
      <c r="BS1208" s="591"/>
      <c r="BT1208" s="591"/>
      <c r="BU1208" s="2"/>
      <c r="BV1208" s="2"/>
    </row>
    <row r="1209" spans="70:74" ht="27" customHeight="1" x14ac:dyDescent="0.25">
      <c r="BR1209" s="591"/>
      <c r="BS1209" s="591"/>
      <c r="BT1209" s="591"/>
      <c r="BU1209" s="2"/>
      <c r="BV1209" s="2"/>
    </row>
    <row r="1210" spans="70:74" ht="27" customHeight="1" x14ac:dyDescent="0.25">
      <c r="BR1210" s="591"/>
      <c r="BS1210" s="591"/>
      <c r="BT1210" s="591"/>
      <c r="BU1210" s="2"/>
      <c r="BV1210" s="2"/>
    </row>
    <row r="1211" spans="70:74" ht="27" customHeight="1" x14ac:dyDescent="0.25">
      <c r="BR1211" s="591"/>
      <c r="BS1211" s="591"/>
      <c r="BT1211" s="591"/>
      <c r="BU1211" s="2"/>
      <c r="BV1211" s="2"/>
    </row>
    <row r="1212" spans="70:74" ht="27" customHeight="1" x14ac:dyDescent="0.25">
      <c r="BR1212" s="591"/>
      <c r="BS1212" s="591"/>
      <c r="BT1212" s="591"/>
      <c r="BU1212" s="2"/>
      <c r="BV1212" s="2"/>
    </row>
    <row r="1213" spans="70:74" ht="27" customHeight="1" x14ac:dyDescent="0.25">
      <c r="BR1213" s="591"/>
      <c r="BS1213" s="591"/>
      <c r="BT1213" s="591"/>
      <c r="BU1213" s="2"/>
      <c r="BV1213" s="2"/>
    </row>
    <row r="1214" spans="70:74" ht="27" customHeight="1" x14ac:dyDescent="0.25">
      <c r="BR1214" s="591"/>
      <c r="BS1214" s="591"/>
      <c r="BT1214" s="591"/>
      <c r="BU1214" s="2"/>
      <c r="BV1214" s="2"/>
    </row>
    <row r="1215" spans="70:74" ht="27" customHeight="1" x14ac:dyDescent="0.25">
      <c r="BR1215" s="591"/>
      <c r="BS1215" s="591"/>
      <c r="BT1215" s="591"/>
      <c r="BU1215" s="2"/>
      <c r="BV1215" s="2"/>
    </row>
    <row r="1216" spans="70:74" ht="27" customHeight="1" x14ac:dyDescent="0.25">
      <c r="BR1216" s="591"/>
      <c r="BS1216" s="591"/>
      <c r="BT1216" s="591"/>
      <c r="BU1216" s="2"/>
      <c r="BV1216" s="2"/>
    </row>
    <row r="1217" spans="70:74" ht="27" customHeight="1" x14ac:dyDescent="0.25">
      <c r="BR1217" s="591"/>
      <c r="BS1217" s="591"/>
      <c r="BT1217" s="591"/>
      <c r="BU1217" s="2"/>
      <c r="BV1217" s="2"/>
    </row>
    <row r="1218" spans="70:74" ht="27" customHeight="1" x14ac:dyDescent="0.25">
      <c r="BR1218" s="591"/>
      <c r="BS1218" s="591"/>
      <c r="BT1218" s="591"/>
      <c r="BU1218" s="2"/>
      <c r="BV1218" s="2"/>
    </row>
    <row r="1219" spans="70:74" ht="27" customHeight="1" x14ac:dyDescent="0.25">
      <c r="BR1219" s="591"/>
      <c r="BS1219" s="591"/>
      <c r="BT1219" s="591"/>
      <c r="BU1219" s="2"/>
      <c r="BV1219" s="2"/>
    </row>
    <row r="1220" spans="70:74" ht="27" customHeight="1" x14ac:dyDescent="0.25">
      <c r="BR1220" s="591"/>
      <c r="BS1220" s="591"/>
      <c r="BT1220" s="591"/>
      <c r="BU1220" s="2"/>
      <c r="BV1220" s="2"/>
    </row>
    <row r="1221" spans="70:74" ht="27" customHeight="1" x14ac:dyDescent="0.25">
      <c r="BR1221" s="591"/>
      <c r="BS1221" s="591"/>
      <c r="BT1221" s="591"/>
      <c r="BU1221" s="2"/>
      <c r="BV1221" s="2"/>
    </row>
    <row r="1222" spans="70:74" ht="27" customHeight="1" x14ac:dyDescent="0.25">
      <c r="BR1222" s="591"/>
      <c r="BS1222" s="591"/>
      <c r="BT1222" s="591"/>
      <c r="BU1222" s="2"/>
      <c r="BV1222" s="2"/>
    </row>
    <row r="1223" spans="70:74" ht="27" customHeight="1" x14ac:dyDescent="0.25">
      <c r="BR1223" s="591"/>
      <c r="BS1223" s="591"/>
      <c r="BT1223" s="591"/>
      <c r="BU1223" s="2"/>
      <c r="BV1223" s="2"/>
    </row>
    <row r="1224" spans="70:74" ht="27" customHeight="1" x14ac:dyDescent="0.25">
      <c r="BR1224" s="591"/>
      <c r="BS1224" s="591"/>
      <c r="BT1224" s="591"/>
      <c r="BU1224" s="2"/>
      <c r="BV1224" s="2"/>
    </row>
    <row r="1225" spans="70:74" ht="27" customHeight="1" x14ac:dyDescent="0.25">
      <c r="BR1225" s="591"/>
      <c r="BS1225" s="591"/>
      <c r="BT1225" s="591"/>
      <c r="BU1225" s="2"/>
      <c r="BV1225" s="2"/>
    </row>
    <row r="1226" spans="70:74" ht="27" customHeight="1" x14ac:dyDescent="0.25">
      <c r="BR1226" s="591"/>
      <c r="BS1226" s="591"/>
      <c r="BT1226" s="591"/>
      <c r="BU1226" s="2"/>
      <c r="BV1226" s="2"/>
    </row>
    <row r="1227" spans="70:74" ht="27" customHeight="1" x14ac:dyDescent="0.25">
      <c r="BR1227" s="591"/>
      <c r="BS1227" s="591"/>
      <c r="BT1227" s="591"/>
      <c r="BU1227" s="2"/>
      <c r="BV1227" s="2"/>
    </row>
    <row r="1228" spans="70:74" ht="27" customHeight="1" x14ac:dyDescent="0.25">
      <c r="BR1228" s="591"/>
      <c r="BS1228" s="591"/>
      <c r="BT1228" s="591"/>
      <c r="BU1228" s="2"/>
      <c r="BV1228" s="2"/>
    </row>
    <row r="1229" spans="70:74" ht="27" customHeight="1" x14ac:dyDescent="0.25">
      <c r="BR1229" s="591"/>
      <c r="BS1229" s="591"/>
      <c r="BT1229" s="591"/>
      <c r="BU1229" s="2"/>
      <c r="BV1229" s="2"/>
    </row>
    <row r="1230" spans="70:74" ht="27" customHeight="1" x14ac:dyDescent="0.25">
      <c r="BR1230" s="591"/>
      <c r="BS1230" s="591"/>
      <c r="BT1230" s="591"/>
      <c r="BU1230" s="2"/>
      <c r="BV1230" s="2"/>
    </row>
    <row r="1231" spans="70:74" ht="27" customHeight="1" x14ac:dyDescent="0.25">
      <c r="BR1231" s="591"/>
      <c r="BS1231" s="591"/>
      <c r="BT1231" s="591"/>
      <c r="BU1231" s="2"/>
      <c r="BV1231" s="2"/>
    </row>
    <row r="1232" spans="70:74" ht="27" customHeight="1" x14ac:dyDescent="0.25">
      <c r="BR1232" s="591"/>
      <c r="BS1232" s="591"/>
      <c r="BT1232" s="591"/>
      <c r="BU1232" s="2"/>
      <c r="BV1232" s="2"/>
    </row>
    <row r="1233" spans="70:74" ht="27" customHeight="1" x14ac:dyDescent="0.25">
      <c r="BR1233" s="591"/>
      <c r="BS1233" s="591"/>
      <c r="BT1233" s="591"/>
      <c r="BU1233" s="2"/>
      <c r="BV1233" s="2"/>
    </row>
    <row r="1234" spans="70:74" ht="27" customHeight="1" x14ac:dyDescent="0.25">
      <c r="BR1234" s="591"/>
      <c r="BS1234" s="591"/>
      <c r="BT1234" s="591"/>
      <c r="BU1234" s="2"/>
      <c r="BV1234" s="2"/>
    </row>
    <row r="1235" spans="70:74" ht="27" customHeight="1" x14ac:dyDescent="0.25">
      <c r="BR1235" s="591"/>
      <c r="BS1235" s="591"/>
      <c r="BT1235" s="591"/>
      <c r="BU1235" s="2"/>
      <c r="BV1235" s="2"/>
    </row>
    <row r="1236" spans="70:74" ht="27" customHeight="1" x14ac:dyDescent="0.25">
      <c r="BR1236" s="591"/>
      <c r="BS1236" s="591"/>
      <c r="BT1236" s="591"/>
      <c r="BU1236" s="2"/>
      <c r="BV1236" s="2"/>
    </row>
    <row r="1237" spans="70:74" ht="27" customHeight="1" x14ac:dyDescent="0.25">
      <c r="BR1237" s="591"/>
      <c r="BS1237" s="591"/>
      <c r="BT1237" s="591"/>
      <c r="BU1237" s="2"/>
      <c r="BV1237" s="2"/>
    </row>
    <row r="1238" spans="70:74" ht="27" customHeight="1" x14ac:dyDescent="0.25">
      <c r="BR1238" s="591"/>
      <c r="BS1238" s="591"/>
      <c r="BT1238" s="591"/>
      <c r="BU1238" s="2"/>
      <c r="BV1238" s="2"/>
    </row>
    <row r="1239" spans="70:74" ht="27" customHeight="1" x14ac:dyDescent="0.25">
      <c r="BR1239" s="591"/>
      <c r="BS1239" s="591"/>
      <c r="BT1239" s="591"/>
      <c r="BU1239" s="2"/>
      <c r="BV1239" s="2"/>
    </row>
    <row r="1240" spans="70:74" ht="27" customHeight="1" x14ac:dyDescent="0.25">
      <c r="BR1240" s="591"/>
      <c r="BS1240" s="591"/>
      <c r="BT1240" s="591"/>
      <c r="BU1240" s="2"/>
      <c r="BV1240" s="2"/>
    </row>
    <row r="1241" spans="70:74" ht="27" customHeight="1" x14ac:dyDescent="0.25">
      <c r="BR1241" s="591"/>
      <c r="BS1241" s="591"/>
      <c r="BT1241" s="591"/>
      <c r="BU1241" s="2"/>
      <c r="BV1241" s="2"/>
    </row>
    <row r="1242" spans="70:74" ht="27" customHeight="1" x14ac:dyDescent="0.25">
      <c r="BR1242" s="591"/>
      <c r="BS1242" s="591"/>
      <c r="BT1242" s="591"/>
      <c r="BU1242" s="2"/>
      <c r="BV1242" s="2"/>
    </row>
    <row r="1243" spans="70:74" ht="27" customHeight="1" x14ac:dyDescent="0.25">
      <c r="BR1243" s="591"/>
      <c r="BS1243" s="591"/>
      <c r="BT1243" s="591"/>
      <c r="BU1243" s="2"/>
      <c r="BV1243" s="2"/>
    </row>
    <row r="1244" spans="70:74" ht="27" customHeight="1" x14ac:dyDescent="0.25">
      <c r="BR1244" s="591"/>
      <c r="BS1244" s="591"/>
      <c r="BT1244" s="591"/>
      <c r="BU1244" s="2"/>
      <c r="BV1244" s="2"/>
    </row>
    <row r="1245" spans="70:74" ht="27" customHeight="1" x14ac:dyDescent="0.25">
      <c r="BR1245" s="591"/>
      <c r="BS1245" s="591"/>
      <c r="BT1245" s="591"/>
      <c r="BU1245" s="2"/>
      <c r="BV1245" s="2"/>
    </row>
    <row r="1246" spans="70:74" ht="27" customHeight="1" x14ac:dyDescent="0.25">
      <c r="BR1246" s="591"/>
      <c r="BS1246" s="591"/>
      <c r="BT1246" s="591"/>
      <c r="BU1246" s="2"/>
      <c r="BV1246" s="2"/>
    </row>
    <row r="1247" spans="70:74" ht="27" customHeight="1" x14ac:dyDescent="0.25">
      <c r="BR1247" s="591"/>
      <c r="BS1247" s="591"/>
      <c r="BT1247" s="591"/>
      <c r="BU1247" s="2"/>
      <c r="BV1247" s="2"/>
    </row>
    <row r="1248" spans="70:74" ht="27" customHeight="1" x14ac:dyDescent="0.25">
      <c r="BR1248" s="591"/>
      <c r="BS1248" s="591"/>
      <c r="BT1248" s="591"/>
      <c r="BU1248" s="2"/>
      <c r="BV1248" s="2"/>
    </row>
    <row r="1249" spans="70:74" ht="27" customHeight="1" x14ac:dyDescent="0.25">
      <c r="BR1249" s="591"/>
      <c r="BS1249" s="591"/>
      <c r="BT1249" s="591"/>
      <c r="BU1249" s="2"/>
      <c r="BV1249" s="2"/>
    </row>
    <row r="1250" spans="70:74" ht="27" customHeight="1" x14ac:dyDescent="0.25">
      <c r="BR1250" s="591"/>
      <c r="BS1250" s="591"/>
      <c r="BT1250" s="591"/>
      <c r="BU1250" s="2"/>
      <c r="BV1250" s="2"/>
    </row>
    <row r="1251" spans="70:74" ht="27" customHeight="1" x14ac:dyDescent="0.25">
      <c r="BR1251" s="591"/>
      <c r="BS1251" s="591"/>
      <c r="BT1251" s="591"/>
      <c r="BU1251" s="2"/>
      <c r="BV1251" s="2"/>
    </row>
    <row r="1252" spans="70:74" ht="27" customHeight="1" x14ac:dyDescent="0.25">
      <c r="BR1252" s="591"/>
      <c r="BS1252" s="591"/>
      <c r="BT1252" s="591"/>
      <c r="BU1252" s="2"/>
      <c r="BV1252" s="2"/>
    </row>
    <row r="1253" spans="70:74" ht="27" customHeight="1" x14ac:dyDescent="0.25">
      <c r="BR1253" s="591"/>
      <c r="BS1253" s="591"/>
      <c r="BT1253" s="591"/>
      <c r="BU1253" s="2"/>
      <c r="BV1253" s="2"/>
    </row>
    <row r="1254" spans="70:74" ht="27" customHeight="1" x14ac:dyDescent="0.25">
      <c r="BR1254" s="591"/>
      <c r="BS1254" s="591"/>
      <c r="BT1254" s="591"/>
      <c r="BU1254" s="2"/>
      <c r="BV1254" s="2"/>
    </row>
    <row r="1255" spans="70:74" ht="27" customHeight="1" x14ac:dyDescent="0.25">
      <c r="BR1255" s="591"/>
      <c r="BS1255" s="591"/>
      <c r="BT1255" s="591"/>
      <c r="BU1255" s="2"/>
      <c r="BV1255" s="2"/>
    </row>
    <row r="1256" spans="70:74" ht="27" customHeight="1" x14ac:dyDescent="0.25">
      <c r="BR1256" s="591"/>
      <c r="BS1256" s="591"/>
      <c r="BT1256" s="591"/>
      <c r="BU1256" s="2"/>
      <c r="BV1256" s="2"/>
    </row>
    <row r="1257" spans="70:74" ht="27" customHeight="1" x14ac:dyDescent="0.25">
      <c r="BR1257" s="591"/>
      <c r="BS1257" s="591"/>
      <c r="BT1257" s="591"/>
      <c r="BU1257" s="2"/>
      <c r="BV1257" s="2"/>
    </row>
    <row r="1258" spans="70:74" ht="27" customHeight="1" x14ac:dyDescent="0.25">
      <c r="BR1258" s="591"/>
      <c r="BS1258" s="591"/>
      <c r="BT1258" s="591"/>
      <c r="BU1258" s="2"/>
      <c r="BV1258" s="2"/>
    </row>
    <row r="1259" spans="70:74" ht="27" customHeight="1" x14ac:dyDescent="0.25">
      <c r="BR1259" s="591"/>
      <c r="BS1259" s="591"/>
      <c r="BT1259" s="591"/>
      <c r="BU1259" s="2"/>
      <c r="BV1259" s="2"/>
    </row>
    <row r="1260" spans="70:74" ht="27" customHeight="1" x14ac:dyDescent="0.25">
      <c r="BR1260" s="591"/>
      <c r="BS1260" s="591"/>
      <c r="BT1260" s="591"/>
      <c r="BU1260" s="2"/>
      <c r="BV1260" s="2"/>
    </row>
    <row r="1261" spans="70:74" ht="27" customHeight="1" x14ac:dyDescent="0.25">
      <c r="BR1261" s="591"/>
      <c r="BS1261" s="591"/>
      <c r="BT1261" s="591"/>
      <c r="BU1261" s="2"/>
      <c r="BV1261" s="2"/>
    </row>
    <row r="1262" spans="70:74" ht="27" customHeight="1" x14ac:dyDescent="0.25">
      <c r="BR1262" s="591"/>
      <c r="BS1262" s="591"/>
      <c r="BT1262" s="591"/>
      <c r="BU1262" s="2"/>
      <c r="BV1262" s="2"/>
    </row>
    <row r="1263" spans="70:74" ht="27" customHeight="1" x14ac:dyDescent="0.25">
      <c r="BR1263" s="591"/>
      <c r="BS1263" s="591"/>
      <c r="BT1263" s="591"/>
      <c r="BU1263" s="2"/>
      <c r="BV1263" s="2"/>
    </row>
    <row r="1264" spans="70:74" ht="27" customHeight="1" x14ac:dyDescent="0.25">
      <c r="BR1264" s="591"/>
      <c r="BS1264" s="591"/>
      <c r="BT1264" s="591"/>
      <c r="BU1264" s="2"/>
      <c r="BV1264" s="2"/>
    </row>
    <row r="1265" spans="70:74" ht="27" customHeight="1" x14ac:dyDescent="0.25">
      <c r="BR1265" s="591"/>
      <c r="BS1265" s="591"/>
      <c r="BT1265" s="591"/>
      <c r="BU1265" s="2"/>
      <c r="BV1265" s="2"/>
    </row>
    <row r="1266" spans="70:74" ht="27" customHeight="1" x14ac:dyDescent="0.25">
      <c r="BR1266" s="591"/>
      <c r="BS1266" s="591"/>
      <c r="BT1266" s="591"/>
      <c r="BU1266" s="2"/>
      <c r="BV1266" s="2"/>
    </row>
    <row r="1267" spans="70:74" ht="27" customHeight="1" x14ac:dyDescent="0.25">
      <c r="BR1267" s="591"/>
      <c r="BS1267" s="591"/>
      <c r="BT1267" s="591"/>
      <c r="BU1267" s="2"/>
      <c r="BV1267" s="2"/>
    </row>
    <row r="1268" spans="70:74" ht="27" customHeight="1" x14ac:dyDescent="0.25">
      <c r="BR1268" s="591"/>
      <c r="BS1268" s="591"/>
      <c r="BT1268" s="591"/>
      <c r="BU1268" s="2"/>
      <c r="BV1268" s="2"/>
    </row>
    <row r="1269" spans="70:74" ht="27" customHeight="1" x14ac:dyDescent="0.25">
      <c r="BR1269" s="591"/>
      <c r="BS1269" s="591"/>
      <c r="BT1269" s="591"/>
      <c r="BU1269" s="2"/>
      <c r="BV1269" s="2"/>
    </row>
    <row r="1270" spans="70:74" ht="27" customHeight="1" x14ac:dyDescent="0.25">
      <c r="BR1270" s="591"/>
      <c r="BS1270" s="591"/>
      <c r="BT1270" s="591"/>
      <c r="BU1270" s="2"/>
      <c r="BV1270" s="2"/>
    </row>
    <row r="1271" spans="70:74" ht="27" customHeight="1" x14ac:dyDescent="0.25">
      <c r="BR1271" s="591"/>
      <c r="BS1271" s="591"/>
      <c r="BT1271" s="591"/>
      <c r="BU1271" s="2"/>
      <c r="BV1271" s="2"/>
    </row>
    <row r="1272" spans="70:74" ht="27" customHeight="1" x14ac:dyDescent="0.25">
      <c r="BR1272" s="591"/>
      <c r="BS1272" s="591"/>
      <c r="BT1272" s="591"/>
      <c r="BU1272" s="2"/>
      <c r="BV1272" s="2"/>
    </row>
    <row r="1273" spans="70:74" ht="27" customHeight="1" x14ac:dyDescent="0.25">
      <c r="BR1273" s="591"/>
      <c r="BS1273" s="591"/>
      <c r="BT1273" s="591"/>
      <c r="BU1273" s="2"/>
      <c r="BV1273" s="2"/>
    </row>
    <row r="1274" spans="70:74" ht="27" customHeight="1" x14ac:dyDescent="0.25">
      <c r="BR1274" s="591"/>
      <c r="BS1274" s="591"/>
      <c r="BT1274" s="591"/>
      <c r="BU1274" s="2"/>
      <c r="BV1274" s="2"/>
    </row>
    <row r="1275" spans="70:74" ht="27" customHeight="1" x14ac:dyDescent="0.25">
      <c r="BR1275" s="591"/>
      <c r="BS1275" s="591"/>
      <c r="BT1275" s="591"/>
      <c r="BU1275" s="2"/>
      <c r="BV1275" s="2"/>
    </row>
    <row r="1276" spans="70:74" ht="27" customHeight="1" x14ac:dyDescent="0.25">
      <c r="BR1276" s="591"/>
      <c r="BS1276" s="591"/>
      <c r="BT1276" s="591"/>
      <c r="BU1276" s="2"/>
      <c r="BV1276" s="2"/>
    </row>
    <row r="1277" spans="70:74" ht="27" customHeight="1" x14ac:dyDescent="0.25">
      <c r="BR1277" s="591"/>
      <c r="BS1277" s="591"/>
      <c r="BT1277" s="591"/>
      <c r="BU1277" s="2"/>
      <c r="BV1277" s="2"/>
    </row>
    <row r="1278" spans="70:74" ht="27" customHeight="1" x14ac:dyDescent="0.25">
      <c r="BR1278" s="591"/>
      <c r="BS1278" s="591"/>
      <c r="BT1278" s="591"/>
      <c r="BU1278" s="2"/>
      <c r="BV1278" s="2"/>
    </row>
    <row r="1279" spans="70:74" ht="27" customHeight="1" x14ac:dyDescent="0.25">
      <c r="BR1279" s="591"/>
      <c r="BS1279" s="591"/>
      <c r="BT1279" s="591"/>
      <c r="BU1279" s="2"/>
      <c r="BV1279" s="2"/>
    </row>
    <row r="1280" spans="70:74" ht="27" customHeight="1" x14ac:dyDescent="0.25">
      <c r="BR1280" s="591"/>
      <c r="BS1280" s="591"/>
      <c r="BT1280" s="591"/>
      <c r="BU1280" s="2"/>
      <c r="BV1280" s="2"/>
    </row>
    <row r="1281" spans="70:74" ht="27" customHeight="1" x14ac:dyDescent="0.25">
      <c r="BR1281" s="591"/>
      <c r="BS1281" s="591"/>
      <c r="BT1281" s="591"/>
      <c r="BU1281" s="2"/>
      <c r="BV1281" s="2"/>
    </row>
    <row r="1282" spans="70:74" ht="27" customHeight="1" x14ac:dyDescent="0.25">
      <c r="BR1282" s="591"/>
      <c r="BS1282" s="591"/>
      <c r="BT1282" s="591"/>
      <c r="BU1282" s="2"/>
      <c r="BV1282" s="2"/>
    </row>
    <row r="1283" spans="70:74" ht="27" customHeight="1" x14ac:dyDescent="0.25">
      <c r="BR1283" s="591"/>
      <c r="BS1283" s="591"/>
      <c r="BT1283" s="591"/>
      <c r="BU1283" s="2"/>
      <c r="BV1283" s="2"/>
    </row>
    <row r="1284" spans="70:74" ht="27" customHeight="1" x14ac:dyDescent="0.25">
      <c r="BR1284" s="591"/>
      <c r="BS1284" s="591"/>
      <c r="BT1284" s="591"/>
      <c r="BU1284" s="2"/>
      <c r="BV1284" s="2"/>
    </row>
    <row r="1285" spans="70:74" ht="27" customHeight="1" x14ac:dyDescent="0.25">
      <c r="BR1285" s="591"/>
      <c r="BS1285" s="591"/>
      <c r="BT1285" s="591"/>
      <c r="BU1285" s="2"/>
      <c r="BV1285" s="2"/>
    </row>
    <row r="1286" spans="70:74" ht="27" customHeight="1" x14ac:dyDescent="0.25">
      <c r="BR1286" s="591"/>
      <c r="BS1286" s="591"/>
      <c r="BT1286" s="591"/>
      <c r="BU1286" s="2"/>
      <c r="BV1286" s="2"/>
    </row>
    <row r="1287" spans="70:74" ht="27" customHeight="1" x14ac:dyDescent="0.25">
      <c r="BR1287" s="591"/>
      <c r="BS1287" s="591"/>
      <c r="BT1287" s="591"/>
      <c r="BU1287" s="2"/>
      <c r="BV1287" s="2"/>
    </row>
    <row r="1288" spans="70:74" ht="27" customHeight="1" x14ac:dyDescent="0.25">
      <c r="BR1288" s="591"/>
      <c r="BS1288" s="591"/>
      <c r="BT1288" s="591"/>
      <c r="BU1288" s="2"/>
      <c r="BV1288" s="2"/>
    </row>
    <row r="1289" spans="70:74" ht="27" customHeight="1" x14ac:dyDescent="0.25">
      <c r="BR1289" s="591"/>
      <c r="BS1289" s="591"/>
      <c r="BT1289" s="591"/>
      <c r="BU1289" s="2"/>
      <c r="BV1289" s="2"/>
    </row>
    <row r="1290" spans="70:74" ht="27" customHeight="1" x14ac:dyDescent="0.25">
      <c r="BR1290" s="591"/>
      <c r="BS1290" s="591"/>
      <c r="BT1290" s="591"/>
      <c r="BU1290" s="2"/>
      <c r="BV1290" s="2"/>
    </row>
    <row r="1291" spans="70:74" ht="27" customHeight="1" x14ac:dyDescent="0.25">
      <c r="BR1291" s="591"/>
      <c r="BS1291" s="591"/>
      <c r="BT1291" s="591"/>
      <c r="BU1291" s="2"/>
      <c r="BV1291" s="2"/>
    </row>
    <row r="1292" spans="70:74" ht="27" customHeight="1" x14ac:dyDescent="0.25">
      <c r="BR1292" s="591"/>
      <c r="BS1292" s="591"/>
      <c r="BT1292" s="591"/>
      <c r="BU1292" s="2"/>
      <c r="BV1292" s="2"/>
    </row>
    <row r="1293" spans="70:74" ht="27" customHeight="1" x14ac:dyDescent="0.25">
      <c r="BR1293" s="591"/>
      <c r="BS1293" s="591"/>
      <c r="BT1293" s="591"/>
      <c r="BU1293" s="2"/>
      <c r="BV1293" s="2"/>
    </row>
    <row r="1294" spans="70:74" ht="27" customHeight="1" x14ac:dyDescent="0.25">
      <c r="BR1294" s="591"/>
      <c r="BS1294" s="591"/>
      <c r="BT1294" s="591"/>
      <c r="BU1294" s="2"/>
      <c r="BV1294" s="2"/>
    </row>
    <row r="1295" spans="70:74" ht="27" customHeight="1" x14ac:dyDescent="0.25">
      <c r="BR1295" s="591"/>
      <c r="BS1295" s="591"/>
      <c r="BT1295" s="591"/>
      <c r="BU1295" s="2"/>
      <c r="BV1295" s="2"/>
    </row>
    <row r="1296" spans="70:74" ht="27" customHeight="1" x14ac:dyDescent="0.25">
      <c r="BR1296" s="591"/>
      <c r="BS1296" s="591"/>
      <c r="BT1296" s="591"/>
      <c r="BU1296" s="2"/>
      <c r="BV1296" s="2"/>
    </row>
    <row r="1297" spans="70:74" ht="27" customHeight="1" x14ac:dyDescent="0.25">
      <c r="BR1297" s="591"/>
      <c r="BS1297" s="591"/>
      <c r="BT1297" s="591"/>
      <c r="BU1297" s="2"/>
      <c r="BV1297" s="2"/>
    </row>
    <row r="1298" spans="70:74" ht="27" customHeight="1" x14ac:dyDescent="0.25">
      <c r="BR1298" s="591"/>
      <c r="BS1298" s="591"/>
      <c r="BT1298" s="591"/>
      <c r="BU1298" s="2"/>
      <c r="BV1298" s="2"/>
    </row>
    <row r="1299" spans="70:74" ht="27" customHeight="1" x14ac:dyDescent="0.25">
      <c r="BR1299" s="591"/>
      <c r="BS1299" s="591"/>
      <c r="BT1299" s="591"/>
      <c r="BU1299" s="2"/>
      <c r="BV1299" s="2"/>
    </row>
    <row r="1300" spans="70:74" ht="27" customHeight="1" x14ac:dyDescent="0.25">
      <c r="BR1300" s="591"/>
      <c r="BS1300" s="591"/>
      <c r="BT1300" s="591"/>
      <c r="BU1300" s="2"/>
      <c r="BV1300" s="2"/>
    </row>
    <row r="1301" spans="70:74" ht="27" customHeight="1" x14ac:dyDescent="0.25">
      <c r="BR1301" s="591"/>
      <c r="BS1301" s="591"/>
      <c r="BT1301" s="591"/>
      <c r="BU1301" s="2"/>
      <c r="BV1301" s="2"/>
    </row>
    <row r="1302" spans="70:74" ht="27" customHeight="1" x14ac:dyDescent="0.25">
      <c r="BR1302" s="591"/>
      <c r="BS1302" s="591"/>
      <c r="BT1302" s="591"/>
      <c r="BU1302" s="2"/>
      <c r="BV1302" s="2"/>
    </row>
    <row r="1303" spans="70:74" ht="27" customHeight="1" x14ac:dyDescent="0.25">
      <c r="BR1303" s="591"/>
      <c r="BS1303" s="591"/>
      <c r="BT1303" s="591"/>
      <c r="BU1303" s="2"/>
      <c r="BV1303" s="2"/>
    </row>
    <row r="1304" spans="70:74" ht="27" customHeight="1" x14ac:dyDescent="0.25">
      <c r="BR1304" s="591"/>
      <c r="BS1304" s="591"/>
      <c r="BT1304" s="591"/>
      <c r="BU1304" s="2"/>
      <c r="BV1304" s="2"/>
    </row>
    <row r="1305" spans="70:74" ht="27" customHeight="1" x14ac:dyDescent="0.25">
      <c r="BR1305" s="591"/>
      <c r="BS1305" s="591"/>
      <c r="BT1305" s="591"/>
      <c r="BU1305" s="2"/>
      <c r="BV1305" s="2"/>
    </row>
    <row r="1306" spans="70:74" ht="27" customHeight="1" x14ac:dyDescent="0.25">
      <c r="BR1306" s="591"/>
      <c r="BS1306" s="591"/>
      <c r="BT1306" s="591"/>
      <c r="BU1306" s="2"/>
      <c r="BV1306" s="2"/>
    </row>
    <row r="1307" spans="70:74" ht="27" customHeight="1" x14ac:dyDescent="0.25">
      <c r="BR1307" s="591"/>
      <c r="BS1307" s="591"/>
      <c r="BT1307" s="591"/>
      <c r="BU1307" s="2"/>
      <c r="BV1307" s="2"/>
    </row>
    <row r="1308" spans="70:74" ht="27" customHeight="1" x14ac:dyDescent="0.25">
      <c r="BR1308" s="591"/>
      <c r="BS1308" s="591"/>
      <c r="BT1308" s="591"/>
      <c r="BU1308" s="2"/>
      <c r="BV1308" s="2"/>
    </row>
    <row r="1309" spans="70:74" ht="27" customHeight="1" x14ac:dyDescent="0.25">
      <c r="BR1309" s="591"/>
      <c r="BS1309" s="591"/>
      <c r="BT1309" s="591"/>
      <c r="BU1309" s="2"/>
      <c r="BV1309" s="2"/>
    </row>
    <row r="1310" spans="70:74" ht="27" customHeight="1" x14ac:dyDescent="0.25">
      <c r="BR1310" s="591"/>
      <c r="BS1310" s="591"/>
      <c r="BT1310" s="591"/>
      <c r="BU1310" s="2"/>
      <c r="BV1310" s="2"/>
    </row>
    <row r="1311" spans="70:74" ht="27" customHeight="1" x14ac:dyDescent="0.25">
      <c r="BR1311" s="591"/>
      <c r="BS1311" s="591"/>
      <c r="BT1311" s="591"/>
      <c r="BU1311" s="2"/>
      <c r="BV1311" s="2"/>
    </row>
    <row r="1312" spans="70:74" ht="27" customHeight="1" x14ac:dyDescent="0.25">
      <c r="BR1312" s="591"/>
      <c r="BS1312" s="591"/>
      <c r="BT1312" s="591"/>
      <c r="BU1312" s="2"/>
      <c r="BV1312" s="2"/>
    </row>
    <row r="1313" spans="70:74" ht="27" customHeight="1" x14ac:dyDescent="0.25">
      <c r="BR1313" s="591"/>
      <c r="BS1313" s="591"/>
      <c r="BT1313" s="591"/>
      <c r="BU1313" s="2"/>
      <c r="BV1313" s="2"/>
    </row>
    <row r="1314" spans="70:74" ht="27" customHeight="1" x14ac:dyDescent="0.25">
      <c r="BR1314" s="591"/>
      <c r="BS1314" s="591"/>
      <c r="BT1314" s="591"/>
      <c r="BU1314" s="2"/>
      <c r="BV1314" s="2"/>
    </row>
    <row r="1315" spans="70:74" ht="27" customHeight="1" x14ac:dyDescent="0.25">
      <c r="BR1315" s="591"/>
      <c r="BS1315" s="591"/>
      <c r="BT1315" s="591"/>
      <c r="BU1315" s="2"/>
      <c r="BV1315" s="2"/>
    </row>
    <row r="1316" spans="70:74" ht="27" customHeight="1" x14ac:dyDescent="0.25">
      <c r="BR1316" s="591"/>
      <c r="BS1316" s="591"/>
      <c r="BT1316" s="591"/>
      <c r="BU1316" s="2"/>
      <c r="BV1316" s="2"/>
    </row>
    <row r="1317" spans="70:74" ht="27" customHeight="1" x14ac:dyDescent="0.25">
      <c r="BR1317" s="591"/>
      <c r="BS1317" s="591"/>
      <c r="BT1317" s="591"/>
      <c r="BU1317" s="2"/>
      <c r="BV1317" s="2"/>
    </row>
    <row r="1318" spans="70:74" ht="27" customHeight="1" x14ac:dyDescent="0.25">
      <c r="BR1318" s="591"/>
      <c r="BS1318" s="591"/>
      <c r="BT1318" s="591"/>
      <c r="BU1318" s="2"/>
      <c r="BV1318" s="2"/>
    </row>
    <row r="1319" spans="70:74" ht="27" customHeight="1" x14ac:dyDescent="0.25">
      <c r="BR1319" s="591"/>
      <c r="BS1319" s="591"/>
      <c r="BT1319" s="591"/>
      <c r="BU1319" s="2"/>
      <c r="BV1319" s="2"/>
    </row>
    <row r="1320" spans="70:74" ht="27" customHeight="1" x14ac:dyDescent="0.25">
      <c r="BR1320" s="591"/>
      <c r="BS1320" s="591"/>
      <c r="BT1320" s="591"/>
      <c r="BU1320" s="2"/>
      <c r="BV1320" s="2"/>
    </row>
    <row r="1321" spans="70:74" ht="27" customHeight="1" x14ac:dyDescent="0.25">
      <c r="BR1321" s="591"/>
      <c r="BS1321" s="591"/>
      <c r="BT1321" s="591"/>
      <c r="BU1321" s="2"/>
      <c r="BV1321" s="2"/>
    </row>
    <row r="1322" spans="70:74" ht="27" customHeight="1" x14ac:dyDescent="0.25">
      <c r="BR1322" s="591"/>
      <c r="BS1322" s="591"/>
      <c r="BT1322" s="591"/>
      <c r="BU1322" s="2"/>
      <c r="BV1322" s="2"/>
    </row>
    <row r="1323" spans="70:74" ht="27" customHeight="1" x14ac:dyDescent="0.25">
      <c r="BR1323" s="591"/>
      <c r="BS1323" s="591"/>
      <c r="BT1323" s="591"/>
      <c r="BU1323" s="2"/>
      <c r="BV1323" s="2"/>
    </row>
    <row r="1324" spans="70:74" ht="27" customHeight="1" x14ac:dyDescent="0.25">
      <c r="BR1324" s="591"/>
      <c r="BS1324" s="591"/>
      <c r="BT1324" s="591"/>
      <c r="BU1324" s="2"/>
      <c r="BV1324" s="2"/>
    </row>
    <row r="1325" spans="70:74" ht="27" customHeight="1" x14ac:dyDescent="0.25">
      <c r="BR1325" s="591"/>
      <c r="BS1325" s="591"/>
      <c r="BT1325" s="591"/>
      <c r="BU1325" s="2"/>
      <c r="BV1325" s="2"/>
    </row>
    <row r="1326" spans="70:74" ht="27" customHeight="1" x14ac:dyDescent="0.25">
      <c r="BR1326" s="591"/>
      <c r="BS1326" s="591"/>
      <c r="BT1326" s="591"/>
      <c r="BU1326" s="2"/>
      <c r="BV1326" s="2"/>
    </row>
    <row r="1327" spans="70:74" ht="27" customHeight="1" x14ac:dyDescent="0.25">
      <c r="BR1327" s="591"/>
      <c r="BS1327" s="591"/>
      <c r="BT1327" s="591"/>
      <c r="BU1327" s="2"/>
      <c r="BV1327" s="2"/>
    </row>
    <row r="1328" spans="70:74" ht="27" customHeight="1" x14ac:dyDescent="0.25">
      <c r="BR1328" s="591"/>
      <c r="BS1328" s="591"/>
      <c r="BT1328" s="591"/>
      <c r="BU1328" s="2"/>
      <c r="BV1328" s="2"/>
    </row>
    <row r="1329" spans="70:74" ht="27" customHeight="1" x14ac:dyDescent="0.25">
      <c r="BR1329" s="591"/>
      <c r="BS1329" s="591"/>
      <c r="BT1329" s="591"/>
      <c r="BU1329" s="2"/>
      <c r="BV1329" s="2"/>
    </row>
    <row r="1330" spans="70:74" ht="27" customHeight="1" x14ac:dyDescent="0.25">
      <c r="BR1330" s="591"/>
      <c r="BS1330" s="591"/>
      <c r="BT1330" s="591"/>
      <c r="BU1330" s="2"/>
      <c r="BV1330" s="2"/>
    </row>
    <row r="1331" spans="70:74" ht="27" customHeight="1" x14ac:dyDescent="0.25">
      <c r="BR1331" s="591"/>
      <c r="BS1331" s="591"/>
      <c r="BT1331" s="591"/>
      <c r="BU1331" s="2"/>
      <c r="BV1331" s="2"/>
    </row>
    <row r="1332" spans="70:74" ht="27" customHeight="1" x14ac:dyDescent="0.25">
      <c r="BR1332" s="591"/>
      <c r="BS1332" s="591"/>
      <c r="BT1332" s="591"/>
      <c r="BU1332" s="2"/>
      <c r="BV1332" s="2"/>
    </row>
    <row r="1333" spans="70:74" ht="27" customHeight="1" x14ac:dyDescent="0.25">
      <c r="BR1333" s="591"/>
      <c r="BS1333" s="591"/>
      <c r="BT1333" s="591"/>
      <c r="BU1333" s="2"/>
      <c r="BV1333" s="2"/>
    </row>
    <row r="1334" spans="70:74" ht="27" customHeight="1" x14ac:dyDescent="0.25">
      <c r="BR1334" s="591"/>
      <c r="BS1334" s="591"/>
      <c r="BT1334" s="591"/>
      <c r="BU1334" s="2"/>
      <c r="BV1334" s="2"/>
    </row>
    <row r="1335" spans="70:74" ht="27" customHeight="1" x14ac:dyDescent="0.25">
      <c r="BR1335" s="591"/>
      <c r="BS1335" s="591"/>
      <c r="BT1335" s="591"/>
      <c r="BU1335" s="2"/>
      <c r="BV1335" s="2"/>
    </row>
    <row r="1336" spans="70:74" ht="27" customHeight="1" x14ac:dyDescent="0.25">
      <c r="BR1336" s="591"/>
      <c r="BS1336" s="591"/>
      <c r="BT1336" s="591"/>
      <c r="BU1336" s="2"/>
      <c r="BV1336" s="2"/>
    </row>
    <row r="1337" spans="70:74" ht="27" customHeight="1" x14ac:dyDescent="0.25">
      <c r="BR1337" s="591"/>
      <c r="BS1337" s="591"/>
      <c r="BT1337" s="591"/>
      <c r="BU1337" s="2"/>
      <c r="BV1337" s="2"/>
    </row>
    <row r="1338" spans="70:74" ht="27" customHeight="1" x14ac:dyDescent="0.25">
      <c r="BR1338" s="591"/>
      <c r="BS1338" s="591"/>
      <c r="BT1338" s="591"/>
      <c r="BU1338" s="2"/>
      <c r="BV1338" s="2"/>
    </row>
    <row r="1339" spans="70:74" ht="27" customHeight="1" x14ac:dyDescent="0.25">
      <c r="BR1339" s="591"/>
      <c r="BS1339" s="591"/>
      <c r="BT1339" s="591"/>
      <c r="BU1339" s="2"/>
      <c r="BV1339" s="2"/>
    </row>
    <row r="1340" spans="70:74" ht="27" customHeight="1" x14ac:dyDescent="0.25">
      <c r="BR1340" s="591"/>
      <c r="BS1340" s="591"/>
      <c r="BT1340" s="591"/>
      <c r="BU1340" s="2"/>
      <c r="BV1340" s="2"/>
    </row>
    <row r="1341" spans="70:74" ht="27" customHeight="1" x14ac:dyDescent="0.25">
      <c r="BR1341" s="591"/>
      <c r="BS1341" s="591"/>
      <c r="BT1341" s="591"/>
      <c r="BU1341" s="2"/>
      <c r="BV1341" s="2"/>
    </row>
    <row r="1342" spans="70:74" ht="27" customHeight="1" x14ac:dyDescent="0.25">
      <c r="BR1342" s="591"/>
      <c r="BS1342" s="591"/>
      <c r="BT1342" s="591"/>
      <c r="BU1342" s="2"/>
      <c r="BV1342" s="2"/>
    </row>
    <row r="1343" spans="70:74" ht="27" customHeight="1" x14ac:dyDescent="0.25">
      <c r="BR1343" s="591"/>
      <c r="BS1343" s="591"/>
      <c r="BT1343" s="591"/>
      <c r="BU1343" s="2"/>
      <c r="BV1343" s="2"/>
    </row>
    <row r="1344" spans="70:74" ht="27" customHeight="1" x14ac:dyDescent="0.25">
      <c r="BR1344" s="591"/>
      <c r="BS1344" s="591"/>
      <c r="BT1344" s="591"/>
      <c r="BU1344" s="2"/>
      <c r="BV1344" s="2"/>
    </row>
    <row r="1345" spans="70:74" ht="27" customHeight="1" x14ac:dyDescent="0.25">
      <c r="BR1345" s="591"/>
      <c r="BS1345" s="591"/>
      <c r="BT1345" s="591"/>
      <c r="BU1345" s="2"/>
      <c r="BV1345" s="2"/>
    </row>
    <row r="1346" spans="70:74" ht="27" customHeight="1" x14ac:dyDescent="0.25">
      <c r="BR1346" s="591"/>
      <c r="BS1346" s="591"/>
      <c r="BT1346" s="591"/>
      <c r="BU1346" s="2"/>
      <c r="BV1346" s="2"/>
    </row>
    <row r="1347" spans="70:74" ht="27" customHeight="1" x14ac:dyDescent="0.25">
      <c r="BR1347" s="591"/>
      <c r="BS1347" s="591"/>
      <c r="BT1347" s="591"/>
      <c r="BU1347" s="2"/>
      <c r="BV1347" s="2"/>
    </row>
    <row r="1348" spans="70:74" ht="27" customHeight="1" x14ac:dyDescent="0.25">
      <c r="BR1348" s="591"/>
      <c r="BS1348" s="591"/>
      <c r="BT1348" s="591"/>
      <c r="BU1348" s="2"/>
      <c r="BV1348" s="2"/>
    </row>
    <row r="1349" spans="70:74" ht="27" customHeight="1" x14ac:dyDescent="0.25">
      <c r="BR1349" s="591"/>
      <c r="BS1349" s="591"/>
      <c r="BT1349" s="591"/>
      <c r="BU1349" s="2"/>
      <c r="BV1349" s="2"/>
    </row>
    <row r="1350" spans="70:74" ht="27" customHeight="1" x14ac:dyDescent="0.25">
      <c r="BR1350" s="591"/>
      <c r="BS1350" s="591"/>
      <c r="BT1350" s="591"/>
      <c r="BU1350" s="2"/>
      <c r="BV1350" s="2"/>
    </row>
    <row r="1351" spans="70:74" ht="27" customHeight="1" x14ac:dyDescent="0.25">
      <c r="BR1351" s="591"/>
      <c r="BS1351" s="591"/>
      <c r="BT1351" s="591"/>
      <c r="BU1351" s="2"/>
      <c r="BV1351" s="2"/>
    </row>
    <row r="1352" spans="70:74" ht="27" customHeight="1" x14ac:dyDescent="0.25">
      <c r="BR1352" s="591"/>
      <c r="BS1352" s="591"/>
      <c r="BT1352" s="591"/>
      <c r="BU1352" s="2"/>
      <c r="BV1352" s="2"/>
    </row>
    <row r="1353" spans="70:74" ht="27" customHeight="1" x14ac:dyDescent="0.25">
      <c r="BR1353" s="591"/>
      <c r="BS1353" s="591"/>
      <c r="BT1353" s="591"/>
      <c r="BU1353" s="2"/>
      <c r="BV1353" s="2"/>
    </row>
    <row r="1354" spans="70:74" ht="27" customHeight="1" x14ac:dyDescent="0.25">
      <c r="BR1354" s="591"/>
      <c r="BS1354" s="591"/>
      <c r="BT1354" s="591"/>
      <c r="BU1354" s="2"/>
      <c r="BV1354" s="2"/>
    </row>
    <row r="1355" spans="70:74" ht="27" customHeight="1" x14ac:dyDescent="0.25">
      <c r="BR1355" s="591"/>
      <c r="BS1355" s="591"/>
      <c r="BT1355" s="591"/>
      <c r="BU1355" s="2"/>
      <c r="BV1355" s="2"/>
    </row>
    <row r="1356" spans="70:74" ht="27" customHeight="1" x14ac:dyDescent="0.25">
      <c r="BR1356" s="591"/>
      <c r="BS1356" s="591"/>
      <c r="BT1356" s="591"/>
      <c r="BU1356" s="2"/>
      <c r="BV1356" s="2"/>
    </row>
    <row r="1357" spans="70:74" ht="27" customHeight="1" x14ac:dyDescent="0.25">
      <c r="BR1357" s="591"/>
      <c r="BS1357" s="591"/>
      <c r="BT1357" s="591"/>
      <c r="BU1357" s="2"/>
      <c r="BV1357" s="2"/>
    </row>
    <row r="1358" spans="70:74" ht="27" customHeight="1" x14ac:dyDescent="0.25">
      <c r="BR1358" s="591"/>
      <c r="BS1358" s="591"/>
      <c r="BT1358" s="591"/>
      <c r="BU1358" s="2"/>
      <c r="BV1358" s="2"/>
    </row>
    <row r="1359" spans="70:74" ht="27" customHeight="1" x14ac:dyDescent="0.25">
      <c r="BR1359" s="591"/>
      <c r="BS1359" s="591"/>
      <c r="BT1359" s="591"/>
      <c r="BU1359" s="2"/>
      <c r="BV1359" s="2"/>
    </row>
    <row r="1360" spans="70:74" ht="27" customHeight="1" x14ac:dyDescent="0.25">
      <c r="BR1360" s="591"/>
      <c r="BS1360" s="591"/>
      <c r="BT1360" s="591"/>
      <c r="BU1360" s="2"/>
      <c r="BV1360" s="2"/>
    </row>
    <row r="1361" spans="70:74" ht="27" customHeight="1" x14ac:dyDescent="0.25">
      <c r="BR1361" s="591"/>
      <c r="BS1361" s="591"/>
      <c r="BT1361" s="591"/>
      <c r="BU1361" s="2"/>
      <c r="BV1361" s="2"/>
    </row>
    <row r="1362" spans="70:74" ht="27" customHeight="1" x14ac:dyDescent="0.25">
      <c r="BR1362" s="591"/>
      <c r="BS1362" s="591"/>
      <c r="BT1362" s="591"/>
      <c r="BU1362" s="2"/>
      <c r="BV1362" s="2"/>
    </row>
    <row r="1363" spans="70:74" ht="27" customHeight="1" x14ac:dyDescent="0.25">
      <c r="BR1363" s="591"/>
      <c r="BS1363" s="591"/>
      <c r="BT1363" s="591"/>
      <c r="BU1363" s="2"/>
      <c r="BV1363" s="2"/>
    </row>
    <row r="1364" spans="70:74" ht="27" customHeight="1" x14ac:dyDescent="0.25">
      <c r="BR1364" s="591"/>
      <c r="BS1364" s="591"/>
      <c r="BT1364" s="591"/>
      <c r="BU1364" s="2"/>
      <c r="BV1364" s="2"/>
    </row>
    <row r="1365" spans="70:74" ht="27" customHeight="1" x14ac:dyDescent="0.25">
      <c r="BR1365" s="591"/>
      <c r="BS1365" s="591"/>
      <c r="BT1365" s="591"/>
      <c r="BU1365" s="2"/>
      <c r="BV1365" s="2"/>
    </row>
    <row r="1366" spans="70:74" ht="27" customHeight="1" x14ac:dyDescent="0.25">
      <c r="BR1366" s="591"/>
      <c r="BS1366" s="591"/>
      <c r="BT1366" s="591"/>
      <c r="BU1366" s="2"/>
      <c r="BV1366" s="2"/>
    </row>
    <row r="1367" spans="70:74" ht="27" customHeight="1" x14ac:dyDescent="0.25">
      <c r="BR1367" s="591"/>
      <c r="BS1367" s="591"/>
      <c r="BT1367" s="591"/>
      <c r="BU1367" s="2"/>
      <c r="BV1367" s="2"/>
    </row>
    <row r="1368" spans="70:74" ht="27" customHeight="1" x14ac:dyDescent="0.25">
      <c r="BR1368" s="591"/>
      <c r="BS1368" s="591"/>
      <c r="BT1368" s="591"/>
      <c r="BU1368" s="2"/>
      <c r="BV1368" s="2"/>
    </row>
    <row r="1369" spans="70:74" ht="27" customHeight="1" x14ac:dyDescent="0.25">
      <c r="BR1369" s="591"/>
      <c r="BS1369" s="591"/>
      <c r="BT1369" s="591"/>
      <c r="BU1369" s="2"/>
      <c r="BV1369" s="2"/>
    </row>
    <row r="1370" spans="70:74" ht="27" customHeight="1" x14ac:dyDescent="0.25">
      <c r="BR1370" s="591"/>
      <c r="BS1370" s="591"/>
      <c r="BT1370" s="591"/>
      <c r="BU1370" s="2"/>
      <c r="BV1370" s="2"/>
    </row>
    <row r="1371" spans="70:74" ht="27" customHeight="1" x14ac:dyDescent="0.25">
      <c r="BR1371" s="591"/>
      <c r="BS1371" s="591"/>
      <c r="BT1371" s="591"/>
      <c r="BU1371" s="2"/>
      <c r="BV1371" s="2"/>
    </row>
    <row r="1372" spans="70:74" ht="27" customHeight="1" x14ac:dyDescent="0.25">
      <c r="BR1372" s="591"/>
      <c r="BS1372" s="591"/>
      <c r="BT1372" s="591"/>
      <c r="BU1372" s="2"/>
      <c r="BV1372" s="2"/>
    </row>
    <row r="1373" spans="70:74" ht="27" customHeight="1" x14ac:dyDescent="0.25">
      <c r="BR1373" s="591"/>
      <c r="BS1373" s="591"/>
      <c r="BT1373" s="591"/>
      <c r="BU1373" s="2"/>
      <c r="BV1373" s="2"/>
    </row>
    <row r="1374" spans="70:74" ht="27" customHeight="1" x14ac:dyDescent="0.25">
      <c r="BR1374" s="591"/>
      <c r="BS1374" s="591"/>
      <c r="BT1374" s="591"/>
      <c r="BU1374" s="2"/>
      <c r="BV1374" s="2"/>
    </row>
    <row r="1375" spans="70:74" ht="27" customHeight="1" x14ac:dyDescent="0.25">
      <c r="BR1375" s="591"/>
      <c r="BS1375" s="591"/>
      <c r="BT1375" s="591"/>
      <c r="BU1375" s="2"/>
      <c r="BV1375" s="2"/>
    </row>
    <row r="1376" spans="70:74" ht="27" customHeight="1" x14ac:dyDescent="0.25">
      <c r="BR1376" s="591"/>
      <c r="BS1376" s="591"/>
      <c r="BT1376" s="591"/>
      <c r="BU1376" s="2"/>
      <c r="BV1376" s="2"/>
    </row>
    <row r="1377" spans="70:74" ht="27" customHeight="1" x14ac:dyDescent="0.25">
      <c r="BR1377" s="591"/>
      <c r="BS1377" s="591"/>
      <c r="BT1377" s="591"/>
      <c r="BU1377" s="2"/>
      <c r="BV1377" s="2"/>
    </row>
    <row r="1378" spans="70:74" ht="27" customHeight="1" x14ac:dyDescent="0.25">
      <c r="BR1378" s="591"/>
      <c r="BS1378" s="591"/>
      <c r="BT1378" s="591"/>
      <c r="BU1378" s="2"/>
      <c r="BV1378" s="2"/>
    </row>
    <row r="1379" spans="70:74" ht="27" customHeight="1" x14ac:dyDescent="0.25">
      <c r="BR1379" s="591"/>
      <c r="BS1379" s="591"/>
      <c r="BT1379" s="591"/>
      <c r="BU1379" s="2"/>
      <c r="BV1379" s="2"/>
    </row>
    <row r="1380" spans="70:74" ht="27" customHeight="1" x14ac:dyDescent="0.25">
      <c r="BR1380" s="591"/>
      <c r="BS1380" s="591"/>
      <c r="BT1380" s="591"/>
      <c r="BU1380" s="2"/>
      <c r="BV1380" s="2"/>
    </row>
    <row r="1381" spans="70:74" ht="27" customHeight="1" x14ac:dyDescent="0.25">
      <c r="BR1381" s="591"/>
      <c r="BS1381" s="591"/>
      <c r="BT1381" s="591"/>
      <c r="BU1381" s="2"/>
      <c r="BV1381" s="2"/>
    </row>
    <row r="1382" spans="70:74" ht="27" customHeight="1" x14ac:dyDescent="0.25">
      <c r="BR1382" s="591"/>
      <c r="BS1382" s="591"/>
      <c r="BT1382" s="591"/>
      <c r="BU1382" s="2"/>
      <c r="BV1382" s="2"/>
    </row>
    <row r="1383" spans="70:74" ht="27" customHeight="1" x14ac:dyDescent="0.25">
      <c r="BR1383" s="591"/>
      <c r="BS1383" s="591"/>
      <c r="BT1383" s="591"/>
      <c r="BU1383" s="2"/>
      <c r="BV1383" s="2"/>
    </row>
    <row r="1384" spans="70:74" ht="27" customHeight="1" x14ac:dyDescent="0.25">
      <c r="BR1384" s="591"/>
      <c r="BS1384" s="591"/>
      <c r="BT1384" s="591"/>
      <c r="BU1384" s="2"/>
      <c r="BV1384" s="2"/>
    </row>
    <row r="1385" spans="70:74" ht="27" customHeight="1" x14ac:dyDescent="0.25">
      <c r="BR1385" s="591"/>
      <c r="BS1385" s="591"/>
      <c r="BT1385" s="591"/>
      <c r="BU1385" s="2"/>
      <c r="BV1385" s="2"/>
    </row>
    <row r="1386" spans="70:74" ht="27" customHeight="1" x14ac:dyDescent="0.25">
      <c r="BR1386" s="591"/>
      <c r="BS1386" s="591"/>
      <c r="BT1386" s="591"/>
      <c r="BU1386" s="2"/>
      <c r="BV1386" s="2"/>
    </row>
    <row r="1387" spans="70:74" ht="27" customHeight="1" x14ac:dyDescent="0.25">
      <c r="BR1387" s="591"/>
      <c r="BS1387" s="591"/>
      <c r="BT1387" s="591"/>
      <c r="BU1387" s="2"/>
      <c r="BV1387" s="2"/>
    </row>
    <row r="1388" spans="70:74" ht="27" customHeight="1" x14ac:dyDescent="0.25">
      <c r="BR1388" s="591"/>
      <c r="BS1388" s="591"/>
      <c r="BT1388" s="591"/>
      <c r="BU1388" s="2"/>
      <c r="BV1388" s="2"/>
    </row>
    <row r="1389" spans="70:74" ht="27" customHeight="1" x14ac:dyDescent="0.25">
      <c r="BR1389" s="591"/>
      <c r="BS1389" s="591"/>
      <c r="BT1389" s="591"/>
      <c r="BU1389" s="2"/>
      <c r="BV1389" s="2"/>
    </row>
    <row r="1390" spans="70:74" ht="27" customHeight="1" x14ac:dyDescent="0.25">
      <c r="BR1390" s="591"/>
      <c r="BS1390" s="591"/>
      <c r="BT1390" s="591"/>
      <c r="BU1390" s="2"/>
      <c r="BV1390" s="2"/>
    </row>
    <row r="1391" spans="70:74" ht="27" customHeight="1" x14ac:dyDescent="0.25">
      <c r="BR1391" s="591"/>
      <c r="BS1391" s="591"/>
      <c r="BT1391" s="591"/>
      <c r="BU1391" s="2"/>
      <c r="BV1391" s="2"/>
    </row>
    <row r="1392" spans="70:74" ht="27" customHeight="1" x14ac:dyDescent="0.25">
      <c r="BR1392" s="591"/>
      <c r="BS1392" s="591"/>
      <c r="BT1392" s="591"/>
      <c r="BU1392" s="2"/>
      <c r="BV1392" s="2"/>
    </row>
    <row r="1393" spans="70:74" ht="27" customHeight="1" x14ac:dyDescent="0.25">
      <c r="BR1393" s="591"/>
      <c r="BS1393" s="591"/>
      <c r="BT1393" s="591"/>
      <c r="BU1393" s="2"/>
      <c r="BV1393" s="2"/>
    </row>
    <row r="1394" spans="70:74" ht="27" customHeight="1" x14ac:dyDescent="0.25">
      <c r="BR1394" s="591"/>
      <c r="BS1394" s="591"/>
      <c r="BT1394" s="591"/>
      <c r="BU1394" s="2"/>
      <c r="BV1394" s="2"/>
    </row>
    <row r="1395" spans="70:74" ht="27" customHeight="1" x14ac:dyDescent="0.25">
      <c r="BR1395" s="591"/>
      <c r="BS1395" s="591"/>
      <c r="BT1395" s="591"/>
      <c r="BU1395" s="2"/>
      <c r="BV1395" s="2"/>
    </row>
    <row r="1396" spans="70:74" ht="27" customHeight="1" x14ac:dyDescent="0.25">
      <c r="BR1396" s="591"/>
      <c r="BS1396" s="591"/>
      <c r="BT1396" s="591"/>
      <c r="BU1396" s="2"/>
      <c r="BV1396" s="2"/>
    </row>
    <row r="1397" spans="70:74" ht="27" customHeight="1" x14ac:dyDescent="0.25">
      <c r="BR1397" s="591"/>
      <c r="BS1397" s="591"/>
      <c r="BT1397" s="591"/>
      <c r="BU1397" s="2"/>
      <c r="BV1397" s="2"/>
    </row>
    <row r="1398" spans="70:74" ht="27" customHeight="1" x14ac:dyDescent="0.25">
      <c r="BR1398" s="591"/>
      <c r="BS1398" s="591"/>
      <c r="BT1398" s="591"/>
      <c r="BU1398" s="2"/>
      <c r="BV1398" s="2"/>
    </row>
    <row r="1399" spans="70:74" ht="27" customHeight="1" x14ac:dyDescent="0.25">
      <c r="BR1399" s="591"/>
      <c r="BS1399" s="591"/>
      <c r="BT1399" s="591"/>
      <c r="BU1399" s="2"/>
      <c r="BV1399" s="2"/>
    </row>
    <row r="1400" spans="70:74" ht="27" customHeight="1" x14ac:dyDescent="0.25">
      <c r="BR1400" s="591"/>
      <c r="BS1400" s="591"/>
      <c r="BT1400" s="591"/>
      <c r="BU1400" s="2"/>
      <c r="BV1400" s="2"/>
    </row>
    <row r="1401" spans="70:74" ht="27" customHeight="1" x14ac:dyDescent="0.25">
      <c r="BR1401" s="591"/>
      <c r="BS1401" s="591"/>
      <c r="BT1401" s="591"/>
      <c r="BU1401" s="2"/>
      <c r="BV1401" s="2"/>
    </row>
    <row r="1402" spans="70:74" ht="27" customHeight="1" x14ac:dyDescent="0.25">
      <c r="BR1402" s="591"/>
      <c r="BS1402" s="591"/>
      <c r="BT1402" s="591"/>
      <c r="BU1402" s="2"/>
      <c r="BV1402" s="2"/>
    </row>
    <row r="1403" spans="70:74" ht="27" customHeight="1" x14ac:dyDescent="0.25">
      <c r="BR1403" s="591"/>
      <c r="BS1403" s="591"/>
      <c r="BT1403" s="591"/>
      <c r="BU1403" s="2"/>
      <c r="BV1403" s="2"/>
    </row>
    <row r="1404" spans="70:74" ht="27" customHeight="1" x14ac:dyDescent="0.25">
      <c r="BR1404" s="591"/>
      <c r="BS1404" s="591"/>
      <c r="BT1404" s="591"/>
      <c r="BU1404" s="2"/>
      <c r="BV1404" s="2"/>
    </row>
    <row r="1405" spans="70:74" ht="27" customHeight="1" x14ac:dyDescent="0.25">
      <c r="BR1405" s="591"/>
      <c r="BS1405" s="591"/>
      <c r="BT1405" s="591"/>
      <c r="BU1405" s="2"/>
      <c r="BV1405" s="2"/>
    </row>
    <row r="1406" spans="70:74" ht="27" customHeight="1" x14ac:dyDescent="0.25">
      <c r="BR1406" s="591"/>
      <c r="BS1406" s="591"/>
      <c r="BT1406" s="591"/>
      <c r="BU1406" s="2"/>
      <c r="BV1406" s="2"/>
    </row>
    <row r="1407" spans="70:74" ht="27" customHeight="1" x14ac:dyDescent="0.25">
      <c r="BR1407" s="591"/>
      <c r="BS1407" s="591"/>
      <c r="BT1407" s="591"/>
      <c r="BU1407" s="2"/>
      <c r="BV1407" s="2"/>
    </row>
    <row r="1408" spans="70:74" ht="27" customHeight="1" x14ac:dyDescent="0.25">
      <c r="BR1408" s="591"/>
      <c r="BS1408" s="591"/>
      <c r="BT1408" s="591"/>
      <c r="BU1408" s="2"/>
      <c r="BV1408" s="2"/>
    </row>
    <row r="1409" spans="70:74" ht="27" customHeight="1" x14ac:dyDescent="0.25">
      <c r="BR1409" s="591"/>
      <c r="BS1409" s="591"/>
      <c r="BT1409" s="591"/>
      <c r="BU1409" s="2"/>
      <c r="BV1409" s="2"/>
    </row>
    <row r="1410" spans="70:74" ht="27" customHeight="1" x14ac:dyDescent="0.25">
      <c r="BR1410" s="591"/>
      <c r="BS1410" s="591"/>
      <c r="BT1410" s="591"/>
      <c r="BU1410" s="2"/>
      <c r="BV1410" s="2"/>
    </row>
    <row r="1411" spans="70:74" ht="27" customHeight="1" x14ac:dyDescent="0.25">
      <c r="BR1411" s="591"/>
      <c r="BS1411" s="591"/>
      <c r="BT1411" s="591"/>
      <c r="BU1411" s="2"/>
      <c r="BV1411" s="2"/>
    </row>
    <row r="1412" spans="70:74" ht="27" customHeight="1" x14ac:dyDescent="0.25">
      <c r="BR1412" s="591"/>
      <c r="BS1412" s="591"/>
      <c r="BT1412" s="591"/>
      <c r="BU1412" s="2"/>
      <c r="BV1412" s="2"/>
    </row>
    <row r="1413" spans="70:74" ht="27" customHeight="1" x14ac:dyDescent="0.25">
      <c r="BR1413" s="591"/>
      <c r="BS1413" s="591"/>
      <c r="BT1413" s="591"/>
      <c r="BU1413" s="2"/>
      <c r="BV1413" s="2"/>
    </row>
    <row r="1414" spans="70:74" ht="27" customHeight="1" x14ac:dyDescent="0.25">
      <c r="BR1414" s="591"/>
      <c r="BS1414" s="591"/>
      <c r="BT1414" s="591"/>
      <c r="BU1414" s="2"/>
      <c r="BV1414" s="2"/>
    </row>
    <row r="1415" spans="70:74" ht="27" customHeight="1" x14ac:dyDescent="0.25">
      <c r="BR1415" s="591"/>
      <c r="BS1415" s="591"/>
      <c r="BT1415" s="591"/>
      <c r="BU1415" s="2"/>
      <c r="BV1415" s="2"/>
    </row>
    <row r="1416" spans="70:74" ht="27" customHeight="1" x14ac:dyDescent="0.25">
      <c r="BR1416" s="591"/>
      <c r="BS1416" s="591"/>
      <c r="BT1416" s="591"/>
      <c r="BU1416" s="2"/>
      <c r="BV1416" s="2"/>
    </row>
    <row r="1417" spans="70:74" ht="27" customHeight="1" x14ac:dyDescent="0.25">
      <c r="BR1417" s="591"/>
      <c r="BS1417" s="591"/>
      <c r="BT1417" s="591"/>
      <c r="BU1417" s="2"/>
      <c r="BV1417" s="2"/>
    </row>
    <row r="1418" spans="70:74" ht="27" customHeight="1" x14ac:dyDescent="0.25">
      <c r="BR1418" s="591"/>
      <c r="BS1418" s="591"/>
      <c r="BT1418" s="591"/>
      <c r="BU1418" s="2"/>
      <c r="BV1418" s="2"/>
    </row>
    <row r="1419" spans="70:74" ht="27" customHeight="1" x14ac:dyDescent="0.25">
      <c r="BR1419" s="591"/>
      <c r="BS1419" s="591"/>
      <c r="BT1419" s="591"/>
      <c r="BU1419" s="2"/>
      <c r="BV1419" s="2"/>
    </row>
    <row r="1420" spans="70:74" ht="27" customHeight="1" x14ac:dyDescent="0.25">
      <c r="BR1420" s="591"/>
      <c r="BS1420" s="591"/>
      <c r="BT1420" s="591"/>
      <c r="BU1420" s="2"/>
      <c r="BV1420" s="2"/>
    </row>
    <row r="1421" spans="70:74" ht="27" customHeight="1" x14ac:dyDescent="0.25">
      <c r="BR1421" s="591"/>
      <c r="BS1421" s="591"/>
      <c r="BT1421" s="591"/>
      <c r="BU1421" s="2"/>
      <c r="BV1421" s="2"/>
    </row>
    <row r="1422" spans="70:74" ht="27" customHeight="1" x14ac:dyDescent="0.25">
      <c r="BR1422" s="591"/>
      <c r="BS1422" s="591"/>
      <c r="BT1422" s="591"/>
      <c r="BU1422" s="2"/>
      <c r="BV1422" s="2"/>
    </row>
    <row r="1423" spans="70:74" ht="27" customHeight="1" x14ac:dyDescent="0.25">
      <c r="BR1423" s="591"/>
      <c r="BS1423" s="591"/>
      <c r="BT1423" s="591"/>
      <c r="BU1423" s="2"/>
      <c r="BV1423" s="2"/>
    </row>
    <row r="1424" spans="70:74" ht="27" customHeight="1" x14ac:dyDescent="0.25">
      <c r="BR1424" s="591"/>
      <c r="BS1424" s="591"/>
      <c r="BT1424" s="591"/>
      <c r="BU1424" s="2"/>
      <c r="BV1424" s="2"/>
    </row>
    <row r="1425" spans="70:74" ht="27" customHeight="1" x14ac:dyDescent="0.25">
      <c r="BR1425" s="591"/>
      <c r="BS1425" s="591"/>
      <c r="BT1425" s="591"/>
      <c r="BU1425" s="2"/>
      <c r="BV1425" s="2"/>
    </row>
    <row r="1426" spans="70:74" ht="27" customHeight="1" x14ac:dyDescent="0.25">
      <c r="BR1426" s="591"/>
      <c r="BS1426" s="591"/>
      <c r="BT1426" s="591"/>
      <c r="BU1426" s="2"/>
      <c r="BV1426" s="2"/>
    </row>
    <row r="1427" spans="70:74" ht="27" customHeight="1" x14ac:dyDescent="0.25">
      <c r="BR1427" s="591"/>
      <c r="BS1427" s="591"/>
      <c r="BT1427" s="591"/>
      <c r="BU1427" s="2"/>
      <c r="BV1427" s="2"/>
    </row>
    <row r="1428" spans="70:74" ht="27" customHeight="1" x14ac:dyDescent="0.25">
      <c r="BR1428" s="591"/>
      <c r="BS1428" s="591"/>
      <c r="BT1428" s="591"/>
      <c r="BU1428" s="2"/>
      <c r="BV1428" s="2"/>
    </row>
    <row r="1429" spans="70:74" ht="27" customHeight="1" x14ac:dyDescent="0.25">
      <c r="BR1429" s="591"/>
      <c r="BS1429" s="591"/>
      <c r="BT1429" s="591"/>
      <c r="BU1429" s="2"/>
      <c r="BV1429" s="2"/>
    </row>
    <row r="1430" spans="70:74" ht="27" customHeight="1" x14ac:dyDescent="0.25">
      <c r="BR1430" s="591"/>
      <c r="BS1430" s="591"/>
      <c r="BT1430" s="591"/>
      <c r="BU1430" s="2"/>
      <c r="BV1430" s="2"/>
    </row>
    <row r="1431" spans="70:74" ht="27" customHeight="1" x14ac:dyDescent="0.25">
      <c r="BR1431" s="591"/>
      <c r="BS1431" s="591"/>
      <c r="BT1431" s="591"/>
      <c r="BU1431" s="2"/>
      <c r="BV1431" s="2"/>
    </row>
    <row r="1432" spans="70:74" ht="27" customHeight="1" x14ac:dyDescent="0.25">
      <c r="BR1432" s="591"/>
      <c r="BS1432" s="591"/>
      <c r="BT1432" s="591"/>
      <c r="BU1432" s="2"/>
      <c r="BV1432" s="2"/>
    </row>
    <row r="1433" spans="70:74" ht="27" customHeight="1" x14ac:dyDescent="0.25">
      <c r="BR1433" s="591"/>
      <c r="BS1433" s="591"/>
      <c r="BT1433" s="591"/>
      <c r="BU1433" s="2"/>
      <c r="BV1433" s="2"/>
    </row>
    <row r="1434" spans="70:74" ht="27" customHeight="1" x14ac:dyDescent="0.25">
      <c r="BR1434" s="591"/>
      <c r="BS1434" s="591"/>
      <c r="BT1434" s="591"/>
      <c r="BU1434" s="2"/>
      <c r="BV1434" s="2"/>
    </row>
    <row r="1435" spans="70:74" ht="27" customHeight="1" x14ac:dyDescent="0.25">
      <c r="BR1435" s="591"/>
      <c r="BS1435" s="591"/>
      <c r="BT1435" s="591"/>
      <c r="BU1435" s="2"/>
      <c r="BV1435" s="2"/>
    </row>
    <row r="1436" spans="70:74" ht="27" customHeight="1" x14ac:dyDescent="0.25">
      <c r="BR1436" s="591"/>
      <c r="BS1436" s="591"/>
      <c r="BT1436" s="591"/>
      <c r="BU1436" s="2"/>
      <c r="BV1436" s="2"/>
    </row>
    <row r="1437" spans="70:74" ht="27" customHeight="1" x14ac:dyDescent="0.25">
      <c r="BR1437" s="591"/>
      <c r="BS1437" s="591"/>
      <c r="BT1437" s="591"/>
      <c r="BU1437" s="2"/>
      <c r="BV1437" s="2"/>
    </row>
    <row r="1438" spans="70:74" ht="27" customHeight="1" x14ac:dyDescent="0.25">
      <c r="BR1438" s="591"/>
      <c r="BS1438" s="591"/>
      <c r="BT1438" s="591"/>
      <c r="BU1438" s="2"/>
      <c r="BV1438" s="2"/>
    </row>
    <row r="1439" spans="70:74" ht="27" customHeight="1" x14ac:dyDescent="0.25">
      <c r="BR1439" s="591"/>
      <c r="BS1439" s="591"/>
      <c r="BT1439" s="591"/>
      <c r="BU1439" s="2"/>
      <c r="BV1439" s="2"/>
    </row>
    <row r="1440" spans="70:74" ht="27" customHeight="1" x14ac:dyDescent="0.25">
      <c r="BR1440" s="591"/>
      <c r="BS1440" s="591"/>
      <c r="BT1440" s="591"/>
      <c r="BU1440" s="2"/>
      <c r="BV1440" s="2"/>
    </row>
    <row r="1441" spans="70:74" ht="27" customHeight="1" x14ac:dyDescent="0.25">
      <c r="BR1441" s="591"/>
      <c r="BS1441" s="591"/>
      <c r="BT1441" s="591"/>
      <c r="BU1441" s="2"/>
      <c r="BV1441" s="2"/>
    </row>
    <row r="1442" spans="70:74" ht="27" customHeight="1" x14ac:dyDescent="0.25">
      <c r="BR1442" s="591"/>
      <c r="BS1442" s="591"/>
      <c r="BT1442" s="591"/>
      <c r="BU1442" s="2"/>
      <c r="BV1442" s="2"/>
    </row>
    <row r="1443" spans="70:74" ht="27" customHeight="1" x14ac:dyDescent="0.25">
      <c r="BR1443" s="591"/>
      <c r="BS1443" s="591"/>
      <c r="BT1443" s="591"/>
      <c r="BU1443" s="2"/>
      <c r="BV1443" s="2"/>
    </row>
    <row r="1444" spans="70:74" ht="27" customHeight="1" x14ac:dyDescent="0.25">
      <c r="BR1444" s="591"/>
      <c r="BS1444" s="591"/>
      <c r="BT1444" s="591"/>
      <c r="BU1444" s="2"/>
      <c r="BV1444" s="2"/>
    </row>
    <row r="1445" spans="70:74" ht="27" customHeight="1" x14ac:dyDescent="0.25">
      <c r="BR1445" s="591"/>
      <c r="BS1445" s="591"/>
      <c r="BT1445" s="591"/>
      <c r="BU1445" s="2"/>
      <c r="BV1445" s="2"/>
    </row>
    <row r="1446" spans="70:74" ht="27" customHeight="1" x14ac:dyDescent="0.25">
      <c r="BR1446" s="591"/>
      <c r="BS1446" s="591"/>
      <c r="BT1446" s="591"/>
      <c r="BU1446" s="2"/>
      <c r="BV1446" s="2"/>
    </row>
    <row r="1447" spans="70:74" ht="27" customHeight="1" x14ac:dyDescent="0.25">
      <c r="BR1447" s="591"/>
      <c r="BS1447" s="591"/>
      <c r="BT1447" s="591"/>
      <c r="BU1447" s="2"/>
      <c r="BV1447" s="2"/>
    </row>
    <row r="1448" spans="70:74" ht="27" customHeight="1" x14ac:dyDescent="0.25">
      <c r="BR1448" s="591"/>
      <c r="BS1448" s="591"/>
      <c r="BT1448" s="591"/>
      <c r="BU1448" s="2"/>
      <c r="BV1448" s="2"/>
    </row>
    <row r="1449" spans="70:74" ht="27" customHeight="1" x14ac:dyDescent="0.25">
      <c r="BR1449" s="591"/>
      <c r="BS1449" s="591"/>
      <c r="BT1449" s="591"/>
      <c r="BU1449" s="2"/>
      <c r="BV1449" s="2"/>
    </row>
    <row r="1450" spans="70:74" ht="27" customHeight="1" x14ac:dyDescent="0.25">
      <c r="BR1450" s="591"/>
      <c r="BS1450" s="591"/>
      <c r="BT1450" s="591"/>
      <c r="BU1450" s="2"/>
      <c r="BV1450" s="2"/>
    </row>
    <row r="1451" spans="70:74" ht="27" customHeight="1" x14ac:dyDescent="0.25">
      <c r="BR1451" s="591"/>
      <c r="BS1451" s="591"/>
      <c r="BT1451" s="591"/>
      <c r="BU1451" s="2"/>
      <c r="BV1451" s="2"/>
    </row>
    <row r="1452" spans="70:74" ht="27" customHeight="1" x14ac:dyDescent="0.25">
      <c r="BR1452" s="591"/>
      <c r="BS1452" s="591"/>
      <c r="BT1452" s="591"/>
      <c r="BU1452" s="2"/>
      <c r="BV1452" s="2"/>
    </row>
    <row r="1453" spans="70:74" ht="27" customHeight="1" x14ac:dyDescent="0.25">
      <c r="BR1453" s="591"/>
      <c r="BS1453" s="591"/>
      <c r="BT1453" s="591"/>
      <c r="BU1453" s="2"/>
      <c r="BV1453" s="2"/>
    </row>
    <row r="1454" spans="70:74" ht="27" customHeight="1" x14ac:dyDescent="0.25">
      <c r="BR1454" s="591"/>
      <c r="BS1454" s="591"/>
      <c r="BT1454" s="591"/>
      <c r="BU1454" s="2"/>
      <c r="BV1454" s="2"/>
    </row>
    <row r="1455" spans="70:74" ht="27" customHeight="1" x14ac:dyDescent="0.25">
      <c r="BR1455" s="591"/>
      <c r="BS1455" s="591"/>
      <c r="BT1455" s="591"/>
      <c r="BU1455" s="2"/>
      <c r="BV1455" s="2"/>
    </row>
    <row r="1456" spans="70:74" ht="27" customHeight="1" x14ac:dyDescent="0.25">
      <c r="BR1456" s="591"/>
      <c r="BS1456" s="591"/>
      <c r="BT1456" s="591"/>
      <c r="BU1456" s="2"/>
      <c r="BV1456" s="2"/>
    </row>
    <row r="1457" spans="70:74" ht="27" customHeight="1" x14ac:dyDescent="0.25">
      <c r="BR1457" s="591"/>
      <c r="BS1457" s="591"/>
      <c r="BT1457" s="591"/>
      <c r="BU1457" s="2"/>
      <c r="BV1457" s="2"/>
    </row>
    <row r="1458" spans="70:74" ht="27" customHeight="1" x14ac:dyDescent="0.25">
      <c r="BR1458" s="591"/>
      <c r="BS1458" s="591"/>
      <c r="BT1458" s="591"/>
      <c r="BU1458" s="2"/>
      <c r="BV1458" s="2"/>
    </row>
    <row r="1459" spans="70:74" ht="27" customHeight="1" x14ac:dyDescent="0.25">
      <c r="BR1459" s="591"/>
      <c r="BS1459" s="591"/>
      <c r="BT1459" s="591"/>
      <c r="BU1459" s="2"/>
      <c r="BV1459" s="2"/>
    </row>
    <row r="1460" spans="70:74" ht="27" customHeight="1" x14ac:dyDescent="0.25">
      <c r="BR1460" s="591"/>
      <c r="BS1460" s="591"/>
      <c r="BT1460" s="591"/>
      <c r="BU1460" s="2"/>
      <c r="BV1460" s="2"/>
    </row>
    <row r="1461" spans="70:74" ht="27" customHeight="1" x14ac:dyDescent="0.25">
      <c r="BR1461" s="591"/>
      <c r="BS1461" s="591"/>
      <c r="BT1461" s="591"/>
      <c r="BU1461" s="2"/>
      <c r="BV1461" s="2"/>
    </row>
    <row r="1462" spans="70:74" ht="27" customHeight="1" x14ac:dyDescent="0.25">
      <c r="BR1462" s="591"/>
      <c r="BS1462" s="591"/>
      <c r="BT1462" s="591"/>
      <c r="BU1462" s="2"/>
      <c r="BV1462" s="2"/>
    </row>
    <row r="1463" spans="70:74" ht="27" customHeight="1" x14ac:dyDescent="0.25">
      <c r="BR1463" s="591"/>
      <c r="BS1463" s="591"/>
      <c r="BT1463" s="591"/>
      <c r="BU1463" s="2"/>
      <c r="BV1463" s="2"/>
    </row>
    <row r="1464" spans="70:74" ht="27" customHeight="1" x14ac:dyDescent="0.25">
      <c r="BR1464" s="591"/>
      <c r="BS1464" s="591"/>
      <c r="BT1464" s="591"/>
      <c r="BU1464" s="2"/>
      <c r="BV1464" s="2"/>
    </row>
    <row r="1465" spans="70:74" ht="27" customHeight="1" x14ac:dyDescent="0.25">
      <c r="BR1465" s="591"/>
      <c r="BS1465" s="591"/>
      <c r="BT1465" s="591"/>
      <c r="BU1465" s="2"/>
      <c r="BV1465" s="2"/>
    </row>
    <row r="1466" spans="70:74" ht="27" customHeight="1" x14ac:dyDescent="0.25">
      <c r="BR1466" s="591"/>
      <c r="BS1466" s="591"/>
      <c r="BT1466" s="591"/>
      <c r="BU1466" s="2"/>
      <c r="BV1466" s="2"/>
    </row>
    <row r="1467" spans="70:74" ht="27" customHeight="1" x14ac:dyDescent="0.25">
      <c r="BR1467" s="591"/>
      <c r="BS1467" s="591"/>
      <c r="BT1467" s="591"/>
      <c r="BU1467" s="2"/>
      <c r="BV1467" s="2"/>
    </row>
    <row r="1468" spans="70:74" ht="27" customHeight="1" x14ac:dyDescent="0.25">
      <c r="BR1468" s="591"/>
      <c r="BS1468" s="591"/>
      <c r="BT1468" s="591"/>
      <c r="BU1468" s="2"/>
      <c r="BV1468" s="2"/>
    </row>
    <row r="1469" spans="70:74" ht="27" customHeight="1" x14ac:dyDescent="0.25">
      <c r="BR1469" s="591"/>
      <c r="BS1469" s="591"/>
      <c r="BT1469" s="591"/>
      <c r="BU1469" s="2"/>
      <c r="BV1469" s="2"/>
    </row>
    <row r="1470" spans="70:74" ht="27" customHeight="1" x14ac:dyDescent="0.25">
      <c r="BR1470" s="591"/>
      <c r="BS1470" s="591"/>
      <c r="BT1470" s="591"/>
      <c r="BU1470" s="2"/>
      <c r="BV1470" s="2"/>
    </row>
    <row r="1471" spans="70:74" ht="27" customHeight="1" x14ac:dyDescent="0.25">
      <c r="BR1471" s="591"/>
      <c r="BS1471" s="591"/>
      <c r="BT1471" s="591"/>
      <c r="BU1471" s="2"/>
      <c r="BV1471" s="2"/>
    </row>
    <row r="1472" spans="70:74" ht="27" customHeight="1" x14ac:dyDescent="0.25">
      <c r="BR1472" s="591"/>
      <c r="BS1472" s="591"/>
      <c r="BT1472" s="591"/>
      <c r="BU1472" s="2"/>
      <c r="BV1472" s="2"/>
    </row>
    <row r="1473" spans="70:74" ht="27" customHeight="1" x14ac:dyDescent="0.25">
      <c r="BR1473" s="591"/>
      <c r="BS1473" s="591"/>
      <c r="BT1473" s="591"/>
      <c r="BU1473" s="2"/>
      <c r="BV1473" s="2"/>
    </row>
    <row r="1474" spans="70:74" ht="27" customHeight="1" x14ac:dyDescent="0.25">
      <c r="BR1474" s="591"/>
      <c r="BS1474" s="591"/>
      <c r="BT1474" s="591"/>
      <c r="BU1474" s="2"/>
      <c r="BV1474" s="2"/>
    </row>
    <row r="1475" spans="70:74" ht="27" customHeight="1" x14ac:dyDescent="0.25">
      <c r="BR1475" s="591"/>
      <c r="BS1475" s="591"/>
      <c r="BT1475" s="591"/>
      <c r="BU1475" s="2"/>
      <c r="BV1475" s="2"/>
    </row>
    <row r="1476" spans="70:74" ht="27" customHeight="1" x14ac:dyDescent="0.25">
      <c r="BR1476" s="591"/>
      <c r="BS1476" s="591"/>
      <c r="BT1476" s="591"/>
      <c r="BU1476" s="2"/>
      <c r="BV1476" s="2"/>
    </row>
    <row r="1477" spans="70:74" ht="27" customHeight="1" x14ac:dyDescent="0.25">
      <c r="BR1477" s="591"/>
      <c r="BS1477" s="591"/>
      <c r="BT1477" s="591"/>
      <c r="BU1477" s="2"/>
      <c r="BV1477" s="2"/>
    </row>
    <row r="1478" spans="70:74" ht="27" customHeight="1" x14ac:dyDescent="0.25">
      <c r="BR1478" s="591"/>
      <c r="BS1478" s="591"/>
      <c r="BT1478" s="591"/>
      <c r="BU1478" s="2"/>
      <c r="BV1478" s="2"/>
    </row>
    <row r="1479" spans="70:74" ht="27" customHeight="1" x14ac:dyDescent="0.25">
      <c r="BR1479" s="591"/>
      <c r="BS1479" s="591"/>
      <c r="BT1479" s="591"/>
      <c r="BU1479" s="2"/>
      <c r="BV1479" s="2"/>
    </row>
    <row r="1480" spans="70:74" ht="27" customHeight="1" x14ac:dyDescent="0.25">
      <c r="BR1480" s="591"/>
      <c r="BS1480" s="591"/>
      <c r="BT1480" s="591"/>
      <c r="BU1480" s="2"/>
      <c r="BV1480" s="2"/>
    </row>
    <row r="1481" spans="70:74" ht="27" customHeight="1" x14ac:dyDescent="0.25">
      <c r="BR1481" s="591"/>
      <c r="BS1481" s="591"/>
      <c r="BT1481" s="591"/>
      <c r="BU1481" s="2"/>
      <c r="BV1481" s="2"/>
    </row>
    <row r="1482" spans="70:74" ht="27" customHeight="1" x14ac:dyDescent="0.25">
      <c r="BR1482" s="591"/>
      <c r="BS1482" s="591"/>
      <c r="BT1482" s="591"/>
      <c r="BU1482" s="2"/>
      <c r="BV1482" s="2"/>
    </row>
    <row r="1483" spans="70:74" ht="27" customHeight="1" x14ac:dyDescent="0.25">
      <c r="BR1483" s="591"/>
      <c r="BS1483" s="591"/>
      <c r="BT1483" s="591"/>
      <c r="BU1483" s="2"/>
      <c r="BV1483" s="2"/>
    </row>
    <row r="1484" spans="70:74" ht="27" customHeight="1" x14ac:dyDescent="0.25">
      <c r="BR1484" s="591"/>
      <c r="BS1484" s="591"/>
      <c r="BT1484" s="591"/>
      <c r="BU1484" s="2"/>
      <c r="BV1484" s="2"/>
    </row>
    <row r="1485" spans="70:74" ht="27" customHeight="1" x14ac:dyDescent="0.25">
      <c r="BR1485" s="591"/>
      <c r="BS1485" s="591"/>
      <c r="BT1485" s="591"/>
      <c r="BU1485" s="2"/>
      <c r="BV1485" s="2"/>
    </row>
    <row r="1486" spans="70:74" ht="27" customHeight="1" x14ac:dyDescent="0.25">
      <c r="BR1486" s="591"/>
      <c r="BS1486" s="591"/>
      <c r="BT1486" s="591"/>
      <c r="BU1486" s="2"/>
      <c r="BV1486" s="2"/>
    </row>
    <row r="1487" spans="70:74" ht="27" customHeight="1" x14ac:dyDescent="0.25">
      <c r="BR1487" s="591"/>
      <c r="BS1487" s="591"/>
      <c r="BT1487" s="591"/>
      <c r="BU1487" s="2"/>
      <c r="BV1487" s="2"/>
    </row>
    <row r="1488" spans="70:74" ht="27" customHeight="1" x14ac:dyDescent="0.25">
      <c r="BR1488" s="591"/>
      <c r="BS1488" s="591"/>
      <c r="BT1488" s="591"/>
      <c r="BU1488" s="2"/>
      <c r="BV1488" s="2"/>
    </row>
    <row r="1489" spans="70:74" ht="27" customHeight="1" x14ac:dyDescent="0.25">
      <c r="BR1489" s="591"/>
      <c r="BS1489" s="591"/>
      <c r="BT1489" s="591"/>
      <c r="BU1489" s="2"/>
      <c r="BV1489" s="2"/>
    </row>
    <row r="1490" spans="70:74" ht="27" customHeight="1" x14ac:dyDescent="0.25">
      <c r="BR1490" s="591"/>
      <c r="BS1490" s="591"/>
      <c r="BT1490" s="591"/>
      <c r="BU1490" s="2"/>
      <c r="BV1490" s="2"/>
    </row>
    <row r="1491" spans="70:74" ht="27" customHeight="1" x14ac:dyDescent="0.25">
      <c r="BR1491" s="591"/>
      <c r="BS1491" s="591"/>
      <c r="BT1491" s="591"/>
      <c r="BU1491" s="2"/>
      <c r="BV1491" s="2"/>
    </row>
    <row r="1492" spans="70:74" ht="27" customHeight="1" x14ac:dyDescent="0.25">
      <c r="BR1492" s="591"/>
      <c r="BS1492" s="591"/>
      <c r="BT1492" s="591"/>
      <c r="BU1492" s="2"/>
      <c r="BV1492" s="2"/>
    </row>
    <row r="1493" spans="70:74" ht="27" customHeight="1" x14ac:dyDescent="0.25">
      <c r="BR1493" s="591"/>
      <c r="BS1493" s="591"/>
      <c r="BT1493" s="591"/>
      <c r="BU1493" s="2"/>
      <c r="BV1493" s="2"/>
    </row>
    <row r="1494" spans="70:74" ht="27" customHeight="1" x14ac:dyDescent="0.25">
      <c r="BR1494" s="591"/>
      <c r="BS1494" s="591"/>
      <c r="BT1494" s="591"/>
      <c r="BU1494" s="2"/>
      <c r="BV1494" s="2"/>
    </row>
    <row r="1495" spans="70:74" ht="27" customHeight="1" x14ac:dyDescent="0.25">
      <c r="BR1495" s="591"/>
      <c r="BS1495" s="591"/>
      <c r="BT1495" s="591"/>
      <c r="BU1495" s="2"/>
      <c r="BV1495" s="2"/>
    </row>
    <row r="1496" spans="70:74" ht="27" customHeight="1" x14ac:dyDescent="0.25">
      <c r="BR1496" s="591"/>
      <c r="BS1496" s="591"/>
      <c r="BT1496" s="591"/>
      <c r="BU1496" s="2"/>
      <c r="BV1496" s="2"/>
    </row>
    <row r="1497" spans="70:74" ht="27" customHeight="1" x14ac:dyDescent="0.25">
      <c r="BR1497" s="591"/>
      <c r="BS1497" s="591"/>
      <c r="BT1497" s="591"/>
      <c r="BU1497" s="2"/>
      <c r="BV1497" s="2"/>
    </row>
    <row r="1498" spans="70:74" ht="27" customHeight="1" x14ac:dyDescent="0.25">
      <c r="BR1498" s="591"/>
      <c r="BS1498" s="591"/>
      <c r="BT1498" s="591"/>
      <c r="BU1498" s="2"/>
      <c r="BV1498" s="2"/>
    </row>
    <row r="1499" spans="70:74" ht="27" customHeight="1" x14ac:dyDescent="0.25">
      <c r="BR1499" s="591"/>
      <c r="BS1499" s="591"/>
      <c r="BT1499" s="591"/>
      <c r="BU1499" s="2"/>
      <c r="BV1499" s="2"/>
    </row>
    <row r="1500" spans="70:74" ht="27" customHeight="1" x14ac:dyDescent="0.25">
      <c r="BR1500" s="591"/>
      <c r="BS1500" s="591"/>
      <c r="BT1500" s="591"/>
      <c r="BU1500" s="2"/>
      <c r="BV1500" s="2"/>
    </row>
    <row r="1501" spans="70:74" ht="27" customHeight="1" x14ac:dyDescent="0.25">
      <c r="BR1501" s="591"/>
      <c r="BS1501" s="591"/>
      <c r="BT1501" s="591"/>
      <c r="BU1501" s="2"/>
      <c r="BV1501" s="2"/>
    </row>
    <row r="1502" spans="70:74" ht="27" customHeight="1" x14ac:dyDescent="0.25">
      <c r="BR1502" s="591"/>
      <c r="BS1502" s="591"/>
      <c r="BT1502" s="591"/>
      <c r="BU1502" s="2"/>
      <c r="BV1502" s="2"/>
    </row>
    <row r="1503" spans="70:74" ht="27" customHeight="1" x14ac:dyDescent="0.25">
      <c r="BR1503" s="591"/>
      <c r="BS1503" s="591"/>
      <c r="BT1503" s="591"/>
      <c r="BU1503" s="2"/>
      <c r="BV1503" s="2"/>
    </row>
    <row r="1504" spans="70:74" ht="27" customHeight="1" x14ac:dyDescent="0.25">
      <c r="BR1504" s="591"/>
      <c r="BS1504" s="591"/>
      <c r="BT1504" s="591"/>
      <c r="BU1504" s="2"/>
      <c r="BV1504" s="2"/>
    </row>
    <row r="1505" spans="70:74" ht="27" customHeight="1" x14ac:dyDescent="0.25">
      <c r="BR1505" s="591"/>
      <c r="BS1505" s="591"/>
      <c r="BT1505" s="591"/>
      <c r="BU1505" s="2"/>
      <c r="BV1505" s="2"/>
    </row>
    <row r="1506" spans="70:74" ht="27" customHeight="1" x14ac:dyDescent="0.25">
      <c r="BR1506" s="591"/>
      <c r="BS1506" s="591"/>
      <c r="BT1506" s="591"/>
      <c r="BU1506" s="2"/>
      <c r="BV1506" s="2"/>
    </row>
    <row r="1507" spans="70:74" ht="27" customHeight="1" x14ac:dyDescent="0.25">
      <c r="BR1507" s="591"/>
      <c r="BS1507" s="591"/>
      <c r="BT1507" s="591"/>
      <c r="BU1507" s="2"/>
      <c r="BV1507" s="2"/>
    </row>
    <row r="1508" spans="70:74" ht="27" customHeight="1" x14ac:dyDescent="0.25">
      <c r="BR1508" s="591"/>
      <c r="BS1508" s="591"/>
      <c r="BT1508" s="591"/>
      <c r="BU1508" s="2"/>
      <c r="BV1508" s="2"/>
    </row>
    <row r="1509" spans="70:74" ht="27" customHeight="1" x14ac:dyDescent="0.25">
      <c r="BR1509" s="591"/>
      <c r="BS1509" s="591"/>
      <c r="BT1509" s="591"/>
      <c r="BU1509" s="2"/>
      <c r="BV1509" s="2"/>
    </row>
    <row r="1510" spans="70:74" ht="27" customHeight="1" x14ac:dyDescent="0.25">
      <c r="BR1510" s="591"/>
      <c r="BS1510" s="591"/>
      <c r="BT1510" s="591"/>
      <c r="BU1510" s="2"/>
      <c r="BV1510" s="2"/>
    </row>
    <row r="1511" spans="70:74" ht="27" customHeight="1" x14ac:dyDescent="0.25">
      <c r="BR1511" s="591"/>
      <c r="BS1511" s="591"/>
      <c r="BT1511" s="591"/>
      <c r="BU1511" s="2"/>
      <c r="BV1511" s="2"/>
    </row>
    <row r="1512" spans="70:74" ht="27" customHeight="1" x14ac:dyDescent="0.25">
      <c r="BR1512" s="591"/>
      <c r="BS1512" s="591"/>
      <c r="BT1512" s="591"/>
      <c r="BU1512" s="2"/>
      <c r="BV1512" s="2"/>
    </row>
    <row r="1513" spans="70:74" ht="27" customHeight="1" x14ac:dyDescent="0.25">
      <c r="BR1513" s="591"/>
      <c r="BS1513" s="591"/>
      <c r="BT1513" s="591"/>
      <c r="BU1513" s="2"/>
      <c r="BV1513" s="2"/>
    </row>
    <row r="1514" spans="70:74" ht="27" customHeight="1" x14ac:dyDescent="0.25">
      <c r="BR1514" s="591"/>
      <c r="BS1514" s="591"/>
      <c r="BT1514" s="591"/>
      <c r="BU1514" s="2"/>
      <c r="BV1514" s="2"/>
    </row>
    <row r="1515" spans="70:74" ht="27" customHeight="1" x14ac:dyDescent="0.25">
      <c r="BR1515" s="591"/>
      <c r="BS1515" s="591"/>
      <c r="BT1515" s="591"/>
      <c r="BU1515" s="2"/>
      <c r="BV1515" s="2"/>
    </row>
    <row r="1516" spans="70:74" ht="27" customHeight="1" x14ac:dyDescent="0.25">
      <c r="BR1516" s="591"/>
      <c r="BS1516" s="591"/>
      <c r="BT1516" s="591"/>
      <c r="BU1516" s="2"/>
      <c r="BV1516" s="2"/>
    </row>
    <row r="1517" spans="70:74" ht="27" customHeight="1" x14ac:dyDescent="0.25">
      <c r="BR1517" s="591"/>
      <c r="BS1517" s="591"/>
      <c r="BT1517" s="591"/>
      <c r="BU1517" s="2"/>
      <c r="BV1517" s="2"/>
    </row>
    <row r="1518" spans="70:74" ht="27" customHeight="1" x14ac:dyDescent="0.25">
      <c r="BR1518" s="591"/>
      <c r="BS1518" s="591"/>
      <c r="BT1518" s="591"/>
      <c r="BU1518" s="2"/>
      <c r="BV1518" s="2"/>
    </row>
    <row r="1519" spans="70:74" ht="27" customHeight="1" x14ac:dyDescent="0.25">
      <c r="BR1519" s="591"/>
      <c r="BS1519" s="591"/>
      <c r="BT1519" s="591"/>
      <c r="BU1519" s="2"/>
      <c r="BV1519" s="2"/>
    </row>
    <row r="1520" spans="70:74" ht="27" customHeight="1" x14ac:dyDescent="0.25">
      <c r="BR1520" s="591"/>
      <c r="BS1520" s="591"/>
      <c r="BT1520" s="591"/>
      <c r="BU1520" s="2"/>
      <c r="BV1520" s="2"/>
    </row>
    <row r="1521" spans="70:74" ht="27" customHeight="1" x14ac:dyDescent="0.25">
      <c r="BR1521" s="591"/>
      <c r="BS1521" s="591"/>
      <c r="BT1521" s="591"/>
      <c r="BU1521" s="2"/>
      <c r="BV1521" s="2"/>
    </row>
    <row r="1522" spans="70:74" ht="27" customHeight="1" x14ac:dyDescent="0.25">
      <c r="BR1522" s="591"/>
      <c r="BS1522" s="591"/>
      <c r="BT1522" s="591"/>
      <c r="BU1522" s="2"/>
      <c r="BV1522" s="2"/>
    </row>
    <row r="1523" spans="70:74" ht="27" customHeight="1" x14ac:dyDescent="0.25">
      <c r="BR1523" s="591"/>
      <c r="BS1523" s="591"/>
      <c r="BT1523" s="591"/>
      <c r="BU1523" s="2"/>
      <c r="BV1523" s="2"/>
    </row>
    <row r="1524" spans="70:74" ht="27" customHeight="1" x14ac:dyDescent="0.25">
      <c r="BR1524" s="591"/>
      <c r="BS1524" s="591"/>
      <c r="BT1524" s="591"/>
      <c r="BU1524" s="2"/>
      <c r="BV1524" s="2"/>
    </row>
    <row r="1525" spans="70:74" ht="27" customHeight="1" x14ac:dyDescent="0.25">
      <c r="BR1525" s="591"/>
      <c r="BS1525" s="591"/>
      <c r="BT1525" s="591"/>
      <c r="BU1525" s="2"/>
      <c r="BV1525" s="2"/>
    </row>
    <row r="1526" spans="70:74" ht="27" customHeight="1" x14ac:dyDescent="0.25">
      <c r="BR1526" s="591"/>
      <c r="BS1526" s="591"/>
      <c r="BT1526" s="591"/>
      <c r="BU1526" s="2"/>
      <c r="BV1526" s="2"/>
    </row>
    <row r="1527" spans="70:74" ht="27" customHeight="1" x14ac:dyDescent="0.25">
      <c r="BR1527" s="591"/>
      <c r="BS1527" s="591"/>
      <c r="BT1527" s="591"/>
      <c r="BU1527" s="2"/>
      <c r="BV1527" s="2"/>
    </row>
    <row r="1528" spans="70:74" ht="27" customHeight="1" x14ac:dyDescent="0.25">
      <c r="BR1528" s="591"/>
      <c r="BS1528" s="591"/>
      <c r="BT1528" s="591"/>
      <c r="BU1528" s="2"/>
      <c r="BV1528" s="2"/>
    </row>
    <row r="1529" spans="70:74" ht="27" customHeight="1" x14ac:dyDescent="0.25">
      <c r="BR1529" s="591"/>
      <c r="BS1529" s="591"/>
      <c r="BT1529" s="591"/>
      <c r="BU1529" s="2"/>
      <c r="BV1529" s="2"/>
    </row>
    <row r="1530" spans="70:74" ht="27" customHeight="1" x14ac:dyDescent="0.25">
      <c r="BR1530" s="591"/>
      <c r="BS1530" s="591"/>
      <c r="BT1530" s="591"/>
      <c r="BU1530" s="2"/>
      <c r="BV1530" s="2"/>
    </row>
    <row r="1531" spans="70:74" ht="27" customHeight="1" x14ac:dyDescent="0.25">
      <c r="BR1531" s="591"/>
      <c r="BS1531" s="591"/>
      <c r="BT1531" s="591"/>
      <c r="BU1531" s="2"/>
      <c r="BV1531" s="2"/>
    </row>
    <row r="1532" spans="70:74" ht="27" customHeight="1" x14ac:dyDescent="0.25">
      <c r="BR1532" s="591"/>
      <c r="BS1532" s="591"/>
      <c r="BT1532" s="591"/>
      <c r="BU1532" s="2"/>
      <c r="BV1532" s="2"/>
    </row>
    <row r="1533" spans="70:74" ht="27" customHeight="1" x14ac:dyDescent="0.25">
      <c r="BR1533" s="591"/>
      <c r="BS1533" s="591"/>
      <c r="BT1533" s="591"/>
      <c r="BU1533" s="2"/>
      <c r="BV1533" s="2"/>
    </row>
    <row r="1534" spans="70:74" ht="27" customHeight="1" x14ac:dyDescent="0.25">
      <c r="BR1534" s="591"/>
      <c r="BS1534" s="591"/>
      <c r="BT1534" s="591"/>
      <c r="BU1534" s="2"/>
      <c r="BV1534" s="2"/>
    </row>
    <row r="1535" spans="70:74" ht="27" customHeight="1" x14ac:dyDescent="0.25">
      <c r="BR1535" s="591"/>
      <c r="BS1535" s="591"/>
      <c r="BT1535" s="591"/>
      <c r="BU1535" s="2"/>
      <c r="BV1535" s="2"/>
    </row>
    <row r="1536" spans="70:74" ht="27" customHeight="1" x14ac:dyDescent="0.25">
      <c r="BR1536" s="591"/>
      <c r="BS1536" s="591"/>
      <c r="BT1536" s="591"/>
      <c r="BU1536" s="2"/>
      <c r="BV1536" s="2"/>
    </row>
    <row r="1537" spans="70:74" ht="27" customHeight="1" x14ac:dyDescent="0.25">
      <c r="BR1537" s="591"/>
      <c r="BS1537" s="591"/>
      <c r="BT1537" s="591"/>
      <c r="BU1537" s="2"/>
      <c r="BV1537" s="2"/>
    </row>
    <row r="1538" spans="70:74" ht="27" customHeight="1" x14ac:dyDescent="0.25">
      <c r="BR1538" s="591"/>
      <c r="BS1538" s="591"/>
      <c r="BT1538" s="591"/>
      <c r="BU1538" s="2"/>
      <c r="BV1538" s="2"/>
    </row>
    <row r="1539" spans="70:74" ht="27" customHeight="1" x14ac:dyDescent="0.25">
      <c r="BR1539" s="591"/>
      <c r="BS1539" s="591"/>
      <c r="BT1539" s="591"/>
      <c r="BU1539" s="2"/>
      <c r="BV1539" s="2"/>
    </row>
    <row r="1540" spans="70:74" ht="27" customHeight="1" x14ac:dyDescent="0.25">
      <c r="BR1540" s="591"/>
      <c r="BS1540" s="591"/>
      <c r="BT1540" s="591"/>
      <c r="BU1540" s="2"/>
      <c r="BV1540" s="2"/>
    </row>
    <row r="1541" spans="70:74" ht="27" customHeight="1" x14ac:dyDescent="0.25">
      <c r="BR1541" s="591"/>
      <c r="BS1541" s="591"/>
      <c r="BT1541" s="591"/>
      <c r="BU1541" s="2"/>
      <c r="BV1541" s="2"/>
    </row>
    <row r="1542" spans="70:74" ht="27" customHeight="1" x14ac:dyDescent="0.25">
      <c r="BR1542" s="591"/>
      <c r="BS1542" s="591"/>
      <c r="BT1542" s="591"/>
      <c r="BU1542" s="2"/>
      <c r="BV1542" s="2"/>
    </row>
    <row r="1543" spans="70:74" ht="27" customHeight="1" x14ac:dyDescent="0.25">
      <c r="BR1543" s="591"/>
      <c r="BS1543" s="591"/>
      <c r="BT1543" s="591"/>
      <c r="BU1543" s="2"/>
      <c r="BV1543" s="2"/>
    </row>
    <row r="1544" spans="70:74" ht="27" customHeight="1" x14ac:dyDescent="0.25">
      <c r="BR1544" s="591"/>
      <c r="BS1544" s="591"/>
      <c r="BT1544" s="591"/>
      <c r="BU1544" s="2"/>
      <c r="BV1544" s="2"/>
    </row>
    <row r="1545" spans="70:74" ht="27" customHeight="1" x14ac:dyDescent="0.25">
      <c r="BR1545" s="591"/>
      <c r="BS1545" s="591"/>
      <c r="BT1545" s="591"/>
      <c r="BU1545" s="2"/>
      <c r="BV1545" s="2"/>
    </row>
    <row r="1546" spans="70:74" ht="27" customHeight="1" x14ac:dyDescent="0.25">
      <c r="BR1546" s="591"/>
      <c r="BS1546" s="591"/>
      <c r="BT1546" s="591"/>
      <c r="BU1546" s="2"/>
      <c r="BV1546" s="2"/>
    </row>
    <row r="1547" spans="70:74" ht="27" customHeight="1" x14ac:dyDescent="0.25">
      <c r="BR1547" s="591"/>
      <c r="BS1547" s="591"/>
      <c r="BT1547" s="591"/>
      <c r="BU1547" s="2"/>
      <c r="BV1547" s="2"/>
    </row>
    <row r="1548" spans="70:74" ht="27" customHeight="1" x14ac:dyDescent="0.25">
      <c r="BR1548" s="591"/>
      <c r="BS1548" s="591"/>
      <c r="BT1548" s="591"/>
      <c r="BU1548" s="2"/>
      <c r="BV1548" s="2"/>
    </row>
    <row r="1549" spans="70:74" ht="27" customHeight="1" x14ac:dyDescent="0.25">
      <c r="BR1549" s="591"/>
      <c r="BS1549" s="591"/>
      <c r="BT1549" s="591"/>
      <c r="BU1549" s="2"/>
      <c r="BV1549" s="2"/>
    </row>
    <row r="1550" spans="70:74" ht="27" customHeight="1" x14ac:dyDescent="0.25">
      <c r="BR1550" s="591"/>
      <c r="BS1550" s="591"/>
      <c r="BT1550" s="591"/>
      <c r="BU1550" s="2"/>
      <c r="BV1550" s="2"/>
    </row>
    <row r="1551" spans="70:74" ht="27" customHeight="1" x14ac:dyDescent="0.25">
      <c r="BR1551" s="591"/>
      <c r="BS1551" s="591"/>
      <c r="BT1551" s="591"/>
      <c r="BU1551" s="2"/>
      <c r="BV1551" s="2"/>
    </row>
    <row r="1552" spans="70:74" ht="27" customHeight="1" x14ac:dyDescent="0.25">
      <c r="BR1552" s="591"/>
      <c r="BS1552" s="591"/>
      <c r="BT1552" s="591"/>
      <c r="BU1552" s="2"/>
      <c r="BV1552" s="2"/>
    </row>
    <row r="1553" spans="70:74" ht="27" customHeight="1" x14ac:dyDescent="0.25">
      <c r="BR1553" s="591"/>
      <c r="BS1553" s="591"/>
      <c r="BT1553" s="591"/>
      <c r="BU1553" s="2"/>
      <c r="BV1553" s="2"/>
    </row>
    <row r="1554" spans="70:74" ht="27" customHeight="1" x14ac:dyDescent="0.25">
      <c r="BR1554" s="591"/>
      <c r="BS1554" s="591"/>
      <c r="BT1554" s="591"/>
      <c r="BU1554" s="2"/>
      <c r="BV1554" s="2"/>
    </row>
    <row r="1555" spans="70:74" ht="27" customHeight="1" x14ac:dyDescent="0.25">
      <c r="BR1555" s="591"/>
      <c r="BS1555" s="591"/>
      <c r="BT1555" s="591"/>
      <c r="BU1555" s="2"/>
      <c r="BV1555" s="2"/>
    </row>
    <row r="1556" spans="70:74" ht="27" customHeight="1" x14ac:dyDescent="0.25">
      <c r="BR1556" s="591"/>
      <c r="BS1556" s="591"/>
      <c r="BT1556" s="591"/>
      <c r="BU1556" s="2"/>
      <c r="BV1556" s="2"/>
    </row>
    <row r="1557" spans="70:74" ht="27" customHeight="1" x14ac:dyDescent="0.25">
      <c r="BR1557" s="591"/>
      <c r="BS1557" s="591"/>
      <c r="BT1557" s="591"/>
      <c r="BU1557" s="2"/>
      <c r="BV1557" s="2"/>
    </row>
    <row r="1558" spans="70:74" ht="27" customHeight="1" x14ac:dyDescent="0.25">
      <c r="BR1558" s="591"/>
      <c r="BS1558" s="591"/>
      <c r="BT1558" s="591"/>
      <c r="BU1558" s="2"/>
      <c r="BV1558" s="2"/>
    </row>
    <row r="1559" spans="70:74" ht="27" customHeight="1" x14ac:dyDescent="0.25">
      <c r="BR1559" s="591"/>
      <c r="BS1559" s="591"/>
      <c r="BT1559" s="591"/>
      <c r="BU1559" s="2"/>
      <c r="BV1559" s="2"/>
    </row>
    <row r="1560" spans="70:74" ht="27" customHeight="1" x14ac:dyDescent="0.25">
      <c r="BR1560" s="591"/>
      <c r="BS1560" s="591"/>
      <c r="BT1560" s="591"/>
      <c r="BU1560" s="2"/>
      <c r="BV1560" s="2"/>
    </row>
    <row r="1561" spans="70:74" ht="27" customHeight="1" x14ac:dyDescent="0.25">
      <c r="BR1561" s="591"/>
      <c r="BS1561" s="591"/>
      <c r="BT1561" s="591"/>
      <c r="BU1561" s="2"/>
      <c r="BV1561" s="2"/>
    </row>
    <row r="1562" spans="70:74" ht="27" customHeight="1" x14ac:dyDescent="0.25">
      <c r="BR1562" s="591"/>
      <c r="BS1562" s="591"/>
      <c r="BT1562" s="591"/>
      <c r="BU1562" s="2"/>
      <c r="BV1562" s="2"/>
    </row>
    <row r="1563" spans="70:74" ht="27" customHeight="1" x14ac:dyDescent="0.25">
      <c r="BR1563" s="591"/>
      <c r="BS1563" s="591"/>
      <c r="BT1563" s="591"/>
      <c r="BU1563" s="2"/>
      <c r="BV1563" s="2"/>
    </row>
    <row r="1564" spans="70:74" ht="27" customHeight="1" x14ac:dyDescent="0.25">
      <c r="BR1564" s="591"/>
      <c r="BS1564" s="591"/>
      <c r="BT1564" s="591"/>
      <c r="BU1564" s="2"/>
      <c r="BV1564" s="2"/>
    </row>
    <row r="1565" spans="70:74" ht="27" customHeight="1" x14ac:dyDescent="0.25">
      <c r="BR1565" s="591"/>
      <c r="BS1565" s="591"/>
      <c r="BT1565" s="591"/>
      <c r="BU1565" s="2"/>
      <c r="BV1565" s="2"/>
    </row>
    <row r="1566" spans="70:74" ht="27" customHeight="1" x14ac:dyDescent="0.25">
      <c r="BR1566" s="591"/>
      <c r="BS1566" s="591"/>
      <c r="BT1566" s="591"/>
      <c r="BU1566" s="2"/>
      <c r="BV1566" s="2"/>
    </row>
    <row r="1567" spans="70:74" ht="27" customHeight="1" x14ac:dyDescent="0.25">
      <c r="BR1567" s="591"/>
      <c r="BS1567" s="591"/>
      <c r="BT1567" s="591"/>
      <c r="BU1567" s="2"/>
      <c r="BV1567" s="2"/>
    </row>
    <row r="1568" spans="70:74" ht="27" customHeight="1" x14ac:dyDescent="0.25">
      <c r="BR1568" s="591"/>
      <c r="BS1568" s="591"/>
      <c r="BT1568" s="591"/>
      <c r="BU1568" s="2"/>
      <c r="BV1568" s="2"/>
    </row>
    <row r="1569" spans="70:74" ht="27" customHeight="1" x14ac:dyDescent="0.25">
      <c r="BR1569" s="591"/>
      <c r="BS1569" s="591"/>
      <c r="BT1569" s="591"/>
      <c r="BU1569" s="2"/>
      <c r="BV1569" s="2"/>
    </row>
    <row r="1570" spans="70:74" ht="27" customHeight="1" x14ac:dyDescent="0.25">
      <c r="BR1570" s="591"/>
      <c r="BS1570" s="591"/>
      <c r="BT1570" s="591"/>
      <c r="BU1570" s="2"/>
      <c r="BV1570" s="2"/>
    </row>
    <row r="1571" spans="70:74" ht="27" customHeight="1" x14ac:dyDescent="0.25">
      <c r="BR1571" s="591"/>
      <c r="BS1571" s="591"/>
      <c r="BT1571" s="591"/>
      <c r="BU1571" s="2"/>
      <c r="BV1571" s="2"/>
    </row>
    <row r="1572" spans="70:74" ht="27" customHeight="1" x14ac:dyDescent="0.25">
      <c r="BR1572" s="591"/>
      <c r="BS1572" s="591"/>
      <c r="BT1572" s="591"/>
      <c r="BU1572" s="2"/>
      <c r="BV1572" s="2"/>
    </row>
    <row r="1573" spans="70:74" ht="27" customHeight="1" x14ac:dyDescent="0.25">
      <c r="BR1573" s="591"/>
      <c r="BS1573" s="591"/>
      <c r="BT1573" s="591"/>
      <c r="BU1573" s="2"/>
      <c r="BV1573" s="2"/>
    </row>
    <row r="1574" spans="70:74" ht="27" customHeight="1" x14ac:dyDescent="0.25">
      <c r="BR1574" s="591"/>
      <c r="BS1574" s="591"/>
      <c r="BT1574" s="591"/>
      <c r="BU1574" s="2"/>
      <c r="BV1574" s="2"/>
    </row>
    <row r="1575" spans="70:74" ht="27" customHeight="1" x14ac:dyDescent="0.25">
      <c r="BR1575" s="591"/>
      <c r="BS1575" s="591"/>
      <c r="BT1575" s="591"/>
      <c r="BU1575" s="2"/>
      <c r="BV1575" s="2"/>
    </row>
    <row r="1576" spans="70:74" ht="27" customHeight="1" x14ac:dyDescent="0.25">
      <c r="BR1576" s="591"/>
      <c r="BS1576" s="591"/>
      <c r="BT1576" s="591"/>
      <c r="BU1576" s="2"/>
      <c r="BV1576" s="2"/>
    </row>
    <row r="1577" spans="70:74" ht="27" customHeight="1" x14ac:dyDescent="0.25">
      <c r="BR1577" s="591"/>
      <c r="BS1577" s="591"/>
      <c r="BT1577" s="591"/>
      <c r="BU1577" s="2"/>
      <c r="BV1577" s="2"/>
    </row>
    <row r="1578" spans="70:74" ht="27" customHeight="1" x14ac:dyDescent="0.25">
      <c r="BR1578" s="591"/>
      <c r="BS1578" s="591"/>
      <c r="BT1578" s="591"/>
      <c r="BU1578" s="2"/>
      <c r="BV1578" s="2"/>
    </row>
    <row r="1579" spans="70:74" ht="27" customHeight="1" x14ac:dyDescent="0.25">
      <c r="BR1579" s="591"/>
      <c r="BS1579" s="591"/>
      <c r="BT1579" s="591"/>
      <c r="BU1579" s="2"/>
      <c r="BV1579" s="2"/>
    </row>
    <row r="1580" spans="70:74" ht="27" customHeight="1" x14ac:dyDescent="0.25">
      <c r="BR1580" s="591"/>
      <c r="BS1580" s="591"/>
      <c r="BT1580" s="591"/>
      <c r="BU1580" s="2"/>
      <c r="BV1580" s="2"/>
    </row>
    <row r="1581" spans="70:74" ht="27" customHeight="1" x14ac:dyDescent="0.25">
      <c r="BR1581" s="591"/>
      <c r="BS1581" s="591"/>
      <c r="BT1581" s="591"/>
      <c r="BU1581" s="2"/>
      <c r="BV1581" s="2"/>
    </row>
    <row r="1582" spans="70:74" ht="27" customHeight="1" x14ac:dyDescent="0.25">
      <c r="BR1582" s="591"/>
      <c r="BS1582" s="591"/>
      <c r="BT1582" s="591"/>
      <c r="BU1582" s="2"/>
      <c r="BV1582" s="2"/>
    </row>
    <row r="1583" spans="70:74" ht="27" customHeight="1" x14ac:dyDescent="0.25">
      <c r="BR1583" s="591"/>
      <c r="BS1583" s="591"/>
      <c r="BT1583" s="591"/>
      <c r="BU1583" s="2"/>
      <c r="BV1583" s="2"/>
    </row>
    <row r="1584" spans="70:74" ht="27" customHeight="1" x14ac:dyDescent="0.25">
      <c r="BR1584" s="591"/>
      <c r="BS1584" s="591"/>
      <c r="BT1584" s="591"/>
      <c r="BU1584" s="2"/>
      <c r="BV1584" s="2"/>
    </row>
    <row r="1585" spans="70:74" ht="27" customHeight="1" x14ac:dyDescent="0.25">
      <c r="BR1585" s="591"/>
      <c r="BS1585" s="591"/>
      <c r="BT1585" s="591"/>
      <c r="BU1585" s="2"/>
      <c r="BV1585" s="2"/>
    </row>
    <row r="1586" spans="70:74" ht="27" customHeight="1" x14ac:dyDescent="0.25">
      <c r="BR1586" s="591"/>
      <c r="BS1586" s="591"/>
      <c r="BT1586" s="591"/>
      <c r="BU1586" s="2"/>
      <c r="BV1586" s="2"/>
    </row>
    <row r="1587" spans="70:74" ht="27" customHeight="1" x14ac:dyDescent="0.25">
      <c r="BR1587" s="591"/>
      <c r="BS1587" s="591"/>
      <c r="BT1587" s="591"/>
      <c r="BU1587" s="2"/>
      <c r="BV1587" s="2"/>
    </row>
    <row r="1588" spans="70:74" ht="27" customHeight="1" x14ac:dyDescent="0.25">
      <c r="BR1588" s="591"/>
      <c r="BS1588" s="591"/>
      <c r="BT1588" s="591"/>
      <c r="BU1588" s="2"/>
      <c r="BV1588" s="2"/>
    </row>
    <row r="1589" spans="70:74" ht="27" customHeight="1" x14ac:dyDescent="0.25">
      <c r="BR1589" s="591"/>
      <c r="BS1589" s="591"/>
      <c r="BT1589" s="591"/>
      <c r="BU1589" s="2"/>
      <c r="BV1589" s="2"/>
    </row>
    <row r="1590" spans="70:74" ht="27" customHeight="1" x14ac:dyDescent="0.25">
      <c r="BR1590" s="591"/>
      <c r="BS1590" s="591"/>
      <c r="BT1590" s="591"/>
      <c r="BU1590" s="2"/>
      <c r="BV1590" s="2"/>
    </row>
    <row r="1591" spans="70:74" ht="27" customHeight="1" x14ac:dyDescent="0.25">
      <c r="BR1591" s="591"/>
      <c r="BS1591" s="591"/>
      <c r="BT1591" s="591"/>
      <c r="BU1591" s="2"/>
      <c r="BV1591" s="2"/>
    </row>
    <row r="1592" spans="70:74" ht="27" customHeight="1" x14ac:dyDescent="0.25">
      <c r="BR1592" s="591"/>
      <c r="BS1592" s="591"/>
      <c r="BT1592" s="591"/>
      <c r="BU1592" s="2"/>
      <c r="BV1592" s="2"/>
    </row>
    <row r="1593" spans="70:74" ht="27" customHeight="1" x14ac:dyDescent="0.25">
      <c r="BR1593" s="591"/>
      <c r="BS1593" s="591"/>
      <c r="BT1593" s="591"/>
      <c r="BU1593" s="2"/>
      <c r="BV1593" s="2"/>
    </row>
    <row r="1594" spans="70:74" ht="27" customHeight="1" x14ac:dyDescent="0.25">
      <c r="BR1594" s="591"/>
      <c r="BS1594" s="591"/>
      <c r="BT1594" s="591"/>
      <c r="BU1594" s="2"/>
      <c r="BV1594" s="2"/>
    </row>
    <row r="1595" spans="70:74" ht="27" customHeight="1" x14ac:dyDescent="0.25">
      <c r="BR1595" s="591"/>
      <c r="BS1595" s="591"/>
      <c r="BT1595" s="591"/>
      <c r="BU1595" s="2"/>
      <c r="BV1595" s="2"/>
    </row>
    <row r="1596" spans="70:74" ht="27" customHeight="1" x14ac:dyDescent="0.25">
      <c r="BR1596" s="591"/>
      <c r="BS1596" s="591"/>
      <c r="BT1596" s="591"/>
      <c r="BU1596" s="2"/>
      <c r="BV1596" s="2"/>
    </row>
    <row r="1597" spans="70:74" ht="27" customHeight="1" x14ac:dyDescent="0.25">
      <c r="BR1597" s="591"/>
      <c r="BS1597" s="591"/>
      <c r="BT1597" s="591"/>
      <c r="BU1597" s="2"/>
      <c r="BV1597" s="2"/>
    </row>
    <row r="1598" spans="70:74" ht="27" customHeight="1" x14ac:dyDescent="0.25">
      <c r="BR1598" s="591"/>
      <c r="BS1598" s="591"/>
      <c r="BT1598" s="591"/>
      <c r="BU1598" s="2"/>
      <c r="BV1598" s="2"/>
    </row>
    <row r="1599" spans="70:74" ht="27" customHeight="1" x14ac:dyDescent="0.25">
      <c r="BR1599" s="591"/>
      <c r="BS1599" s="591"/>
      <c r="BT1599" s="591"/>
      <c r="BU1599" s="2"/>
      <c r="BV1599" s="2"/>
    </row>
    <row r="1600" spans="70:74" ht="27" customHeight="1" x14ac:dyDescent="0.25">
      <c r="BR1600" s="591"/>
      <c r="BS1600" s="591"/>
      <c r="BT1600" s="591"/>
      <c r="BU1600" s="2"/>
      <c r="BV1600" s="2"/>
    </row>
    <row r="1601" spans="70:74" ht="27" customHeight="1" x14ac:dyDescent="0.25">
      <c r="BR1601" s="591"/>
      <c r="BS1601" s="591"/>
      <c r="BT1601" s="591"/>
      <c r="BU1601" s="2"/>
      <c r="BV1601" s="2"/>
    </row>
    <row r="1602" spans="70:74" ht="27" customHeight="1" x14ac:dyDescent="0.25">
      <c r="BR1602" s="591"/>
      <c r="BS1602" s="591"/>
      <c r="BT1602" s="591"/>
      <c r="BU1602" s="2"/>
      <c r="BV1602" s="2"/>
    </row>
    <row r="1603" spans="70:74" ht="27" customHeight="1" x14ac:dyDescent="0.25">
      <c r="BR1603" s="591"/>
      <c r="BS1603" s="591"/>
      <c r="BT1603" s="591"/>
      <c r="BU1603" s="2"/>
      <c r="BV1603" s="2"/>
    </row>
    <row r="1604" spans="70:74" ht="27" customHeight="1" x14ac:dyDescent="0.25">
      <c r="BR1604" s="591"/>
      <c r="BS1604" s="591"/>
      <c r="BT1604" s="591"/>
      <c r="BU1604" s="2"/>
      <c r="BV1604" s="2"/>
    </row>
    <row r="1605" spans="70:74" ht="27" customHeight="1" x14ac:dyDescent="0.25">
      <c r="BR1605" s="591"/>
      <c r="BS1605" s="591"/>
      <c r="BT1605" s="591"/>
      <c r="BU1605" s="2"/>
      <c r="BV1605" s="2"/>
    </row>
    <row r="1606" spans="70:74" ht="27" customHeight="1" x14ac:dyDescent="0.25">
      <c r="BR1606" s="591"/>
      <c r="BS1606" s="591"/>
      <c r="BT1606" s="591"/>
      <c r="BU1606" s="2"/>
      <c r="BV1606" s="2"/>
    </row>
    <row r="1607" spans="70:74" ht="27" customHeight="1" x14ac:dyDescent="0.25">
      <c r="BR1607" s="591"/>
      <c r="BS1607" s="591"/>
      <c r="BT1607" s="591"/>
      <c r="BU1607" s="2"/>
      <c r="BV1607" s="2"/>
    </row>
    <row r="1608" spans="70:74" ht="27" customHeight="1" x14ac:dyDescent="0.25">
      <c r="BR1608" s="591"/>
      <c r="BS1608" s="591"/>
      <c r="BT1608" s="591"/>
      <c r="BU1608" s="2"/>
      <c r="BV1608" s="2"/>
    </row>
    <row r="1609" spans="70:74" ht="27" customHeight="1" x14ac:dyDescent="0.25">
      <c r="BR1609" s="591"/>
      <c r="BS1609" s="591"/>
      <c r="BT1609" s="591"/>
      <c r="BU1609" s="2"/>
      <c r="BV1609" s="2"/>
    </row>
    <row r="1610" spans="70:74" ht="27" customHeight="1" x14ac:dyDescent="0.25">
      <c r="BR1610" s="591"/>
      <c r="BS1610" s="591"/>
      <c r="BT1610" s="591"/>
      <c r="BU1610" s="2"/>
      <c r="BV1610" s="2"/>
    </row>
    <row r="1611" spans="70:74" ht="27" customHeight="1" x14ac:dyDescent="0.25">
      <c r="BR1611" s="591"/>
      <c r="BS1611" s="591"/>
      <c r="BT1611" s="591"/>
      <c r="BU1611" s="2"/>
      <c r="BV1611" s="2"/>
    </row>
    <row r="1612" spans="70:74" ht="27" customHeight="1" x14ac:dyDescent="0.25">
      <c r="BR1612" s="591"/>
      <c r="BS1612" s="591"/>
      <c r="BT1612" s="591"/>
      <c r="BU1612" s="2"/>
      <c r="BV1612" s="2"/>
    </row>
    <row r="1613" spans="70:74" ht="27" customHeight="1" x14ac:dyDescent="0.25">
      <c r="BR1613" s="591"/>
      <c r="BS1613" s="591"/>
      <c r="BT1613" s="591"/>
      <c r="BU1613" s="2"/>
      <c r="BV1613" s="2"/>
    </row>
    <row r="1614" spans="70:74" ht="27" customHeight="1" x14ac:dyDescent="0.25">
      <c r="BR1614" s="591"/>
      <c r="BS1614" s="591"/>
      <c r="BT1614" s="591"/>
      <c r="BU1614" s="2"/>
      <c r="BV1614" s="2"/>
    </row>
    <row r="1615" spans="70:74" ht="27" customHeight="1" x14ac:dyDescent="0.25">
      <c r="BR1615" s="591"/>
      <c r="BS1615" s="591"/>
      <c r="BT1615" s="591"/>
      <c r="BU1615" s="2"/>
      <c r="BV1615" s="2"/>
    </row>
    <row r="1616" spans="70:74" ht="27" customHeight="1" x14ac:dyDescent="0.25">
      <c r="BR1616" s="591"/>
      <c r="BS1616" s="591"/>
      <c r="BT1616" s="591"/>
      <c r="BU1616" s="2"/>
      <c r="BV1616" s="2"/>
    </row>
    <row r="1617" spans="70:74" ht="27" customHeight="1" x14ac:dyDescent="0.25">
      <c r="BR1617" s="591"/>
      <c r="BS1617" s="591"/>
      <c r="BT1617" s="591"/>
      <c r="BU1617" s="2"/>
      <c r="BV1617" s="2"/>
    </row>
    <row r="1618" spans="70:74" ht="27" customHeight="1" x14ac:dyDescent="0.25">
      <c r="BR1618" s="591"/>
      <c r="BS1618" s="591"/>
      <c r="BT1618" s="591"/>
      <c r="BU1618" s="2"/>
      <c r="BV1618" s="2"/>
    </row>
    <row r="1619" spans="70:74" ht="27" customHeight="1" x14ac:dyDescent="0.25">
      <c r="BR1619" s="591"/>
      <c r="BS1619" s="591"/>
      <c r="BT1619" s="591"/>
      <c r="BU1619" s="2"/>
      <c r="BV1619" s="2"/>
    </row>
    <row r="1620" spans="70:74" ht="27" customHeight="1" x14ac:dyDescent="0.25">
      <c r="BR1620" s="591"/>
      <c r="BS1620" s="591"/>
      <c r="BT1620" s="591"/>
      <c r="BU1620" s="2"/>
      <c r="BV1620" s="2"/>
    </row>
    <row r="1621" spans="70:74" ht="27" customHeight="1" x14ac:dyDescent="0.25">
      <c r="BR1621" s="591"/>
      <c r="BS1621" s="591"/>
      <c r="BT1621" s="591"/>
      <c r="BU1621" s="2"/>
      <c r="BV1621" s="2"/>
    </row>
    <row r="1622" spans="70:74" ht="27" customHeight="1" x14ac:dyDescent="0.25">
      <c r="BR1622" s="591"/>
      <c r="BS1622" s="591"/>
      <c r="BT1622" s="591"/>
      <c r="BU1622" s="2"/>
      <c r="BV1622" s="2"/>
    </row>
    <row r="1623" spans="70:74" ht="27" customHeight="1" x14ac:dyDescent="0.25">
      <c r="BR1623" s="591"/>
      <c r="BS1623" s="591"/>
      <c r="BT1623" s="591"/>
      <c r="BU1623" s="2"/>
      <c r="BV1623" s="2"/>
    </row>
    <row r="1624" spans="70:74" ht="27" customHeight="1" x14ac:dyDescent="0.25">
      <c r="BR1624" s="591"/>
      <c r="BS1624" s="591"/>
      <c r="BT1624" s="591"/>
      <c r="BU1624" s="2"/>
      <c r="BV1624" s="2"/>
    </row>
    <row r="1625" spans="70:74" ht="27" customHeight="1" x14ac:dyDescent="0.25">
      <c r="BR1625" s="591"/>
      <c r="BS1625" s="591"/>
      <c r="BT1625" s="591"/>
      <c r="BU1625" s="2"/>
      <c r="BV1625" s="2"/>
    </row>
    <row r="1626" spans="70:74" ht="27" customHeight="1" x14ac:dyDescent="0.25">
      <c r="BR1626" s="591"/>
      <c r="BS1626" s="591"/>
      <c r="BT1626" s="591"/>
      <c r="BU1626" s="2"/>
      <c r="BV1626" s="2"/>
    </row>
    <row r="1627" spans="70:74" ht="27" customHeight="1" x14ac:dyDescent="0.25">
      <c r="BR1627" s="591"/>
      <c r="BS1627" s="591"/>
      <c r="BT1627" s="591"/>
      <c r="BU1627" s="2"/>
      <c r="BV1627" s="2"/>
    </row>
    <row r="1628" spans="70:74" ht="27" customHeight="1" x14ac:dyDescent="0.25">
      <c r="BR1628" s="591"/>
      <c r="BS1628" s="591"/>
      <c r="BT1628" s="591"/>
      <c r="BU1628" s="2"/>
      <c r="BV1628" s="2"/>
    </row>
    <row r="1629" spans="70:74" ht="27" customHeight="1" x14ac:dyDescent="0.25">
      <c r="BR1629" s="591"/>
      <c r="BS1629" s="591"/>
      <c r="BT1629" s="591"/>
      <c r="BU1629" s="2"/>
      <c r="BV1629" s="2"/>
    </row>
    <row r="1630" spans="70:74" ht="27" customHeight="1" x14ac:dyDescent="0.25">
      <c r="BR1630" s="591"/>
      <c r="BS1630" s="591"/>
      <c r="BT1630" s="591"/>
      <c r="BU1630" s="2"/>
      <c r="BV1630" s="2"/>
    </row>
    <row r="1631" spans="70:74" ht="27" customHeight="1" x14ac:dyDescent="0.25">
      <c r="BR1631" s="591"/>
      <c r="BS1631" s="591"/>
      <c r="BT1631" s="591"/>
      <c r="BU1631" s="2"/>
      <c r="BV1631" s="2"/>
    </row>
    <row r="1632" spans="70:74" ht="27" customHeight="1" x14ac:dyDescent="0.25">
      <c r="BR1632" s="591"/>
      <c r="BS1632" s="591"/>
      <c r="BT1632" s="591"/>
      <c r="BU1632" s="2"/>
      <c r="BV1632" s="2"/>
    </row>
    <row r="1633" spans="70:74" ht="27" customHeight="1" x14ac:dyDescent="0.25">
      <c r="BR1633" s="591"/>
      <c r="BS1633" s="591"/>
      <c r="BT1633" s="591"/>
      <c r="BU1633" s="2"/>
      <c r="BV1633" s="2"/>
    </row>
    <row r="1634" spans="70:74" ht="27" customHeight="1" x14ac:dyDescent="0.25">
      <c r="BR1634" s="591"/>
      <c r="BS1634" s="591"/>
      <c r="BT1634" s="591"/>
      <c r="BU1634" s="2"/>
      <c r="BV1634" s="2"/>
    </row>
    <row r="1635" spans="70:74" ht="27" customHeight="1" x14ac:dyDescent="0.25">
      <c r="BR1635" s="591"/>
      <c r="BS1635" s="591"/>
      <c r="BT1635" s="591"/>
      <c r="BU1635" s="2"/>
      <c r="BV1635" s="2"/>
    </row>
  </sheetData>
  <sheetProtection algorithmName="SHA-512" hashValue="BzkSXFfFNelKIxmjDhkVRU8rgt7yGHVOEI6pV89uZDiNhlQLWT1glVsFrc/ZE3tAPsvW2Mju3nSdhDjLf1XgWg==" saltValue="65EcqcDguULMOxoo6Yhnsw==" spinCount="100000" sheet="1" objects="1" scenarios="1"/>
  <mergeCells count="923">
    <mergeCell ref="BT77:BT79"/>
    <mergeCell ref="BU77:BU79"/>
    <mergeCell ref="BN77:BN79"/>
    <mergeCell ref="BO77:BO79"/>
    <mergeCell ref="BP77:BP79"/>
    <mergeCell ref="BQ77:BQ79"/>
    <mergeCell ref="BR77:BR79"/>
    <mergeCell ref="BS77:BS79"/>
    <mergeCell ref="BH77:BH79"/>
    <mergeCell ref="BI77:BI79"/>
    <mergeCell ref="BJ77:BJ79"/>
    <mergeCell ref="BK77:BK79"/>
    <mergeCell ref="BL77:BL79"/>
    <mergeCell ref="BM77:BM79"/>
    <mergeCell ref="BB77:BB79"/>
    <mergeCell ref="BC77:BC79"/>
    <mergeCell ref="BD77:BD79"/>
    <mergeCell ref="BE77:BE79"/>
    <mergeCell ref="BF77:BF79"/>
    <mergeCell ref="BG77:BG79"/>
    <mergeCell ref="AV77:AV79"/>
    <mergeCell ref="AW77:AW79"/>
    <mergeCell ref="AX77:AX79"/>
    <mergeCell ref="AY77:AY79"/>
    <mergeCell ref="AZ77:AZ79"/>
    <mergeCell ref="BA77:BA79"/>
    <mergeCell ref="AP77:AP79"/>
    <mergeCell ref="AQ77:AQ79"/>
    <mergeCell ref="AR77:AR79"/>
    <mergeCell ref="AS77:AS79"/>
    <mergeCell ref="AT77:AT79"/>
    <mergeCell ref="AU77:AU79"/>
    <mergeCell ref="AJ77:AJ79"/>
    <mergeCell ref="AK77:AK79"/>
    <mergeCell ref="AL77:AL79"/>
    <mergeCell ref="AM77:AM79"/>
    <mergeCell ref="AN77:AN79"/>
    <mergeCell ref="AO77:AO79"/>
    <mergeCell ref="AD77:AD79"/>
    <mergeCell ref="AE77:AE79"/>
    <mergeCell ref="AF77:AF79"/>
    <mergeCell ref="AG77:AG79"/>
    <mergeCell ref="AH77:AH79"/>
    <mergeCell ref="AI77:AI79"/>
    <mergeCell ref="BQ73:BQ75"/>
    <mergeCell ref="BR73:BR75"/>
    <mergeCell ref="BS73:BS75"/>
    <mergeCell ref="BD73:BD75"/>
    <mergeCell ref="AS73:AS75"/>
    <mergeCell ref="AT73:AT75"/>
    <mergeCell ref="AU73:AU75"/>
    <mergeCell ref="AV73:AV75"/>
    <mergeCell ref="AW73:AW75"/>
    <mergeCell ref="AX73:AX75"/>
    <mergeCell ref="AM73:AM75"/>
    <mergeCell ref="AN73:AN75"/>
    <mergeCell ref="AO73:AO75"/>
    <mergeCell ref="AP73:AP75"/>
    <mergeCell ref="AQ73:AQ75"/>
    <mergeCell ref="AR73:AR75"/>
    <mergeCell ref="AG73:AG75"/>
    <mergeCell ref="AH73:AH75"/>
    <mergeCell ref="BT73:BT75"/>
    <mergeCell ref="BU73:BU75"/>
    <mergeCell ref="Q77:Q79"/>
    <mergeCell ref="R77:R79"/>
    <mergeCell ref="T77:T79"/>
    <mergeCell ref="U77:U79"/>
    <mergeCell ref="V77:V79"/>
    <mergeCell ref="BK73:BK75"/>
    <mergeCell ref="BL73:BL75"/>
    <mergeCell ref="BM73:BM75"/>
    <mergeCell ref="BN73:BN75"/>
    <mergeCell ref="BO73:BO75"/>
    <mergeCell ref="BP73:BP75"/>
    <mergeCell ref="BE73:BE75"/>
    <mergeCell ref="BF73:BF75"/>
    <mergeCell ref="BG73:BG75"/>
    <mergeCell ref="BH73:BH75"/>
    <mergeCell ref="BI73:BI75"/>
    <mergeCell ref="BJ73:BJ75"/>
    <mergeCell ref="AY73:AY75"/>
    <mergeCell ref="AZ73:AZ75"/>
    <mergeCell ref="BA73:BA75"/>
    <mergeCell ref="BB73:BB75"/>
    <mergeCell ref="BC73:BC75"/>
    <mergeCell ref="AI73:AI75"/>
    <mergeCell ref="AJ73:AJ75"/>
    <mergeCell ref="AK73:AK75"/>
    <mergeCell ref="AL73:AL75"/>
    <mergeCell ref="BT67:BT69"/>
    <mergeCell ref="BU67:BU69"/>
    <mergeCell ref="F72:L72"/>
    <mergeCell ref="Q73:Q75"/>
    <mergeCell ref="R73:R75"/>
    <mergeCell ref="T73:T75"/>
    <mergeCell ref="U73:U75"/>
    <mergeCell ref="AD73:AD75"/>
    <mergeCell ref="AE73:AE75"/>
    <mergeCell ref="AF73:AF75"/>
    <mergeCell ref="BN67:BN69"/>
    <mergeCell ref="BO67:BO69"/>
    <mergeCell ref="BP67:BP69"/>
    <mergeCell ref="BQ67:BQ69"/>
    <mergeCell ref="BR67:BR69"/>
    <mergeCell ref="BS67:BS69"/>
    <mergeCell ref="BH67:BH69"/>
    <mergeCell ref="BI67:BI69"/>
    <mergeCell ref="BJ67:BJ69"/>
    <mergeCell ref="BK67:BK69"/>
    <mergeCell ref="BL67:BL69"/>
    <mergeCell ref="BM67:BM69"/>
    <mergeCell ref="BB67:BB69"/>
    <mergeCell ref="BC67:BC69"/>
    <mergeCell ref="BD67:BD69"/>
    <mergeCell ref="BE67:BE69"/>
    <mergeCell ref="BF67:BF69"/>
    <mergeCell ref="BG67:BG69"/>
    <mergeCell ref="AV67:AV69"/>
    <mergeCell ref="AW67:AW69"/>
    <mergeCell ref="AX67:AX69"/>
    <mergeCell ref="AY67:AY69"/>
    <mergeCell ref="AZ67:AZ69"/>
    <mergeCell ref="BA67:BA69"/>
    <mergeCell ref="AP67:AP69"/>
    <mergeCell ref="AQ67:AQ69"/>
    <mergeCell ref="AR67:AR69"/>
    <mergeCell ref="AS67:AS69"/>
    <mergeCell ref="AT67:AT69"/>
    <mergeCell ref="AU67:AU69"/>
    <mergeCell ref="AJ67:AJ69"/>
    <mergeCell ref="AK67:AK69"/>
    <mergeCell ref="AL67:AL69"/>
    <mergeCell ref="AM67:AM69"/>
    <mergeCell ref="AN67:AN69"/>
    <mergeCell ref="AO67:AO69"/>
    <mergeCell ref="AD67:AD69"/>
    <mergeCell ref="AE67:AE69"/>
    <mergeCell ref="AF67:AF69"/>
    <mergeCell ref="AG67:AG69"/>
    <mergeCell ref="AH67:AH69"/>
    <mergeCell ref="AI67:AI69"/>
    <mergeCell ref="T67:T69"/>
    <mergeCell ref="U67:U69"/>
    <mergeCell ref="V67:V69"/>
    <mergeCell ref="W67:W69"/>
    <mergeCell ref="AB67:AB68"/>
    <mergeCell ref="AC67:AC68"/>
    <mergeCell ref="N67:N69"/>
    <mergeCell ref="O67:O69"/>
    <mergeCell ref="P67:P69"/>
    <mergeCell ref="Q67:Q69"/>
    <mergeCell ref="R67:R69"/>
    <mergeCell ref="S67:S69"/>
    <mergeCell ref="BS65:BS66"/>
    <mergeCell ref="BT65:BT66"/>
    <mergeCell ref="BU65:BU66"/>
    <mergeCell ref="BO65:BO66"/>
    <mergeCell ref="BP65:BP66"/>
    <mergeCell ref="BQ65:BQ66"/>
    <mergeCell ref="BR65:BR66"/>
    <mergeCell ref="AX65:AX66"/>
    <mergeCell ref="AY65:AY66"/>
    <mergeCell ref="AZ65:AZ66"/>
    <mergeCell ref="AO65:AO66"/>
    <mergeCell ref="AP65:AP66"/>
    <mergeCell ref="AQ65:AQ66"/>
    <mergeCell ref="AR65:AR66"/>
    <mergeCell ref="AS65:AS66"/>
    <mergeCell ref="AT65:AT66"/>
    <mergeCell ref="AI65:AI66"/>
    <mergeCell ref="AJ65:AJ66"/>
    <mergeCell ref="G67:G69"/>
    <mergeCell ref="H67:H69"/>
    <mergeCell ref="I67:I69"/>
    <mergeCell ref="J67:J69"/>
    <mergeCell ref="K67:K69"/>
    <mergeCell ref="L67:L69"/>
    <mergeCell ref="M67:M69"/>
    <mergeCell ref="BM65:BM66"/>
    <mergeCell ref="BN65:BN66"/>
    <mergeCell ref="BG65:BG66"/>
    <mergeCell ref="BH65:BH66"/>
    <mergeCell ref="BI65:BI66"/>
    <mergeCell ref="BJ65:BJ66"/>
    <mergeCell ref="BK65:BK66"/>
    <mergeCell ref="BL65:BL66"/>
    <mergeCell ref="BA65:BA66"/>
    <mergeCell ref="BB65:BB66"/>
    <mergeCell ref="BC65:BC66"/>
    <mergeCell ref="BD65:BD66"/>
    <mergeCell ref="BE65:BE66"/>
    <mergeCell ref="BF65:BF66"/>
    <mergeCell ref="AU65:AU66"/>
    <mergeCell ref="AV65:AV66"/>
    <mergeCell ref="AW65:AW66"/>
    <mergeCell ref="AK65:AK66"/>
    <mergeCell ref="AL65:AL66"/>
    <mergeCell ref="AM65:AM66"/>
    <mergeCell ref="AN65:AN66"/>
    <mergeCell ref="AC65:AC66"/>
    <mergeCell ref="AD65:AD66"/>
    <mergeCell ref="AE65:AE66"/>
    <mergeCell ref="AF65:AF66"/>
    <mergeCell ref="AG65:AG66"/>
    <mergeCell ref="AH65:AH66"/>
    <mergeCell ref="S65:S66"/>
    <mergeCell ref="T65:T66"/>
    <mergeCell ref="U65:U66"/>
    <mergeCell ref="V65:V66"/>
    <mergeCell ref="W65:W66"/>
    <mergeCell ref="AB65:AB66"/>
    <mergeCell ref="M65:M66"/>
    <mergeCell ref="N65:N66"/>
    <mergeCell ref="O65:O66"/>
    <mergeCell ref="P65:P66"/>
    <mergeCell ref="Q65:Q66"/>
    <mergeCell ref="R65:R66"/>
    <mergeCell ref="G65:G66"/>
    <mergeCell ref="H65:H66"/>
    <mergeCell ref="I65:I66"/>
    <mergeCell ref="J65:J66"/>
    <mergeCell ref="K65:K66"/>
    <mergeCell ref="L65:L66"/>
    <mergeCell ref="BU57:BU64"/>
    <mergeCell ref="G61:G63"/>
    <mergeCell ref="H61:H63"/>
    <mergeCell ref="I61:I63"/>
    <mergeCell ref="J61:J63"/>
    <mergeCell ref="K61:K63"/>
    <mergeCell ref="L61:L63"/>
    <mergeCell ref="M61:M63"/>
    <mergeCell ref="N61:N63"/>
    <mergeCell ref="O61:O63"/>
    <mergeCell ref="BO57:BO64"/>
    <mergeCell ref="BP57:BP64"/>
    <mergeCell ref="BQ57:BQ64"/>
    <mergeCell ref="BR57:BR64"/>
    <mergeCell ref="BS57:BS64"/>
    <mergeCell ref="BT57:BT64"/>
    <mergeCell ref="BI57:BI64"/>
    <mergeCell ref="BJ57:BJ64"/>
    <mergeCell ref="BK57:BK64"/>
    <mergeCell ref="BL57:BL64"/>
    <mergeCell ref="BM57:BM64"/>
    <mergeCell ref="BN57:BN64"/>
    <mergeCell ref="BC57:BC64"/>
    <mergeCell ref="BD57:BD64"/>
    <mergeCell ref="BE57:BE64"/>
    <mergeCell ref="BF57:BF64"/>
    <mergeCell ref="BG57:BG64"/>
    <mergeCell ref="BH57:BH64"/>
    <mergeCell ref="AW57:AW64"/>
    <mergeCell ref="AX57:AX64"/>
    <mergeCell ref="AY57:AY64"/>
    <mergeCell ref="AZ57:AZ64"/>
    <mergeCell ref="BA57:BA64"/>
    <mergeCell ref="BB57:BB64"/>
    <mergeCell ref="AQ57:AQ64"/>
    <mergeCell ref="AR57:AR64"/>
    <mergeCell ref="AS57:AS64"/>
    <mergeCell ref="AT57:AT64"/>
    <mergeCell ref="AU57:AU64"/>
    <mergeCell ref="AV57:AV64"/>
    <mergeCell ref="AK57:AK64"/>
    <mergeCell ref="AL57:AL64"/>
    <mergeCell ref="AM57:AM64"/>
    <mergeCell ref="AN57:AN64"/>
    <mergeCell ref="AO57:AO64"/>
    <mergeCell ref="AP57:AP64"/>
    <mergeCell ref="AE57:AE64"/>
    <mergeCell ref="AF57:AF64"/>
    <mergeCell ref="AG57:AG64"/>
    <mergeCell ref="AH57:AH64"/>
    <mergeCell ref="AI57:AI64"/>
    <mergeCell ref="AJ57:AJ64"/>
    <mergeCell ref="S57:S59"/>
    <mergeCell ref="T57:T64"/>
    <mergeCell ref="U57:U64"/>
    <mergeCell ref="V57:V64"/>
    <mergeCell ref="W57:W59"/>
    <mergeCell ref="AD57:AD64"/>
    <mergeCell ref="S61:S63"/>
    <mergeCell ref="W61:W63"/>
    <mergeCell ref="M57:M59"/>
    <mergeCell ref="N57:N59"/>
    <mergeCell ref="O57:O59"/>
    <mergeCell ref="P57:P59"/>
    <mergeCell ref="Q57:Q64"/>
    <mergeCell ref="R57:R64"/>
    <mergeCell ref="P61:P63"/>
    <mergeCell ref="BT54:BT55"/>
    <mergeCell ref="BU54:BU55"/>
    <mergeCell ref="F56:L56"/>
    <mergeCell ref="E57:F69"/>
    <mergeCell ref="G57:G59"/>
    <mergeCell ref="H57:H59"/>
    <mergeCell ref="I57:I59"/>
    <mergeCell ref="J57:J59"/>
    <mergeCell ref="K57:K59"/>
    <mergeCell ref="L57:L59"/>
    <mergeCell ref="BN54:BN55"/>
    <mergeCell ref="BO54:BO55"/>
    <mergeCell ref="BP54:BP55"/>
    <mergeCell ref="BQ54:BQ55"/>
    <mergeCell ref="BR54:BR55"/>
    <mergeCell ref="BS54:BS55"/>
    <mergeCell ref="BH54:BH55"/>
    <mergeCell ref="BI54:BI55"/>
    <mergeCell ref="BJ54:BJ55"/>
    <mergeCell ref="BK54:BK55"/>
    <mergeCell ref="BL54:BL55"/>
    <mergeCell ref="BM54:BM55"/>
    <mergeCell ref="BB54:BB55"/>
    <mergeCell ref="BC54:BC55"/>
    <mergeCell ref="BD54:BD55"/>
    <mergeCell ref="BE54:BE55"/>
    <mergeCell ref="BF54:BF55"/>
    <mergeCell ref="BG54:BG55"/>
    <mergeCell ref="AV54:AV55"/>
    <mergeCell ref="AW54:AW55"/>
    <mergeCell ref="AX54:AX55"/>
    <mergeCell ref="AY54:AY55"/>
    <mergeCell ref="AZ54:AZ55"/>
    <mergeCell ref="BA54:BA55"/>
    <mergeCell ref="AP54:AP55"/>
    <mergeCell ref="AQ54:AQ55"/>
    <mergeCell ref="AR54:AR55"/>
    <mergeCell ref="AS54:AS55"/>
    <mergeCell ref="AT54:AT55"/>
    <mergeCell ref="AU54:AU55"/>
    <mergeCell ref="AJ54:AJ55"/>
    <mergeCell ref="AK54:AK55"/>
    <mergeCell ref="AL54:AL55"/>
    <mergeCell ref="AM54:AM55"/>
    <mergeCell ref="AN54:AN55"/>
    <mergeCell ref="AO54:AO55"/>
    <mergeCell ref="AD54:AD55"/>
    <mergeCell ref="AE54:AE55"/>
    <mergeCell ref="AF54:AF55"/>
    <mergeCell ref="AG54:AG55"/>
    <mergeCell ref="AH54:AH55"/>
    <mergeCell ref="AI54:AI55"/>
    <mergeCell ref="R54:R55"/>
    <mergeCell ref="T54:T55"/>
    <mergeCell ref="U54:U55"/>
    <mergeCell ref="V54:V55"/>
    <mergeCell ref="AB54:AB55"/>
    <mergeCell ref="AC54:AC55"/>
    <mergeCell ref="BS49:BS50"/>
    <mergeCell ref="BT49:BT50"/>
    <mergeCell ref="BU49:BU50"/>
    <mergeCell ref="B51:H51"/>
    <mergeCell ref="A52:B79"/>
    <mergeCell ref="D52:K52"/>
    <mergeCell ref="C53:D79"/>
    <mergeCell ref="F53:L53"/>
    <mergeCell ref="E54:F55"/>
    <mergeCell ref="Q54:Q55"/>
    <mergeCell ref="BM49:BM50"/>
    <mergeCell ref="BN49:BN50"/>
    <mergeCell ref="BO49:BO50"/>
    <mergeCell ref="BP49:BP50"/>
    <mergeCell ref="BQ49:BQ50"/>
    <mergeCell ref="BR49:BR50"/>
    <mergeCell ref="BG49:BG50"/>
    <mergeCell ref="BH49:BH50"/>
    <mergeCell ref="BI49:BI50"/>
    <mergeCell ref="BJ49:BJ50"/>
    <mergeCell ref="BK49:BK50"/>
    <mergeCell ref="BL49:BL50"/>
    <mergeCell ref="BA49:BA50"/>
    <mergeCell ref="BB49:BB50"/>
    <mergeCell ref="BC49:BC50"/>
    <mergeCell ref="BD49:BD50"/>
    <mergeCell ref="BE49:BE50"/>
    <mergeCell ref="BF49:BF50"/>
    <mergeCell ref="AU49:AU50"/>
    <mergeCell ref="AV49:AV50"/>
    <mergeCell ref="AW49:AW50"/>
    <mergeCell ref="AX49:AX50"/>
    <mergeCell ref="AY49:AY50"/>
    <mergeCell ref="AZ49:AZ50"/>
    <mergeCell ref="AO49:AO50"/>
    <mergeCell ref="AP49:AP50"/>
    <mergeCell ref="AQ49:AQ50"/>
    <mergeCell ref="AR49:AR50"/>
    <mergeCell ref="AS49:AS50"/>
    <mergeCell ref="AT49:AT50"/>
    <mergeCell ref="AI49:AI50"/>
    <mergeCell ref="AJ49:AJ50"/>
    <mergeCell ref="AK49:AK50"/>
    <mergeCell ref="AL49:AL50"/>
    <mergeCell ref="AM49:AM50"/>
    <mergeCell ref="AN49:AN50"/>
    <mergeCell ref="V49:V50"/>
    <mergeCell ref="AD49:AD50"/>
    <mergeCell ref="AE49:AE50"/>
    <mergeCell ref="AF49:AF50"/>
    <mergeCell ref="AG49:AG50"/>
    <mergeCell ref="AH49:AH50"/>
    <mergeCell ref="AB44:AB45"/>
    <mergeCell ref="AC44:AC45"/>
    <mergeCell ref="D47:J47"/>
    <mergeCell ref="C48:D50"/>
    <mergeCell ref="F48:L48"/>
    <mergeCell ref="E49:F50"/>
    <mergeCell ref="Q49:Q50"/>
    <mergeCell ref="R49:R50"/>
    <mergeCell ref="T49:T50"/>
    <mergeCell ref="U49:U50"/>
    <mergeCell ref="AE43:AE46"/>
    <mergeCell ref="AF43:AF46"/>
    <mergeCell ref="AG43:AG46"/>
    <mergeCell ref="AH43:AH46"/>
    <mergeCell ref="BU43:BU46"/>
    <mergeCell ref="G44:G45"/>
    <mergeCell ref="H44:H45"/>
    <mergeCell ref="I44:I45"/>
    <mergeCell ref="J44:J45"/>
    <mergeCell ref="K44:K45"/>
    <mergeCell ref="L44:L45"/>
    <mergeCell ref="M44:M45"/>
    <mergeCell ref="N44:N45"/>
    <mergeCell ref="O44:O45"/>
    <mergeCell ref="BO43:BO46"/>
    <mergeCell ref="BP43:BP46"/>
    <mergeCell ref="BQ43:BQ46"/>
    <mergeCell ref="BR43:BR46"/>
    <mergeCell ref="BS43:BS46"/>
    <mergeCell ref="BT43:BT46"/>
    <mergeCell ref="BI43:BI46"/>
    <mergeCell ref="BJ43:BJ46"/>
    <mergeCell ref="BK43:BK46"/>
    <mergeCell ref="BL43:BL46"/>
    <mergeCell ref="BM43:BM46"/>
    <mergeCell ref="BN43:BN46"/>
    <mergeCell ref="BC43:BC46"/>
    <mergeCell ref="BD43:BD46"/>
    <mergeCell ref="BE43:BE46"/>
    <mergeCell ref="BF43:BF46"/>
    <mergeCell ref="BG43:BG46"/>
    <mergeCell ref="BH43:BH46"/>
    <mergeCell ref="AW43:AW46"/>
    <mergeCell ref="AX43:AX46"/>
    <mergeCell ref="AY43:AY46"/>
    <mergeCell ref="AZ43:AZ46"/>
    <mergeCell ref="BA43:BA46"/>
    <mergeCell ref="BB43:BB46"/>
    <mergeCell ref="AQ43:AQ46"/>
    <mergeCell ref="AR43:AR46"/>
    <mergeCell ref="AS43:AS46"/>
    <mergeCell ref="AT43:AT46"/>
    <mergeCell ref="AU43:AU46"/>
    <mergeCell ref="AV43:AV46"/>
    <mergeCell ref="AK43:AK46"/>
    <mergeCell ref="AL43:AL46"/>
    <mergeCell ref="AM43:AM46"/>
    <mergeCell ref="AN43:AN46"/>
    <mergeCell ref="AO43:AO46"/>
    <mergeCell ref="AP43:AP46"/>
    <mergeCell ref="AI43:AI46"/>
    <mergeCell ref="AJ43:AJ46"/>
    <mergeCell ref="E43:F46"/>
    <mergeCell ref="Q43:Q46"/>
    <mergeCell ref="R43:R46"/>
    <mergeCell ref="T43:T46"/>
    <mergeCell ref="U43:U46"/>
    <mergeCell ref="AD43:AD46"/>
    <mergeCell ref="P44:P45"/>
    <mergeCell ref="S44:S45"/>
    <mergeCell ref="V44:V45"/>
    <mergeCell ref="W44:W45"/>
    <mergeCell ref="BQ40:BQ41"/>
    <mergeCell ref="BR40:BR41"/>
    <mergeCell ref="BS40:BS41"/>
    <mergeCell ref="BT40:BT41"/>
    <mergeCell ref="BU40:BU41"/>
    <mergeCell ref="F42:L42"/>
    <mergeCell ref="BK40:BK41"/>
    <mergeCell ref="BL40:BL41"/>
    <mergeCell ref="BM40:BM41"/>
    <mergeCell ref="BN40:BN41"/>
    <mergeCell ref="BO40:BO41"/>
    <mergeCell ref="BP40:BP41"/>
    <mergeCell ref="E40:F41"/>
    <mergeCell ref="Q40:Q41"/>
    <mergeCell ref="R40:R41"/>
    <mergeCell ref="T40:T41"/>
    <mergeCell ref="U40:U41"/>
    <mergeCell ref="BJ40:BJ41"/>
    <mergeCell ref="BU33:BU34"/>
    <mergeCell ref="F35:M35"/>
    <mergeCell ref="E36:F36"/>
    <mergeCell ref="F37:L37"/>
    <mergeCell ref="E38:F38"/>
    <mergeCell ref="F39:L39"/>
    <mergeCell ref="BO33:BO34"/>
    <mergeCell ref="BP33:BP34"/>
    <mergeCell ref="BQ33:BQ34"/>
    <mergeCell ref="BR33:BR34"/>
    <mergeCell ref="BS33:BS34"/>
    <mergeCell ref="BT33:BT34"/>
    <mergeCell ref="BI33:BI34"/>
    <mergeCell ref="BJ33:BJ34"/>
    <mergeCell ref="BK33:BK34"/>
    <mergeCell ref="BL33:BL34"/>
    <mergeCell ref="BM33:BM34"/>
    <mergeCell ref="BN33:BN34"/>
    <mergeCell ref="BC33:BC34"/>
    <mergeCell ref="BD33:BD34"/>
    <mergeCell ref="BE33:BE34"/>
    <mergeCell ref="BF33:BF34"/>
    <mergeCell ref="BG33:BG34"/>
    <mergeCell ref="BH33:BH34"/>
    <mergeCell ref="AW33:AW34"/>
    <mergeCell ref="AX33:AX34"/>
    <mergeCell ref="AY33:AY34"/>
    <mergeCell ref="AZ33:AZ34"/>
    <mergeCell ref="BA33:BA34"/>
    <mergeCell ref="BB33:BB34"/>
    <mergeCell ref="AQ33:AQ34"/>
    <mergeCell ref="AR33:AR34"/>
    <mergeCell ref="AS33:AS34"/>
    <mergeCell ref="AT33:AT34"/>
    <mergeCell ref="AU33:AU34"/>
    <mergeCell ref="AV33:AV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BS30:BS31"/>
    <mergeCell ref="BT30:BT31"/>
    <mergeCell ref="BU30:BU31"/>
    <mergeCell ref="F32:M32"/>
    <mergeCell ref="E33:F34"/>
    <mergeCell ref="Q33:Q34"/>
    <mergeCell ref="R33:R34"/>
    <mergeCell ref="T33:T34"/>
    <mergeCell ref="U33:U34"/>
    <mergeCell ref="AD33:AD34"/>
    <mergeCell ref="BK30:BK31"/>
    <mergeCell ref="BL30:BL31"/>
    <mergeCell ref="BM30:BM31"/>
    <mergeCell ref="BP30:BP31"/>
    <mergeCell ref="BQ30:BQ31"/>
    <mergeCell ref="BR30:BR31"/>
    <mergeCell ref="BE30:BE31"/>
    <mergeCell ref="BF30:BF31"/>
    <mergeCell ref="BG30:BG31"/>
    <mergeCell ref="BH30:BH31"/>
    <mergeCell ref="BI30:BI31"/>
    <mergeCell ref="BJ30:BJ31"/>
    <mergeCell ref="AY30:AY31"/>
    <mergeCell ref="AZ30:AZ31"/>
    <mergeCell ref="BA30:BA31"/>
    <mergeCell ref="BB30:BB31"/>
    <mergeCell ref="BC30:BC31"/>
    <mergeCell ref="BD30:BD31"/>
    <mergeCell ref="AR30:AR31"/>
    <mergeCell ref="AS30:AS31"/>
    <mergeCell ref="AT30:AT31"/>
    <mergeCell ref="AU30:AU31"/>
    <mergeCell ref="AW30:AW31"/>
    <mergeCell ref="AX30:AX31"/>
    <mergeCell ref="AL30:AL31"/>
    <mergeCell ref="AM30:AM31"/>
    <mergeCell ref="AN30:AN31"/>
    <mergeCell ref="AO30:AO31"/>
    <mergeCell ref="AP30:AP31"/>
    <mergeCell ref="AQ30:AQ31"/>
    <mergeCell ref="AE30:AE31"/>
    <mergeCell ref="AF30:AF31"/>
    <mergeCell ref="AH30:AH31"/>
    <mergeCell ref="AI30:AI31"/>
    <mergeCell ref="AJ30:AJ31"/>
    <mergeCell ref="AK30:AK31"/>
    <mergeCell ref="S30:S31"/>
    <mergeCell ref="T30:T31"/>
    <mergeCell ref="U30:U31"/>
    <mergeCell ref="V30:V31"/>
    <mergeCell ref="W30:W31"/>
    <mergeCell ref="AD30:AD31"/>
    <mergeCell ref="M30:M31"/>
    <mergeCell ref="N30:N31"/>
    <mergeCell ref="O30:O31"/>
    <mergeCell ref="P30:P31"/>
    <mergeCell ref="Q30:Q31"/>
    <mergeCell ref="R30:R31"/>
    <mergeCell ref="BS26:BS27"/>
    <mergeCell ref="BT26:BT27"/>
    <mergeCell ref="BU26:BU27"/>
    <mergeCell ref="E30:F31"/>
    <mergeCell ref="G30:G31"/>
    <mergeCell ref="H30:H31"/>
    <mergeCell ref="I30:I31"/>
    <mergeCell ref="J30:J31"/>
    <mergeCell ref="K30:K31"/>
    <mergeCell ref="L30:L31"/>
    <mergeCell ref="BM26:BM27"/>
    <mergeCell ref="BN26:BN27"/>
    <mergeCell ref="BO26:BO27"/>
    <mergeCell ref="BP26:BP27"/>
    <mergeCell ref="BQ26:BQ27"/>
    <mergeCell ref="BR26:BR27"/>
    <mergeCell ref="BG26:BG27"/>
    <mergeCell ref="BH26:BH27"/>
    <mergeCell ref="BI26:BI27"/>
    <mergeCell ref="BJ26:BJ27"/>
    <mergeCell ref="BK26:BK27"/>
    <mergeCell ref="BL26:BL27"/>
    <mergeCell ref="BA26:BA27"/>
    <mergeCell ref="BB26:BB27"/>
    <mergeCell ref="BC26:BC27"/>
    <mergeCell ref="BD26:BD27"/>
    <mergeCell ref="BE26:BE27"/>
    <mergeCell ref="BF26:BF27"/>
    <mergeCell ref="AU26:AU27"/>
    <mergeCell ref="AV26:AV27"/>
    <mergeCell ref="AW26:AW27"/>
    <mergeCell ref="AX26:AX27"/>
    <mergeCell ref="AY26:AY27"/>
    <mergeCell ref="AZ26:AZ27"/>
    <mergeCell ref="AO26:AO27"/>
    <mergeCell ref="AP26:AP27"/>
    <mergeCell ref="AQ26:AQ27"/>
    <mergeCell ref="AR26:AR27"/>
    <mergeCell ref="AS26:AS27"/>
    <mergeCell ref="AT26:AT27"/>
    <mergeCell ref="AI26:AI27"/>
    <mergeCell ref="AJ26:AJ27"/>
    <mergeCell ref="AK26:AK27"/>
    <mergeCell ref="AL26:AL27"/>
    <mergeCell ref="AM26:AM27"/>
    <mergeCell ref="AN26:AN27"/>
    <mergeCell ref="BU23:BU25"/>
    <mergeCell ref="Q26:Q27"/>
    <mergeCell ref="R26:R27"/>
    <mergeCell ref="T26:T27"/>
    <mergeCell ref="U26:U27"/>
    <mergeCell ref="AD26:AD27"/>
    <mergeCell ref="AE26:AE27"/>
    <mergeCell ref="AF26:AF27"/>
    <mergeCell ref="AG26:AG27"/>
    <mergeCell ref="AH26:AH27"/>
    <mergeCell ref="BO23:BO25"/>
    <mergeCell ref="BP23:BP25"/>
    <mergeCell ref="BQ23:BQ25"/>
    <mergeCell ref="BR23:BR25"/>
    <mergeCell ref="BS23:BS25"/>
    <mergeCell ref="BT23:BT25"/>
    <mergeCell ref="BI23:BI25"/>
    <mergeCell ref="BJ23:BJ25"/>
    <mergeCell ref="BK23:BK25"/>
    <mergeCell ref="BL23:BL25"/>
    <mergeCell ref="BM23:BM25"/>
    <mergeCell ref="BN23:BN25"/>
    <mergeCell ref="BC23:BC25"/>
    <mergeCell ref="BD23:BD25"/>
    <mergeCell ref="BE23:BE25"/>
    <mergeCell ref="BF23:BF25"/>
    <mergeCell ref="BG23:BG25"/>
    <mergeCell ref="BH23:BH25"/>
    <mergeCell ref="AW23:AW25"/>
    <mergeCell ref="AX23:AX25"/>
    <mergeCell ref="AY23:AY25"/>
    <mergeCell ref="AZ23:AZ25"/>
    <mergeCell ref="BA23:BA25"/>
    <mergeCell ref="BB23:BB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AE23:AE25"/>
    <mergeCell ref="AF23:AF25"/>
    <mergeCell ref="AG23:AG25"/>
    <mergeCell ref="AH23:AH25"/>
    <mergeCell ref="AI23:AI25"/>
    <mergeCell ref="AJ23:AJ25"/>
    <mergeCell ref="S23:S25"/>
    <mergeCell ref="T23:T25"/>
    <mergeCell ref="U23:U25"/>
    <mergeCell ref="V23:V25"/>
    <mergeCell ref="W23:W24"/>
    <mergeCell ref="AD23:AD25"/>
    <mergeCell ref="M23:M24"/>
    <mergeCell ref="N23:N24"/>
    <mergeCell ref="O23:O24"/>
    <mergeCell ref="P23:P24"/>
    <mergeCell ref="Q23:Q25"/>
    <mergeCell ref="R23:R25"/>
    <mergeCell ref="BR18:BR22"/>
    <mergeCell ref="BS18:BS22"/>
    <mergeCell ref="BT18:BT22"/>
    <mergeCell ref="BE18:BE22"/>
    <mergeCell ref="AT18:AT22"/>
    <mergeCell ref="AU18:AU22"/>
    <mergeCell ref="AV18:AV22"/>
    <mergeCell ref="AW18:AW22"/>
    <mergeCell ref="AX18:AX22"/>
    <mergeCell ref="AY18:AY22"/>
    <mergeCell ref="AN18:AN22"/>
    <mergeCell ref="AO18:AO22"/>
    <mergeCell ref="AP18:AP22"/>
    <mergeCell ref="AQ18:AQ22"/>
    <mergeCell ref="AR18:AR22"/>
    <mergeCell ref="AS18:AS22"/>
    <mergeCell ref="AH18:AH22"/>
    <mergeCell ref="AI18:AI22"/>
    <mergeCell ref="BU18:BU22"/>
    <mergeCell ref="G23:G25"/>
    <mergeCell ref="H23:H25"/>
    <mergeCell ref="I23:I25"/>
    <mergeCell ref="J23:J25"/>
    <mergeCell ref="K23:K24"/>
    <mergeCell ref="L23:L24"/>
    <mergeCell ref="BL18:BL22"/>
    <mergeCell ref="BM18:BM22"/>
    <mergeCell ref="BN18:BN22"/>
    <mergeCell ref="BO18:BO22"/>
    <mergeCell ref="BP18:BP22"/>
    <mergeCell ref="BQ18:BQ22"/>
    <mergeCell ref="BF18:BF22"/>
    <mergeCell ref="BG18:BG22"/>
    <mergeCell ref="BH18:BH22"/>
    <mergeCell ref="BI18:BI22"/>
    <mergeCell ref="BJ18:BJ22"/>
    <mergeCell ref="BK18:BK22"/>
    <mergeCell ref="AZ18:AZ22"/>
    <mergeCell ref="BA18:BA22"/>
    <mergeCell ref="BB18:BB22"/>
    <mergeCell ref="BC18:BC22"/>
    <mergeCell ref="BD18:BD22"/>
    <mergeCell ref="AJ18:AJ22"/>
    <mergeCell ref="AK18:AK22"/>
    <mergeCell ref="AL18:AL22"/>
    <mergeCell ref="AM18:AM22"/>
    <mergeCell ref="AB18:AB19"/>
    <mergeCell ref="AC18:AC19"/>
    <mergeCell ref="AD18:AD22"/>
    <mergeCell ref="AE18:AE22"/>
    <mergeCell ref="AF18:AF22"/>
    <mergeCell ref="AG18:AG22"/>
    <mergeCell ref="R18:R22"/>
    <mergeCell ref="S18:S20"/>
    <mergeCell ref="T18:T22"/>
    <mergeCell ref="U18:U22"/>
    <mergeCell ref="V18:V20"/>
    <mergeCell ref="W18:W20"/>
    <mergeCell ref="L18:L20"/>
    <mergeCell ref="M18:M20"/>
    <mergeCell ref="N18:N20"/>
    <mergeCell ref="O18:O20"/>
    <mergeCell ref="P18:P20"/>
    <mergeCell ref="Q18:Q22"/>
    <mergeCell ref="G18:G20"/>
    <mergeCell ref="H18:H20"/>
    <mergeCell ref="I18:I20"/>
    <mergeCell ref="J18:J20"/>
    <mergeCell ref="K18:K20"/>
    <mergeCell ref="I16:I17"/>
    <mergeCell ref="J16:J17"/>
    <mergeCell ref="K16:K17"/>
    <mergeCell ref="L16:L17"/>
    <mergeCell ref="BP13:BP17"/>
    <mergeCell ref="BQ13:BQ17"/>
    <mergeCell ref="BR13:BR17"/>
    <mergeCell ref="BS13:BS17"/>
    <mergeCell ref="BT13:BT17"/>
    <mergeCell ref="BU13:BU17"/>
    <mergeCell ref="BJ13:BJ17"/>
    <mergeCell ref="BK13:BK17"/>
    <mergeCell ref="BL13:BL17"/>
    <mergeCell ref="BM13:BM17"/>
    <mergeCell ref="BN13:BN17"/>
    <mergeCell ref="BO13:BO17"/>
    <mergeCell ref="BD13:BD17"/>
    <mergeCell ref="BE13:BE17"/>
    <mergeCell ref="BF13:BF17"/>
    <mergeCell ref="BG13:BG17"/>
    <mergeCell ref="BH13:BH17"/>
    <mergeCell ref="BI13:BI17"/>
    <mergeCell ref="AX13:AX17"/>
    <mergeCell ref="AY13:AY17"/>
    <mergeCell ref="AZ13:AZ17"/>
    <mergeCell ref="BA13:BA17"/>
    <mergeCell ref="BB13:BB17"/>
    <mergeCell ref="BC13:BC17"/>
    <mergeCell ref="AR13:AR17"/>
    <mergeCell ref="AS13:AS17"/>
    <mergeCell ref="AT13:AT17"/>
    <mergeCell ref="AU13:AU17"/>
    <mergeCell ref="AV13:AV17"/>
    <mergeCell ref="AW13:AW17"/>
    <mergeCell ref="AL13:AL17"/>
    <mergeCell ref="AM13:AM17"/>
    <mergeCell ref="AN13:AN17"/>
    <mergeCell ref="AO13:AO17"/>
    <mergeCell ref="AP13:AP17"/>
    <mergeCell ref="AQ13:AQ17"/>
    <mergeCell ref="AF13:AF17"/>
    <mergeCell ref="AG13:AG17"/>
    <mergeCell ref="AH13:AH17"/>
    <mergeCell ref="AI13:AI17"/>
    <mergeCell ref="AJ13:AJ17"/>
    <mergeCell ref="AK13:AK17"/>
    <mergeCell ref="V13:V14"/>
    <mergeCell ref="W13:W14"/>
    <mergeCell ref="AB13:AB14"/>
    <mergeCell ref="AC13:AC14"/>
    <mergeCell ref="AD13:AD17"/>
    <mergeCell ref="AE13:AE17"/>
    <mergeCell ref="V16:V17"/>
    <mergeCell ref="W16:W17"/>
    <mergeCell ref="P13:P14"/>
    <mergeCell ref="Q13:Q17"/>
    <mergeCell ref="R13:R17"/>
    <mergeCell ref="S13:S14"/>
    <mergeCell ref="T13:T17"/>
    <mergeCell ref="U13:U17"/>
    <mergeCell ref="J13:J14"/>
    <mergeCell ref="K13:K14"/>
    <mergeCell ref="L13:L14"/>
    <mergeCell ref="M13:M14"/>
    <mergeCell ref="N13:N14"/>
    <mergeCell ref="O13:O14"/>
    <mergeCell ref="O16:O17"/>
    <mergeCell ref="P16:P17"/>
    <mergeCell ref="S16:S17"/>
    <mergeCell ref="M16:M17"/>
    <mergeCell ref="N16:N17"/>
    <mergeCell ref="BP8:BP9"/>
    <mergeCell ref="B10:E10"/>
    <mergeCell ref="A11:B50"/>
    <mergeCell ref="D11:H11"/>
    <mergeCell ref="C12:D46"/>
    <mergeCell ref="F12:L12"/>
    <mergeCell ref="E13:F28"/>
    <mergeCell ref="G13:G14"/>
    <mergeCell ref="H13:H14"/>
    <mergeCell ref="I13:I14"/>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S4"/>
    <mergeCell ref="A5:O6"/>
    <mergeCell ref="Q5:BU5"/>
    <mergeCell ref="AD6:BF6"/>
    <mergeCell ref="A7:B7"/>
    <mergeCell ref="C7:D7"/>
    <mergeCell ref="E7:F7"/>
    <mergeCell ref="G7:J7"/>
    <mergeCell ref="K7:N7"/>
    <mergeCell ref="O7:Z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conditionalFormatting sqref="K15">
    <cfRule type="duplicateValues" dxfId="54" priority="42"/>
  </conditionalFormatting>
  <conditionalFormatting sqref="K16">
    <cfRule type="duplicateValues" dxfId="53" priority="41"/>
  </conditionalFormatting>
  <conditionalFormatting sqref="K18">
    <cfRule type="duplicateValues" dxfId="52" priority="40"/>
  </conditionalFormatting>
  <conditionalFormatting sqref="K21">
    <cfRule type="duplicateValues" dxfId="51" priority="39"/>
  </conditionalFormatting>
  <conditionalFormatting sqref="K22">
    <cfRule type="duplicateValues" dxfId="50" priority="36"/>
  </conditionalFormatting>
  <conditionalFormatting sqref="K22">
    <cfRule type="duplicateValues" dxfId="49" priority="37"/>
  </conditionalFormatting>
  <conditionalFormatting sqref="K22">
    <cfRule type="duplicateValues" dxfId="48" priority="38"/>
  </conditionalFormatting>
  <conditionalFormatting sqref="K27">
    <cfRule type="duplicateValues" dxfId="47" priority="34"/>
  </conditionalFormatting>
  <conditionalFormatting sqref="K27">
    <cfRule type="duplicateValues" dxfId="46" priority="35"/>
  </conditionalFormatting>
  <conditionalFormatting sqref="K28">
    <cfRule type="duplicateValues" dxfId="45" priority="32"/>
  </conditionalFormatting>
  <conditionalFormatting sqref="K28">
    <cfRule type="duplicateValues" dxfId="44" priority="33"/>
  </conditionalFormatting>
  <conditionalFormatting sqref="K30">
    <cfRule type="duplicateValues" dxfId="43" priority="30"/>
  </conditionalFormatting>
  <conditionalFormatting sqref="K30">
    <cfRule type="duplicateValues" dxfId="42" priority="31"/>
  </conditionalFormatting>
  <conditionalFormatting sqref="K40">
    <cfRule type="duplicateValues" dxfId="41" priority="28"/>
  </conditionalFormatting>
  <conditionalFormatting sqref="K40">
    <cfRule type="duplicateValues" dxfId="40" priority="29"/>
  </conditionalFormatting>
  <conditionalFormatting sqref="K41">
    <cfRule type="duplicateValues" dxfId="39" priority="26"/>
  </conditionalFormatting>
  <conditionalFormatting sqref="K41">
    <cfRule type="duplicateValues" dxfId="38" priority="27"/>
  </conditionalFormatting>
  <conditionalFormatting sqref="K43">
    <cfRule type="duplicateValues" dxfId="37" priority="24"/>
  </conditionalFormatting>
  <conditionalFormatting sqref="K43">
    <cfRule type="duplicateValues" dxfId="36" priority="25"/>
  </conditionalFormatting>
  <conditionalFormatting sqref="K44">
    <cfRule type="duplicateValues" dxfId="35" priority="22"/>
  </conditionalFormatting>
  <conditionalFormatting sqref="K44">
    <cfRule type="duplicateValues" dxfId="34" priority="23"/>
  </conditionalFormatting>
  <conditionalFormatting sqref="M15">
    <cfRule type="duplicateValues" dxfId="33" priority="21"/>
  </conditionalFormatting>
  <conditionalFormatting sqref="M16">
    <cfRule type="duplicateValues" dxfId="32" priority="20"/>
  </conditionalFormatting>
  <conditionalFormatting sqref="M18">
    <cfRule type="duplicateValues" dxfId="31" priority="19"/>
  </conditionalFormatting>
  <conditionalFormatting sqref="M21">
    <cfRule type="duplicateValues" dxfId="30" priority="18"/>
  </conditionalFormatting>
  <conditionalFormatting sqref="M22">
    <cfRule type="duplicateValues" dxfId="29" priority="15"/>
  </conditionalFormatting>
  <conditionalFormatting sqref="M22">
    <cfRule type="duplicateValues" dxfId="28" priority="16"/>
  </conditionalFormatting>
  <conditionalFormatting sqref="M22">
    <cfRule type="duplicateValues" dxfId="27" priority="17"/>
  </conditionalFormatting>
  <conditionalFormatting sqref="M27">
    <cfRule type="duplicateValues" dxfId="26" priority="13"/>
  </conditionalFormatting>
  <conditionalFormatting sqref="M27">
    <cfRule type="duplicateValues" dxfId="25" priority="14"/>
  </conditionalFormatting>
  <conditionalFormatting sqref="M28">
    <cfRule type="duplicateValues" dxfId="24" priority="11"/>
  </conditionalFormatting>
  <conditionalFormatting sqref="M28">
    <cfRule type="duplicateValues" dxfId="23" priority="12"/>
  </conditionalFormatting>
  <conditionalFormatting sqref="M30">
    <cfRule type="duplicateValues" dxfId="22" priority="9"/>
  </conditionalFormatting>
  <conditionalFormatting sqref="M30">
    <cfRule type="duplicateValues" dxfId="21" priority="10"/>
  </conditionalFormatting>
  <conditionalFormatting sqref="M40">
    <cfRule type="duplicateValues" dxfId="20" priority="7"/>
  </conditionalFormatting>
  <conditionalFormatting sqref="M40">
    <cfRule type="duplicateValues" dxfId="19" priority="8"/>
  </conditionalFormatting>
  <conditionalFormatting sqref="M41">
    <cfRule type="duplicateValues" dxfId="18" priority="5"/>
  </conditionalFormatting>
  <conditionalFormatting sqref="M41">
    <cfRule type="duplicateValues" dxfId="17" priority="6"/>
  </conditionalFormatting>
  <conditionalFormatting sqref="M43">
    <cfRule type="duplicateValues" dxfId="16" priority="3"/>
  </conditionalFormatting>
  <conditionalFormatting sqref="M43">
    <cfRule type="duplicateValues" dxfId="15" priority="4"/>
  </conditionalFormatting>
  <conditionalFormatting sqref="M44">
    <cfRule type="duplicateValues" dxfId="14" priority="1"/>
  </conditionalFormatting>
  <conditionalFormatting sqref="M44">
    <cfRule type="duplicateValues" dxfId="13" priority="2"/>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N27"/>
  <sheetViews>
    <sheetView showGridLines="0" zoomScale="70" zoomScaleNormal="70" workbookViewId="0">
      <selection sqref="A1:BR4"/>
    </sheetView>
  </sheetViews>
  <sheetFormatPr baseColWidth="10" defaultColWidth="11.42578125" defaultRowHeight="27" customHeight="1" x14ac:dyDescent="0.25"/>
  <cols>
    <col min="1" max="1" width="17.5703125" style="117" customWidth="1"/>
    <col min="2" max="4" width="11.42578125" style="3" customWidth="1"/>
    <col min="5" max="5" width="11.28515625" style="3" customWidth="1"/>
    <col min="6" max="6" width="12" style="3" customWidth="1"/>
    <col min="7" max="7" width="16" style="3" customWidth="1"/>
    <col min="8" max="8" width="29.7109375" style="119" customWidth="1"/>
    <col min="9" max="9" width="18.5703125" style="2" customWidth="1"/>
    <col min="10" max="10" width="26" style="119" customWidth="1"/>
    <col min="11" max="11" width="13" style="2" customWidth="1"/>
    <col min="12" max="12" width="35" style="119" customWidth="1"/>
    <col min="13" max="13" width="16.7109375" style="2" customWidth="1"/>
    <col min="14" max="14" width="31.85546875" style="119" customWidth="1"/>
    <col min="15" max="15" width="10.42578125" style="2" customWidth="1"/>
    <col min="16" max="16" width="10.5703125" style="2" customWidth="1"/>
    <col min="17" max="17" width="22.5703125" style="2" customWidth="1"/>
    <col min="18" max="18" width="40.7109375" style="119" customWidth="1"/>
    <col min="19" max="19" width="13.42578125" style="121" customWidth="1"/>
    <col min="20" max="20" width="25.5703125" style="130" customWidth="1"/>
    <col min="21" max="21" width="49.5703125" style="119" customWidth="1"/>
    <col min="22" max="22" width="39.5703125" style="119" customWidth="1"/>
    <col min="23" max="23" width="29.7109375" style="119" customWidth="1"/>
    <col min="24" max="24" width="25.7109375" style="130" customWidth="1"/>
    <col min="25" max="26" width="23.85546875" style="130" customWidth="1"/>
    <col min="27" max="27" width="53.42578125" style="130" customWidth="1"/>
    <col min="28" max="28" width="11.7109375" style="124" customWidth="1"/>
    <col min="29" max="29" width="13.5703125" style="2" customWidth="1"/>
    <col min="30" max="31" width="13" style="3" customWidth="1"/>
    <col min="32" max="33" width="12.140625" style="3" customWidth="1"/>
    <col min="34" max="35" width="9.28515625" style="3" customWidth="1"/>
    <col min="36" max="37" width="11.28515625" style="3" customWidth="1"/>
    <col min="38" max="39" width="19.140625" style="3" customWidth="1"/>
    <col min="40" max="41" width="9.5703125" style="3" customWidth="1"/>
    <col min="42" max="43" width="8.85546875" style="3" customWidth="1"/>
    <col min="44" max="45" width="9.5703125" style="3" customWidth="1"/>
    <col min="46" max="46" width="7.28515625" style="3" customWidth="1"/>
    <col min="47" max="52" width="8.28515625" style="3" customWidth="1"/>
    <col min="53" max="53" width="9.5703125" style="3" customWidth="1"/>
    <col min="54" max="55" width="8.5703125" style="3" customWidth="1"/>
    <col min="56" max="57" width="8.42578125" style="3" customWidth="1"/>
    <col min="58" max="59" width="11.140625" style="3" customWidth="1"/>
    <col min="60" max="60" width="15.140625" style="3" customWidth="1"/>
    <col min="61" max="61" width="16.140625" style="3" customWidth="1"/>
    <col min="62" max="62" width="19.85546875" style="3" customWidth="1"/>
    <col min="63" max="63" width="24.7109375" style="3" customWidth="1"/>
    <col min="64" max="64" width="23" style="3" customWidth="1"/>
    <col min="65" max="65" width="13.7109375" style="3" customWidth="1"/>
    <col min="66" max="66" width="14.42578125" style="3" customWidth="1"/>
    <col min="67" max="67" width="25.140625" style="3" customWidth="1"/>
    <col min="68" max="69" width="14.42578125" style="126" customWidth="1"/>
    <col min="70" max="71" width="13.7109375" style="126" customWidth="1"/>
    <col min="72" max="72" width="26.28515625" style="3" customWidth="1"/>
    <col min="73" max="16384" width="11.42578125" style="3"/>
  </cols>
  <sheetData>
    <row r="1" spans="1:92" ht="15.75" customHeight="1" x14ac:dyDescent="0.25">
      <c r="A1" s="3345" t="s">
        <v>361</v>
      </c>
      <c r="B1" s="2366"/>
      <c r="C1" s="2366"/>
      <c r="D1" s="2366"/>
      <c r="E1" s="2366"/>
      <c r="F1" s="2366"/>
      <c r="G1" s="2366"/>
      <c r="H1" s="2366"/>
      <c r="I1" s="2366"/>
      <c r="J1" s="2366"/>
      <c r="K1" s="2366"/>
      <c r="L1" s="2366"/>
      <c r="M1" s="2366"/>
      <c r="N1" s="2366"/>
      <c r="O1" s="2366"/>
      <c r="P1" s="2366"/>
      <c r="Q1" s="2366"/>
      <c r="R1" s="2366"/>
      <c r="S1" s="2366"/>
      <c r="T1" s="2366"/>
      <c r="U1" s="2366"/>
      <c r="V1" s="2366"/>
      <c r="W1" s="2366"/>
      <c r="X1" s="2366"/>
      <c r="Y1" s="2366"/>
      <c r="Z1" s="2366"/>
      <c r="AA1" s="2366"/>
      <c r="AB1" s="2366"/>
      <c r="AC1" s="2366"/>
      <c r="AD1" s="2366"/>
      <c r="AE1" s="2366"/>
      <c r="AF1" s="2366"/>
      <c r="AG1" s="2366"/>
      <c r="AH1" s="2366"/>
      <c r="AI1" s="2366"/>
      <c r="AJ1" s="2366"/>
      <c r="AK1" s="2366"/>
      <c r="AL1" s="2366"/>
      <c r="AM1" s="2366"/>
      <c r="AN1" s="2366"/>
      <c r="AO1" s="2366"/>
      <c r="AP1" s="2366"/>
      <c r="AQ1" s="2366"/>
      <c r="AR1" s="2366"/>
      <c r="AS1" s="2366"/>
      <c r="AT1" s="2366"/>
      <c r="AU1" s="2366"/>
      <c r="AV1" s="2366"/>
      <c r="AW1" s="2366"/>
      <c r="AX1" s="2366"/>
      <c r="AY1" s="2366"/>
      <c r="AZ1" s="2366"/>
      <c r="BA1" s="2366"/>
      <c r="BB1" s="2366"/>
      <c r="BC1" s="2366"/>
      <c r="BD1" s="2366"/>
      <c r="BE1" s="2366"/>
      <c r="BF1" s="2366"/>
      <c r="BG1" s="2366"/>
      <c r="BH1" s="2366"/>
      <c r="BI1" s="2366"/>
      <c r="BJ1" s="2366"/>
      <c r="BK1" s="2366"/>
      <c r="BL1" s="2366"/>
      <c r="BM1" s="2366"/>
      <c r="BN1" s="2366"/>
      <c r="BO1" s="2366"/>
      <c r="BP1" s="2366"/>
      <c r="BQ1" s="2366"/>
      <c r="BR1" s="2733"/>
      <c r="BS1" s="365" t="s">
        <v>0</v>
      </c>
      <c r="BT1" s="366" t="s">
        <v>1</v>
      </c>
      <c r="BU1" s="2"/>
      <c r="BV1" s="2"/>
      <c r="BW1" s="2"/>
      <c r="BX1" s="2"/>
      <c r="BY1" s="2"/>
      <c r="BZ1" s="2"/>
      <c r="CA1" s="2"/>
      <c r="CB1" s="2"/>
      <c r="CC1" s="2"/>
      <c r="CD1" s="2"/>
      <c r="CE1" s="2"/>
      <c r="CF1" s="2"/>
      <c r="CG1" s="2"/>
      <c r="CH1" s="2"/>
      <c r="CI1" s="2"/>
      <c r="CJ1" s="2"/>
      <c r="CK1" s="2"/>
      <c r="CL1" s="2"/>
      <c r="CM1" s="2"/>
      <c r="CN1" s="2"/>
    </row>
    <row r="2" spans="1:92" ht="15.75" x14ac:dyDescent="0.25">
      <c r="A2" s="3345"/>
      <c r="B2" s="2366"/>
      <c r="C2" s="2366"/>
      <c r="D2" s="2366"/>
      <c r="E2" s="2366"/>
      <c r="F2" s="2366"/>
      <c r="G2" s="2366"/>
      <c r="H2" s="2366"/>
      <c r="I2" s="2366"/>
      <c r="J2" s="2366"/>
      <c r="K2" s="2366"/>
      <c r="L2" s="2366"/>
      <c r="M2" s="2366"/>
      <c r="N2" s="2366"/>
      <c r="O2" s="2366"/>
      <c r="P2" s="2366"/>
      <c r="Q2" s="2366"/>
      <c r="R2" s="2366"/>
      <c r="S2" s="2366"/>
      <c r="T2" s="2366"/>
      <c r="U2" s="2366"/>
      <c r="V2" s="2366"/>
      <c r="W2" s="2366"/>
      <c r="X2" s="2366"/>
      <c r="Y2" s="2366"/>
      <c r="Z2" s="2366"/>
      <c r="AA2" s="2366"/>
      <c r="AB2" s="2366"/>
      <c r="AC2" s="2366"/>
      <c r="AD2" s="2366"/>
      <c r="AE2" s="2366"/>
      <c r="AF2" s="2366"/>
      <c r="AG2" s="2366"/>
      <c r="AH2" s="2366"/>
      <c r="AI2" s="2366"/>
      <c r="AJ2" s="2366"/>
      <c r="AK2" s="2366"/>
      <c r="AL2" s="2366"/>
      <c r="AM2" s="2366"/>
      <c r="AN2" s="2366"/>
      <c r="AO2" s="2366"/>
      <c r="AP2" s="2366"/>
      <c r="AQ2" s="2366"/>
      <c r="AR2" s="2366"/>
      <c r="AS2" s="2366"/>
      <c r="AT2" s="2366"/>
      <c r="AU2" s="2366"/>
      <c r="AV2" s="2366"/>
      <c r="AW2" s="2366"/>
      <c r="AX2" s="2366"/>
      <c r="AY2" s="2366"/>
      <c r="AZ2" s="2366"/>
      <c r="BA2" s="2366"/>
      <c r="BB2" s="2366"/>
      <c r="BC2" s="2366"/>
      <c r="BD2" s="2366"/>
      <c r="BE2" s="2366"/>
      <c r="BF2" s="2366"/>
      <c r="BG2" s="2366"/>
      <c r="BH2" s="2366"/>
      <c r="BI2" s="2366"/>
      <c r="BJ2" s="2366"/>
      <c r="BK2" s="2366"/>
      <c r="BL2" s="2366"/>
      <c r="BM2" s="2366"/>
      <c r="BN2" s="2366"/>
      <c r="BO2" s="2366"/>
      <c r="BP2" s="2366"/>
      <c r="BQ2" s="2366"/>
      <c r="BR2" s="2733"/>
      <c r="BS2" s="365" t="s">
        <v>2</v>
      </c>
      <c r="BT2" s="2232" t="s">
        <v>3</v>
      </c>
      <c r="BU2" s="2"/>
      <c r="BV2" s="2"/>
      <c r="BW2" s="2"/>
      <c r="BX2" s="2"/>
      <c r="BY2" s="2"/>
      <c r="BZ2" s="2"/>
      <c r="CA2" s="2"/>
      <c r="CB2" s="2"/>
      <c r="CC2" s="2"/>
      <c r="CD2" s="2"/>
      <c r="CE2" s="2"/>
      <c r="CF2" s="2"/>
      <c r="CG2" s="2"/>
      <c r="CH2" s="2"/>
      <c r="CI2" s="2"/>
      <c r="CJ2" s="2"/>
      <c r="CK2" s="2"/>
      <c r="CL2" s="2"/>
      <c r="CM2" s="2"/>
      <c r="CN2" s="2"/>
    </row>
    <row r="3" spans="1:92" ht="15.75" x14ac:dyDescent="0.25">
      <c r="A3" s="3345"/>
      <c r="B3" s="2366"/>
      <c r="C3" s="2366"/>
      <c r="D3" s="2366"/>
      <c r="E3" s="2366"/>
      <c r="F3" s="2366"/>
      <c r="G3" s="2366"/>
      <c r="H3" s="2366"/>
      <c r="I3" s="2366"/>
      <c r="J3" s="2366"/>
      <c r="K3" s="2366"/>
      <c r="L3" s="2366"/>
      <c r="M3" s="2366"/>
      <c r="N3" s="2366"/>
      <c r="O3" s="2366"/>
      <c r="P3" s="2366"/>
      <c r="Q3" s="2366"/>
      <c r="R3" s="2366"/>
      <c r="S3" s="2366"/>
      <c r="T3" s="2366"/>
      <c r="U3" s="2366"/>
      <c r="V3" s="2366"/>
      <c r="W3" s="2366"/>
      <c r="X3" s="2366"/>
      <c r="Y3" s="2366"/>
      <c r="Z3" s="2366"/>
      <c r="AA3" s="2366"/>
      <c r="AB3" s="2366"/>
      <c r="AC3" s="2366"/>
      <c r="AD3" s="2366"/>
      <c r="AE3" s="2366"/>
      <c r="AF3" s="2366"/>
      <c r="AG3" s="2366"/>
      <c r="AH3" s="2366"/>
      <c r="AI3" s="2366"/>
      <c r="AJ3" s="2366"/>
      <c r="AK3" s="2366"/>
      <c r="AL3" s="2366"/>
      <c r="AM3" s="2366"/>
      <c r="AN3" s="2366"/>
      <c r="AO3" s="2366"/>
      <c r="AP3" s="2366"/>
      <c r="AQ3" s="2366"/>
      <c r="AR3" s="2366"/>
      <c r="AS3" s="2366"/>
      <c r="AT3" s="2366"/>
      <c r="AU3" s="2366"/>
      <c r="AV3" s="2366"/>
      <c r="AW3" s="2366"/>
      <c r="AX3" s="2366"/>
      <c r="AY3" s="2366"/>
      <c r="AZ3" s="2366"/>
      <c r="BA3" s="2366"/>
      <c r="BB3" s="2366"/>
      <c r="BC3" s="2366"/>
      <c r="BD3" s="2366"/>
      <c r="BE3" s="2366"/>
      <c r="BF3" s="2366"/>
      <c r="BG3" s="2366"/>
      <c r="BH3" s="2366"/>
      <c r="BI3" s="2366"/>
      <c r="BJ3" s="2366"/>
      <c r="BK3" s="2366"/>
      <c r="BL3" s="2366"/>
      <c r="BM3" s="2366"/>
      <c r="BN3" s="2366"/>
      <c r="BO3" s="2366"/>
      <c r="BP3" s="2366"/>
      <c r="BQ3" s="2366"/>
      <c r="BR3" s="2733"/>
      <c r="BS3" s="365" t="s">
        <v>4</v>
      </c>
      <c r="BT3" s="2231">
        <v>44266</v>
      </c>
      <c r="BU3" s="2"/>
      <c r="BV3" s="2"/>
      <c r="BW3" s="2"/>
      <c r="BX3" s="2"/>
      <c r="BY3" s="2"/>
      <c r="BZ3" s="2"/>
      <c r="CA3" s="2"/>
      <c r="CB3" s="2"/>
      <c r="CC3" s="2"/>
      <c r="CD3" s="2"/>
      <c r="CE3" s="2"/>
      <c r="CF3" s="2"/>
      <c r="CG3" s="2"/>
      <c r="CH3" s="2"/>
      <c r="CI3" s="2"/>
      <c r="CJ3" s="2"/>
      <c r="CK3" s="2"/>
      <c r="CL3" s="2"/>
      <c r="CM3" s="2"/>
      <c r="CN3" s="2"/>
    </row>
    <row r="4" spans="1:92" ht="15.75" x14ac:dyDescent="0.25">
      <c r="A4" s="37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2734"/>
      <c r="BS4" s="365" t="s">
        <v>5</v>
      </c>
      <c r="BT4" s="367" t="s">
        <v>6</v>
      </c>
      <c r="BU4" s="2"/>
      <c r="BV4" s="2"/>
      <c r="BW4" s="2"/>
      <c r="BX4" s="2"/>
      <c r="BY4" s="2"/>
      <c r="BZ4" s="2"/>
      <c r="CA4" s="2"/>
      <c r="CB4" s="2"/>
      <c r="CC4" s="2"/>
      <c r="CD4" s="2"/>
      <c r="CE4" s="2"/>
      <c r="CF4" s="2"/>
      <c r="CG4" s="2"/>
      <c r="CH4" s="2"/>
      <c r="CI4" s="2"/>
      <c r="CJ4" s="2"/>
      <c r="CK4" s="2"/>
      <c r="CL4" s="2"/>
      <c r="CM4" s="2"/>
      <c r="CN4" s="2"/>
    </row>
    <row r="5" spans="1:92" ht="15.75" x14ac:dyDescent="0.25">
      <c r="A5" s="2363" t="s">
        <v>308</v>
      </c>
      <c r="B5" s="2363"/>
      <c r="C5" s="2363"/>
      <c r="D5" s="2363"/>
      <c r="E5" s="2363"/>
      <c r="F5" s="2363"/>
      <c r="G5" s="2363"/>
      <c r="H5" s="2363"/>
      <c r="I5" s="2363"/>
      <c r="J5" s="2363"/>
      <c r="K5" s="2363"/>
      <c r="L5" s="2363"/>
      <c r="M5" s="2363"/>
      <c r="N5" s="2363"/>
      <c r="O5" s="2363"/>
      <c r="P5" s="6"/>
      <c r="Q5" s="368"/>
      <c r="R5" s="369"/>
      <c r="S5" s="368"/>
      <c r="T5" s="368"/>
      <c r="U5" s="369"/>
      <c r="V5" s="369"/>
      <c r="W5" s="369"/>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70"/>
      <c r="BU5" s="2"/>
      <c r="BV5" s="2"/>
      <c r="BW5" s="2"/>
      <c r="BX5" s="2"/>
      <c r="BY5" s="2"/>
      <c r="BZ5" s="2"/>
      <c r="CA5" s="2"/>
      <c r="CB5" s="2"/>
      <c r="CC5" s="2"/>
      <c r="CD5" s="2"/>
      <c r="CE5" s="2"/>
      <c r="CF5" s="2"/>
      <c r="CG5" s="2"/>
      <c r="CH5" s="2"/>
      <c r="CI5" s="2"/>
      <c r="CJ5" s="2"/>
      <c r="CK5" s="2"/>
      <c r="CL5" s="2"/>
      <c r="CM5" s="2"/>
      <c r="CN5" s="2"/>
    </row>
    <row r="6" spans="1:92" ht="16.5" thickBot="1" x14ac:dyDescent="0.3">
      <c r="A6" s="2367"/>
      <c r="B6" s="2367"/>
      <c r="C6" s="2367"/>
      <c r="D6" s="2367"/>
      <c r="E6" s="2367"/>
      <c r="F6" s="2367"/>
      <c r="G6" s="2367"/>
      <c r="H6" s="2367"/>
      <c r="I6" s="2367"/>
      <c r="J6" s="2367"/>
      <c r="K6" s="2367"/>
      <c r="L6" s="2367"/>
      <c r="M6" s="2367"/>
      <c r="N6" s="2367"/>
      <c r="O6" s="2367"/>
      <c r="P6" s="7"/>
      <c r="Q6" s="7"/>
      <c r="R6" s="8"/>
      <c r="S6" s="7"/>
      <c r="T6" s="7"/>
      <c r="U6" s="127"/>
      <c r="V6" s="8"/>
      <c r="W6" s="8"/>
      <c r="X6" s="7"/>
      <c r="Y6" s="7"/>
      <c r="Z6" s="7"/>
      <c r="AA6" s="7"/>
      <c r="AB6" s="7"/>
      <c r="AC6" s="7"/>
      <c r="AD6" s="371" t="s">
        <v>8</v>
      </c>
      <c r="AE6" s="6"/>
      <c r="AF6" s="6"/>
      <c r="AG6" s="6"/>
      <c r="AH6" s="6"/>
      <c r="AI6" s="6"/>
      <c r="AJ6" s="6"/>
      <c r="AK6" s="6"/>
      <c r="AL6" s="6"/>
      <c r="AM6" s="6"/>
      <c r="AN6" s="6"/>
      <c r="AO6" s="6"/>
      <c r="AP6" s="6"/>
      <c r="AQ6" s="6"/>
      <c r="AR6" s="6"/>
      <c r="AS6" s="6"/>
      <c r="AT6" s="6"/>
      <c r="AU6" s="6"/>
      <c r="AV6" s="6"/>
      <c r="AW6" s="6"/>
      <c r="AX6" s="6"/>
      <c r="AY6" s="6"/>
      <c r="AZ6" s="6"/>
      <c r="BA6" s="6"/>
      <c r="BB6" s="6"/>
      <c r="BC6" s="6"/>
      <c r="BD6" s="6"/>
      <c r="BE6" s="6"/>
      <c r="BF6" s="372"/>
      <c r="BG6" s="7"/>
      <c r="BH6" s="7"/>
      <c r="BI6" s="7"/>
      <c r="BJ6" s="7"/>
      <c r="BK6" s="7"/>
      <c r="BL6" s="7"/>
      <c r="BM6" s="7"/>
      <c r="BN6" s="7"/>
      <c r="BO6" s="7"/>
      <c r="BP6" s="7"/>
      <c r="BQ6" s="7"/>
      <c r="BR6" s="7"/>
      <c r="BS6" s="7"/>
      <c r="BT6" s="9"/>
      <c r="BU6" s="2"/>
      <c r="BV6" s="2"/>
      <c r="BW6" s="2"/>
      <c r="BX6" s="2"/>
      <c r="BY6" s="2"/>
      <c r="BZ6" s="2"/>
      <c r="CA6" s="2"/>
      <c r="CB6" s="2"/>
      <c r="CC6" s="2"/>
      <c r="CD6" s="2"/>
      <c r="CE6" s="2"/>
      <c r="CF6" s="2"/>
      <c r="CG6" s="2"/>
      <c r="CH6" s="2"/>
      <c r="CI6" s="2"/>
      <c r="CJ6" s="2"/>
      <c r="CK6" s="2"/>
      <c r="CL6" s="2"/>
      <c r="CM6" s="2"/>
      <c r="CN6" s="2"/>
    </row>
    <row r="7" spans="1:92" ht="31.5" customHeight="1" x14ac:dyDescent="0.25">
      <c r="A7" s="2522" t="s">
        <v>9</v>
      </c>
      <c r="B7" s="2521"/>
      <c r="C7" s="3785" t="s">
        <v>362</v>
      </c>
      <c r="D7" s="3786"/>
      <c r="E7" s="3785" t="s">
        <v>11</v>
      </c>
      <c r="F7" s="3786"/>
      <c r="G7" s="2372" t="s">
        <v>12</v>
      </c>
      <c r="H7" s="2372"/>
      <c r="I7" s="2372"/>
      <c r="J7" s="2372"/>
      <c r="K7" s="2372" t="s">
        <v>13</v>
      </c>
      <c r="L7" s="2372"/>
      <c r="M7" s="2372"/>
      <c r="N7" s="2372"/>
      <c r="O7" s="2541" t="s">
        <v>14</v>
      </c>
      <c r="P7" s="2542"/>
      <c r="Q7" s="2542"/>
      <c r="R7" s="2542"/>
      <c r="S7" s="2542"/>
      <c r="T7" s="2542"/>
      <c r="U7" s="2542"/>
      <c r="V7" s="2542"/>
      <c r="W7" s="2542"/>
      <c r="X7" s="2542"/>
      <c r="Y7" s="2542"/>
      <c r="Z7" s="2543"/>
      <c r="AA7" s="2372" t="s">
        <v>15</v>
      </c>
      <c r="AB7" s="2372"/>
      <c r="AC7" s="2372"/>
      <c r="AD7" s="2349" t="s">
        <v>16</v>
      </c>
      <c r="AE7" s="2350"/>
      <c r="AF7" s="2350"/>
      <c r="AG7" s="2351"/>
      <c r="AH7" s="2352" t="s">
        <v>17</v>
      </c>
      <c r="AI7" s="2353"/>
      <c r="AJ7" s="2353"/>
      <c r="AK7" s="2353"/>
      <c r="AL7" s="2353"/>
      <c r="AM7" s="2353"/>
      <c r="AN7" s="2353"/>
      <c r="AO7" s="2354"/>
      <c r="AP7" s="2355" t="s">
        <v>18</v>
      </c>
      <c r="AQ7" s="2355"/>
      <c r="AR7" s="2355"/>
      <c r="AS7" s="2355"/>
      <c r="AT7" s="2355"/>
      <c r="AU7" s="2355"/>
      <c r="AV7" s="2355"/>
      <c r="AW7" s="2355"/>
      <c r="AX7" s="2355"/>
      <c r="AY7" s="2355"/>
      <c r="AZ7" s="2355"/>
      <c r="BA7" s="2355"/>
      <c r="BB7" s="2356" t="s">
        <v>19</v>
      </c>
      <c r="BC7" s="2356"/>
      <c r="BD7" s="2356"/>
      <c r="BE7" s="2356"/>
      <c r="BF7" s="2356"/>
      <c r="BG7" s="2356"/>
      <c r="BH7" s="2357" t="s">
        <v>20</v>
      </c>
      <c r="BI7" s="2357"/>
      <c r="BJ7" s="2373" t="s">
        <v>21</v>
      </c>
      <c r="BK7" s="2374"/>
      <c r="BL7" s="2374"/>
      <c r="BM7" s="2374"/>
      <c r="BN7" s="2374"/>
      <c r="BO7" s="2375"/>
      <c r="BP7" s="2852" t="s">
        <v>22</v>
      </c>
      <c r="BQ7" s="2536"/>
      <c r="BR7" s="2852" t="s">
        <v>23</v>
      </c>
      <c r="BS7" s="2536"/>
      <c r="BT7" s="2380" t="s">
        <v>24</v>
      </c>
      <c r="BU7" s="2"/>
      <c r="BV7" s="2"/>
      <c r="BW7" s="2"/>
      <c r="BX7" s="2"/>
      <c r="BY7" s="2"/>
      <c r="BZ7" s="2"/>
      <c r="CA7" s="2"/>
      <c r="CB7" s="2"/>
      <c r="CC7" s="2"/>
      <c r="CD7" s="2"/>
      <c r="CE7" s="2"/>
      <c r="CF7" s="2"/>
      <c r="CG7" s="2"/>
      <c r="CH7" s="2"/>
      <c r="CI7" s="2"/>
      <c r="CJ7" s="2"/>
      <c r="CK7" s="2"/>
      <c r="CL7" s="2"/>
      <c r="CM7" s="2"/>
      <c r="CN7" s="2"/>
    </row>
    <row r="8" spans="1:92" ht="117" customHeight="1" x14ac:dyDescent="0.25">
      <c r="A8" s="2536" t="s">
        <v>25</v>
      </c>
      <c r="B8" s="2345" t="s">
        <v>26</v>
      </c>
      <c r="C8" s="2345" t="s">
        <v>25</v>
      </c>
      <c r="D8" s="2345" t="s">
        <v>26</v>
      </c>
      <c r="E8" s="2345" t="s">
        <v>25</v>
      </c>
      <c r="F8" s="2345" t="s">
        <v>26</v>
      </c>
      <c r="G8" s="2345" t="s">
        <v>27</v>
      </c>
      <c r="H8" s="2345" t="s">
        <v>28</v>
      </c>
      <c r="I8" s="2345" t="s">
        <v>29</v>
      </c>
      <c r="J8" s="2345" t="s">
        <v>131</v>
      </c>
      <c r="K8" s="2345" t="s">
        <v>27</v>
      </c>
      <c r="L8" s="2345" t="s">
        <v>31</v>
      </c>
      <c r="M8" s="2345" t="s">
        <v>32</v>
      </c>
      <c r="N8" s="3787" t="s">
        <v>33</v>
      </c>
      <c r="O8" s="2347" t="s">
        <v>34</v>
      </c>
      <c r="P8" s="2348"/>
      <c r="Q8" s="2345" t="s">
        <v>35</v>
      </c>
      <c r="R8" s="2345" t="s">
        <v>36</v>
      </c>
      <c r="S8" s="2345" t="s">
        <v>37</v>
      </c>
      <c r="T8" s="2345" t="s">
        <v>38</v>
      </c>
      <c r="U8" s="2345" t="s">
        <v>39</v>
      </c>
      <c r="V8" s="2345" t="s">
        <v>40</v>
      </c>
      <c r="W8" s="2345" t="s">
        <v>41</v>
      </c>
      <c r="X8" s="2541" t="s">
        <v>42</v>
      </c>
      <c r="Y8" s="2542"/>
      <c r="Z8" s="2543"/>
      <c r="AA8" s="2345" t="s">
        <v>43</v>
      </c>
      <c r="AB8" s="2345" t="s">
        <v>44</v>
      </c>
      <c r="AC8" s="2345" t="s">
        <v>26</v>
      </c>
      <c r="AD8" s="2358" t="s">
        <v>45</v>
      </c>
      <c r="AE8" s="2359"/>
      <c r="AF8" s="2341" t="s">
        <v>46</v>
      </c>
      <c r="AG8" s="2342"/>
      <c r="AH8" s="2341" t="s">
        <v>47</v>
      </c>
      <c r="AI8" s="2342"/>
      <c r="AJ8" s="2341" t="s">
        <v>48</v>
      </c>
      <c r="AK8" s="2342"/>
      <c r="AL8" s="2341" t="s">
        <v>49</v>
      </c>
      <c r="AM8" s="2342"/>
      <c r="AN8" s="2341" t="s">
        <v>50</v>
      </c>
      <c r="AO8" s="2342"/>
      <c r="AP8" s="2340" t="s">
        <v>51</v>
      </c>
      <c r="AQ8" s="2340"/>
      <c r="AR8" s="2340" t="s">
        <v>52</v>
      </c>
      <c r="AS8" s="2340"/>
      <c r="AT8" s="2340" t="s">
        <v>53</v>
      </c>
      <c r="AU8" s="2340"/>
      <c r="AV8" s="2340" t="s">
        <v>54</v>
      </c>
      <c r="AW8" s="2340"/>
      <c r="AX8" s="2340" t="s">
        <v>55</v>
      </c>
      <c r="AY8" s="2340"/>
      <c r="AZ8" s="2340" t="s">
        <v>56</v>
      </c>
      <c r="BA8" s="2340"/>
      <c r="BB8" s="2340" t="s">
        <v>57</v>
      </c>
      <c r="BC8" s="2340"/>
      <c r="BD8" s="2340" t="s">
        <v>58</v>
      </c>
      <c r="BE8" s="2340"/>
      <c r="BF8" s="2340" t="s">
        <v>59</v>
      </c>
      <c r="BG8" s="2340"/>
      <c r="BH8" s="2357"/>
      <c r="BI8" s="2357"/>
      <c r="BJ8" s="3592" t="s">
        <v>60</v>
      </c>
      <c r="BK8" s="3780" t="s">
        <v>61</v>
      </c>
      <c r="BL8" s="3592" t="s">
        <v>62</v>
      </c>
      <c r="BM8" s="3782" t="s">
        <v>63</v>
      </c>
      <c r="BN8" s="3592" t="s">
        <v>64</v>
      </c>
      <c r="BO8" s="3592" t="s">
        <v>65</v>
      </c>
      <c r="BP8" s="2853"/>
      <c r="BQ8" s="2537"/>
      <c r="BR8" s="2853"/>
      <c r="BS8" s="2537"/>
      <c r="BT8" s="2381"/>
      <c r="BU8" s="2"/>
      <c r="BV8" s="2"/>
      <c r="BW8" s="2"/>
      <c r="BX8" s="2"/>
      <c r="BY8" s="2"/>
      <c r="BZ8" s="2"/>
      <c r="CA8" s="2"/>
      <c r="CB8" s="2"/>
      <c r="CC8" s="2"/>
      <c r="CD8" s="2"/>
      <c r="CE8" s="2"/>
      <c r="CF8" s="2"/>
      <c r="CG8" s="2"/>
      <c r="CH8" s="2"/>
      <c r="CI8" s="2"/>
      <c r="CJ8" s="2"/>
      <c r="CK8" s="2"/>
      <c r="CL8" s="2"/>
      <c r="CM8" s="2"/>
      <c r="CN8" s="2"/>
    </row>
    <row r="9" spans="1:92" ht="33" customHeight="1" x14ac:dyDescent="0.25">
      <c r="A9" s="3779"/>
      <c r="B9" s="2346"/>
      <c r="C9" s="2346"/>
      <c r="D9" s="2346"/>
      <c r="E9" s="2346"/>
      <c r="F9" s="2346"/>
      <c r="G9" s="2346"/>
      <c r="H9" s="3778"/>
      <c r="I9" s="3778"/>
      <c r="J9" s="3778"/>
      <c r="K9" s="3778"/>
      <c r="L9" s="3778"/>
      <c r="M9" s="3778"/>
      <c r="N9" s="3788"/>
      <c r="O9" s="13" t="s">
        <v>66</v>
      </c>
      <c r="P9" s="13" t="s">
        <v>67</v>
      </c>
      <c r="Q9" s="3778"/>
      <c r="R9" s="3778"/>
      <c r="S9" s="3778"/>
      <c r="T9" s="3778"/>
      <c r="U9" s="3778"/>
      <c r="V9" s="3778"/>
      <c r="W9" s="3778"/>
      <c r="X9" s="296" t="s">
        <v>68</v>
      </c>
      <c r="Y9" s="296" t="s">
        <v>69</v>
      </c>
      <c r="Z9" s="296" t="s">
        <v>70</v>
      </c>
      <c r="AA9" s="3778"/>
      <c r="AB9" s="3778"/>
      <c r="AC9" s="3778"/>
      <c r="AD9" s="13" t="s">
        <v>66</v>
      </c>
      <c r="AE9" s="13" t="s">
        <v>67</v>
      </c>
      <c r="AF9" s="13" t="s">
        <v>66</v>
      </c>
      <c r="AG9" s="13" t="s">
        <v>67</v>
      </c>
      <c r="AH9" s="13" t="s">
        <v>66</v>
      </c>
      <c r="AI9" s="13" t="s">
        <v>67</v>
      </c>
      <c r="AJ9" s="13" t="s">
        <v>66</v>
      </c>
      <c r="AK9" s="13" t="s">
        <v>67</v>
      </c>
      <c r="AL9" s="13" t="s">
        <v>66</v>
      </c>
      <c r="AM9" s="13" t="s">
        <v>67</v>
      </c>
      <c r="AN9" s="13" t="s">
        <v>66</v>
      </c>
      <c r="AO9" s="13" t="s">
        <v>67</v>
      </c>
      <c r="AP9" s="13" t="s">
        <v>66</v>
      </c>
      <c r="AQ9" s="13" t="s">
        <v>67</v>
      </c>
      <c r="AR9" s="13" t="s">
        <v>66</v>
      </c>
      <c r="AS9" s="13" t="s">
        <v>67</v>
      </c>
      <c r="AT9" s="13" t="s">
        <v>66</v>
      </c>
      <c r="AU9" s="13" t="s">
        <v>67</v>
      </c>
      <c r="AV9" s="13" t="s">
        <v>66</v>
      </c>
      <c r="AW9" s="13" t="s">
        <v>67</v>
      </c>
      <c r="AX9" s="13" t="s">
        <v>66</v>
      </c>
      <c r="AY9" s="13" t="s">
        <v>67</v>
      </c>
      <c r="AZ9" s="13" t="s">
        <v>66</v>
      </c>
      <c r="BA9" s="13" t="s">
        <v>67</v>
      </c>
      <c r="BB9" s="13" t="s">
        <v>66</v>
      </c>
      <c r="BC9" s="13" t="s">
        <v>67</v>
      </c>
      <c r="BD9" s="13" t="s">
        <v>66</v>
      </c>
      <c r="BE9" s="13" t="s">
        <v>67</v>
      </c>
      <c r="BF9" s="13" t="s">
        <v>66</v>
      </c>
      <c r="BG9" s="13" t="s">
        <v>67</v>
      </c>
      <c r="BH9" s="13" t="s">
        <v>66</v>
      </c>
      <c r="BI9" s="13" t="s">
        <v>67</v>
      </c>
      <c r="BJ9" s="3593"/>
      <c r="BK9" s="3781"/>
      <c r="BL9" s="3593"/>
      <c r="BM9" s="3783"/>
      <c r="BN9" s="3593"/>
      <c r="BO9" s="3593"/>
      <c r="BP9" s="17" t="s">
        <v>66</v>
      </c>
      <c r="BQ9" s="17" t="s">
        <v>67</v>
      </c>
      <c r="BR9" s="17" t="s">
        <v>66</v>
      </c>
      <c r="BS9" s="17" t="s">
        <v>67</v>
      </c>
      <c r="BT9" s="2382"/>
      <c r="BU9" s="2"/>
      <c r="BV9" s="2"/>
      <c r="BW9" s="2"/>
      <c r="BX9" s="2"/>
      <c r="BY9" s="2"/>
      <c r="BZ9" s="2"/>
      <c r="CA9" s="2"/>
      <c r="CB9" s="2"/>
      <c r="CC9" s="2"/>
      <c r="CD9" s="2"/>
      <c r="CE9" s="2"/>
      <c r="CF9" s="2"/>
      <c r="CG9" s="2"/>
      <c r="CH9" s="2"/>
      <c r="CI9" s="2"/>
      <c r="CJ9" s="2"/>
      <c r="CK9" s="2"/>
      <c r="CL9" s="2"/>
      <c r="CM9" s="2"/>
      <c r="CN9" s="2"/>
    </row>
    <row r="10" spans="1:92" ht="15.75" x14ac:dyDescent="0.25">
      <c r="A10" s="373">
        <v>4</v>
      </c>
      <c r="B10" s="374" t="s">
        <v>363</v>
      </c>
      <c r="C10" s="375"/>
      <c r="D10" s="375"/>
      <c r="E10" s="375"/>
      <c r="F10" s="375"/>
      <c r="G10" s="375"/>
      <c r="H10" s="376"/>
      <c r="I10" s="377"/>
      <c r="J10" s="376"/>
      <c r="K10" s="377"/>
      <c r="L10" s="376"/>
      <c r="M10" s="377"/>
      <c r="N10" s="376"/>
      <c r="O10" s="377"/>
      <c r="P10" s="377"/>
      <c r="Q10" s="377"/>
      <c r="R10" s="376"/>
      <c r="S10" s="378"/>
      <c r="T10" s="379"/>
      <c r="U10" s="380"/>
      <c r="V10" s="376"/>
      <c r="W10" s="376"/>
      <c r="X10" s="379"/>
      <c r="Y10" s="379"/>
      <c r="Z10" s="379"/>
      <c r="AA10" s="377"/>
      <c r="AB10" s="381"/>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19"/>
      <c r="BC10" s="19"/>
      <c r="BD10" s="19"/>
      <c r="BE10" s="19"/>
      <c r="BF10" s="19"/>
      <c r="BG10" s="19"/>
      <c r="BH10" s="19"/>
      <c r="BI10" s="19"/>
      <c r="BJ10" s="19"/>
      <c r="BK10" s="19"/>
      <c r="BL10" s="19"/>
      <c r="BM10" s="19"/>
      <c r="BN10" s="19"/>
      <c r="BO10" s="19"/>
      <c r="BP10" s="26"/>
      <c r="BQ10" s="26"/>
      <c r="BR10" s="26"/>
      <c r="BS10" s="26"/>
      <c r="BT10" s="382"/>
      <c r="BU10" s="2"/>
      <c r="BV10" s="2"/>
      <c r="BW10" s="2"/>
      <c r="BX10" s="2"/>
      <c r="BY10" s="2"/>
      <c r="BZ10" s="2"/>
      <c r="CA10" s="2"/>
      <c r="CB10" s="2"/>
      <c r="CC10" s="2"/>
      <c r="CD10" s="2"/>
      <c r="CE10" s="2"/>
      <c r="CF10" s="2"/>
      <c r="CG10" s="2"/>
      <c r="CH10" s="2"/>
      <c r="CI10" s="2"/>
      <c r="CJ10" s="2"/>
      <c r="CK10" s="2"/>
      <c r="CL10" s="2"/>
      <c r="CM10" s="2"/>
      <c r="CN10" s="2"/>
    </row>
    <row r="11" spans="1:92" s="70" customFormat="1" ht="15.75" x14ac:dyDescent="0.25">
      <c r="A11" s="383"/>
      <c r="B11" s="384"/>
      <c r="C11" s="31">
        <v>45</v>
      </c>
      <c r="D11" s="3374" t="s">
        <v>72</v>
      </c>
      <c r="E11" s="3375"/>
      <c r="F11" s="3375"/>
      <c r="G11" s="3375"/>
      <c r="H11" s="3375"/>
      <c r="I11" s="33"/>
      <c r="J11" s="32"/>
      <c r="K11" s="33"/>
      <c r="L11" s="32"/>
      <c r="M11" s="33"/>
      <c r="N11" s="32"/>
      <c r="O11" s="33"/>
      <c r="P11" s="33"/>
      <c r="Q11" s="33"/>
      <c r="R11" s="32"/>
      <c r="S11" s="35"/>
      <c r="T11" s="37"/>
      <c r="U11" s="385"/>
      <c r="V11" s="32"/>
      <c r="W11" s="32"/>
      <c r="X11" s="37"/>
      <c r="Y11" s="37"/>
      <c r="Z11" s="37"/>
      <c r="AA11" s="33"/>
      <c r="AB11" s="38"/>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9"/>
      <c r="BQ11" s="39"/>
      <c r="BR11" s="39"/>
      <c r="BS11" s="39"/>
      <c r="BT11" s="386"/>
    </row>
    <row r="12" spans="1:92" s="2" customFormat="1" ht="15.75" x14ac:dyDescent="0.25">
      <c r="A12" s="387"/>
      <c r="B12" s="388"/>
      <c r="C12" s="389"/>
      <c r="D12" s="390"/>
      <c r="E12" s="391">
        <v>4599</v>
      </c>
      <c r="F12" s="3773" t="s">
        <v>364</v>
      </c>
      <c r="G12" s="2923"/>
      <c r="H12" s="2923"/>
      <c r="I12" s="2923"/>
      <c r="J12" s="2923"/>
      <c r="K12" s="392"/>
      <c r="L12" s="393"/>
      <c r="M12" s="392"/>
      <c r="N12" s="393"/>
      <c r="O12" s="392"/>
      <c r="P12" s="392"/>
      <c r="Q12" s="392"/>
      <c r="R12" s="393"/>
      <c r="S12" s="392"/>
      <c r="T12" s="392"/>
      <c r="U12" s="394"/>
      <c r="V12" s="393"/>
      <c r="W12" s="393"/>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57"/>
      <c r="BC12" s="57"/>
      <c r="BD12" s="57"/>
      <c r="BE12" s="57"/>
      <c r="BF12" s="57"/>
      <c r="BG12" s="57"/>
      <c r="BH12" s="57"/>
      <c r="BI12" s="57"/>
      <c r="BJ12" s="57"/>
      <c r="BK12" s="57"/>
      <c r="BL12" s="57"/>
      <c r="BM12" s="57"/>
      <c r="BN12" s="57"/>
      <c r="BO12" s="57"/>
      <c r="BP12" s="59"/>
      <c r="BQ12" s="59"/>
      <c r="BR12" s="59"/>
      <c r="BS12" s="59"/>
      <c r="BT12" s="60"/>
    </row>
    <row r="13" spans="1:92" s="2" customFormat="1" ht="78.75" customHeight="1" x14ac:dyDescent="0.25">
      <c r="A13" s="387"/>
      <c r="B13" s="388"/>
      <c r="C13" s="396"/>
      <c r="D13" s="397"/>
      <c r="E13" s="327"/>
      <c r="F13" s="334"/>
      <c r="G13" s="2275" t="s">
        <v>74</v>
      </c>
      <c r="H13" s="2281" t="s">
        <v>365</v>
      </c>
      <c r="I13" s="2275">
        <v>4599023</v>
      </c>
      <c r="J13" s="2281" t="s">
        <v>271</v>
      </c>
      <c r="K13" s="2431" t="s">
        <v>74</v>
      </c>
      <c r="L13" s="2281" t="s">
        <v>366</v>
      </c>
      <c r="M13" s="2431">
        <v>45990231</v>
      </c>
      <c r="N13" s="2281" t="s">
        <v>367</v>
      </c>
      <c r="O13" s="3746">
        <v>1</v>
      </c>
      <c r="P13" s="3748" t="s">
        <v>368</v>
      </c>
      <c r="Q13" s="3562" t="s">
        <v>369</v>
      </c>
      <c r="R13" s="3732" t="s">
        <v>370</v>
      </c>
      <c r="S13" s="3774">
        <f>SUM(X13:X14)/T13</f>
        <v>1</v>
      </c>
      <c r="T13" s="3775">
        <f>SUM(X13:X14)</f>
        <v>250000000</v>
      </c>
      <c r="U13" s="3776" t="s">
        <v>371</v>
      </c>
      <c r="V13" s="3776" t="s">
        <v>372</v>
      </c>
      <c r="W13" s="3777" t="s">
        <v>373</v>
      </c>
      <c r="X13" s="398">
        <f>250000000-10000000</f>
        <v>240000000</v>
      </c>
      <c r="Y13" s="399">
        <v>156799992</v>
      </c>
      <c r="Z13" s="399">
        <v>77540000</v>
      </c>
      <c r="AA13" s="400" t="s">
        <v>374</v>
      </c>
      <c r="AB13" s="3766">
        <v>20</v>
      </c>
      <c r="AC13" s="3768" t="s">
        <v>86</v>
      </c>
      <c r="AD13" s="3763">
        <v>295972</v>
      </c>
      <c r="AE13" s="3763">
        <v>295972</v>
      </c>
      <c r="AF13" s="3763">
        <v>285580</v>
      </c>
      <c r="AG13" s="3763">
        <v>285580</v>
      </c>
      <c r="AH13" s="3763">
        <v>135545</v>
      </c>
      <c r="AI13" s="3763">
        <v>135545</v>
      </c>
      <c r="AJ13" s="3763">
        <v>44254</v>
      </c>
      <c r="AK13" s="3763">
        <v>44254</v>
      </c>
      <c r="AL13" s="3763">
        <v>309146</v>
      </c>
      <c r="AM13" s="3763">
        <v>309146</v>
      </c>
      <c r="AN13" s="3763">
        <v>92607</v>
      </c>
      <c r="AO13" s="3763">
        <v>92607</v>
      </c>
      <c r="AP13" s="3763">
        <v>2145</v>
      </c>
      <c r="AQ13" s="3763">
        <v>2145</v>
      </c>
      <c r="AR13" s="3763">
        <v>12718</v>
      </c>
      <c r="AS13" s="3763">
        <v>12718</v>
      </c>
      <c r="AT13" s="3763">
        <v>26</v>
      </c>
      <c r="AU13" s="3763">
        <v>26</v>
      </c>
      <c r="AV13" s="3763">
        <v>37</v>
      </c>
      <c r="AW13" s="3763">
        <v>37</v>
      </c>
      <c r="AX13" s="3763"/>
      <c r="AY13" s="3763"/>
      <c r="AZ13" s="3763"/>
      <c r="BA13" s="3763"/>
      <c r="BB13" s="3763">
        <v>44350</v>
      </c>
      <c r="BC13" s="3763">
        <v>44350</v>
      </c>
      <c r="BD13" s="3763">
        <v>21944</v>
      </c>
      <c r="BE13" s="3763">
        <v>21944</v>
      </c>
      <c r="BF13" s="3763">
        <v>75687</v>
      </c>
      <c r="BG13" s="3763">
        <v>75687</v>
      </c>
      <c r="BH13" s="3763">
        <v>581552</v>
      </c>
      <c r="BI13" s="3763">
        <v>581552</v>
      </c>
      <c r="BJ13" s="3737">
        <v>11</v>
      </c>
      <c r="BK13" s="3758">
        <f>+Y13+Y14</f>
        <v>166799992</v>
      </c>
      <c r="BL13" s="3758">
        <f>+Z13+Z14</f>
        <v>77540000</v>
      </c>
      <c r="BM13" s="2419">
        <f>+BL13/BK13</f>
        <v>0.46486812781142101</v>
      </c>
      <c r="BN13" s="3761">
        <v>20</v>
      </c>
      <c r="BO13" s="3762" t="s">
        <v>375</v>
      </c>
      <c r="BP13" s="2642">
        <v>44198</v>
      </c>
      <c r="BQ13" s="2383">
        <v>44230</v>
      </c>
      <c r="BR13" s="2642">
        <v>44561</v>
      </c>
      <c r="BS13" s="2683">
        <v>44494</v>
      </c>
      <c r="BT13" s="3736" t="s">
        <v>376</v>
      </c>
    </row>
    <row r="14" spans="1:92" s="2" customFormat="1" ht="115.5" customHeight="1" x14ac:dyDescent="0.25">
      <c r="A14" s="387"/>
      <c r="B14" s="388"/>
      <c r="C14" s="396"/>
      <c r="D14" s="397"/>
      <c r="E14" s="327"/>
      <c r="F14" s="334"/>
      <c r="G14" s="2275"/>
      <c r="H14" s="2281"/>
      <c r="I14" s="2275"/>
      <c r="J14" s="2281"/>
      <c r="K14" s="2431"/>
      <c r="L14" s="2281"/>
      <c r="M14" s="2431"/>
      <c r="N14" s="2281"/>
      <c r="O14" s="3746"/>
      <c r="P14" s="3772"/>
      <c r="Q14" s="3562"/>
      <c r="R14" s="3732"/>
      <c r="S14" s="3774"/>
      <c r="T14" s="3775"/>
      <c r="U14" s="3776"/>
      <c r="V14" s="3776"/>
      <c r="W14" s="3777"/>
      <c r="X14" s="401">
        <v>10000000</v>
      </c>
      <c r="Y14" s="401">
        <v>10000000</v>
      </c>
      <c r="Z14" s="401">
        <v>0</v>
      </c>
      <c r="AA14" s="402" t="s">
        <v>377</v>
      </c>
      <c r="AB14" s="3767"/>
      <c r="AC14" s="3769"/>
      <c r="AD14" s="3764"/>
      <c r="AE14" s="3764"/>
      <c r="AF14" s="3764"/>
      <c r="AG14" s="3764"/>
      <c r="AH14" s="3764"/>
      <c r="AI14" s="3764"/>
      <c r="AJ14" s="3764"/>
      <c r="AK14" s="3764"/>
      <c r="AL14" s="3764"/>
      <c r="AM14" s="3764"/>
      <c r="AN14" s="3764"/>
      <c r="AO14" s="3764"/>
      <c r="AP14" s="3764"/>
      <c r="AQ14" s="3764"/>
      <c r="AR14" s="3764"/>
      <c r="AS14" s="3764"/>
      <c r="AT14" s="3764"/>
      <c r="AU14" s="3764"/>
      <c r="AV14" s="3764"/>
      <c r="AW14" s="3764"/>
      <c r="AX14" s="3764"/>
      <c r="AY14" s="3764"/>
      <c r="AZ14" s="3764"/>
      <c r="BA14" s="3764"/>
      <c r="BB14" s="3764"/>
      <c r="BC14" s="3764"/>
      <c r="BD14" s="3764"/>
      <c r="BE14" s="3764"/>
      <c r="BF14" s="3764"/>
      <c r="BG14" s="3764"/>
      <c r="BH14" s="3764"/>
      <c r="BI14" s="3764"/>
      <c r="BJ14" s="3738"/>
      <c r="BK14" s="3760"/>
      <c r="BL14" s="3760"/>
      <c r="BM14" s="2419"/>
      <c r="BN14" s="3761"/>
      <c r="BO14" s="3762"/>
      <c r="BP14" s="2642"/>
      <c r="BQ14" s="3619"/>
      <c r="BR14" s="2642"/>
      <c r="BS14" s="2685"/>
      <c r="BT14" s="3736"/>
    </row>
    <row r="15" spans="1:92" s="2" customFormat="1" ht="30" x14ac:dyDescent="0.25">
      <c r="A15" s="387"/>
      <c r="B15" s="388"/>
      <c r="C15" s="396"/>
      <c r="D15" s="397"/>
      <c r="E15" s="403"/>
      <c r="F15" s="335"/>
      <c r="G15" s="3148" t="s">
        <v>74</v>
      </c>
      <c r="H15" s="2397" t="s">
        <v>378</v>
      </c>
      <c r="I15" s="3148">
        <v>4599029</v>
      </c>
      <c r="J15" s="2294" t="s">
        <v>379</v>
      </c>
      <c r="K15" s="2300" t="s">
        <v>74</v>
      </c>
      <c r="L15" s="2723" t="s">
        <v>380</v>
      </c>
      <c r="M15" s="2300">
        <v>459902900</v>
      </c>
      <c r="N15" s="2723" t="s">
        <v>118</v>
      </c>
      <c r="O15" s="2300">
        <v>1</v>
      </c>
      <c r="P15" s="2664" t="s">
        <v>381</v>
      </c>
      <c r="Q15" s="2294" t="s">
        <v>382</v>
      </c>
      <c r="R15" s="2396" t="s">
        <v>383</v>
      </c>
      <c r="S15" s="2456">
        <f>SUM(X15:X18)/T15</f>
        <v>1</v>
      </c>
      <c r="T15" s="3765">
        <v>782000000</v>
      </c>
      <c r="U15" s="3770" t="s">
        <v>384</v>
      </c>
      <c r="V15" s="3771" t="s">
        <v>385</v>
      </c>
      <c r="W15" s="3755" t="s">
        <v>386</v>
      </c>
      <c r="X15" s="405">
        <v>150000000</v>
      </c>
      <c r="Y15" s="399">
        <v>149290000</v>
      </c>
      <c r="Z15" s="399">
        <v>117982833</v>
      </c>
      <c r="AA15" s="66" t="s">
        <v>387</v>
      </c>
      <c r="AB15" s="406">
        <v>20</v>
      </c>
      <c r="AC15" s="407" t="s">
        <v>86</v>
      </c>
      <c r="AD15" s="2810">
        <v>295972</v>
      </c>
      <c r="AE15" s="2810">
        <v>295972</v>
      </c>
      <c r="AF15" s="2810">
        <v>285580</v>
      </c>
      <c r="AG15" s="2810">
        <v>285580</v>
      </c>
      <c r="AH15" s="2810">
        <v>135545</v>
      </c>
      <c r="AI15" s="2810">
        <v>135545</v>
      </c>
      <c r="AJ15" s="2810">
        <v>44254</v>
      </c>
      <c r="AK15" s="2810">
        <v>44254</v>
      </c>
      <c r="AL15" s="2810">
        <v>309146</v>
      </c>
      <c r="AM15" s="2810">
        <v>309146</v>
      </c>
      <c r="AN15" s="2810">
        <v>92607</v>
      </c>
      <c r="AO15" s="2810">
        <v>92607</v>
      </c>
      <c r="AP15" s="2810">
        <v>2145</v>
      </c>
      <c r="AQ15" s="2810">
        <v>2145</v>
      </c>
      <c r="AR15" s="2810">
        <v>12718</v>
      </c>
      <c r="AS15" s="2810">
        <v>12718</v>
      </c>
      <c r="AT15" s="2810">
        <v>26</v>
      </c>
      <c r="AU15" s="2810">
        <v>26</v>
      </c>
      <c r="AV15" s="2810">
        <v>37</v>
      </c>
      <c r="AW15" s="2810">
        <v>37</v>
      </c>
      <c r="AX15" s="2810"/>
      <c r="AY15" s="2810"/>
      <c r="AZ15" s="2810"/>
      <c r="BA15" s="2810"/>
      <c r="BB15" s="2810">
        <v>44350</v>
      </c>
      <c r="BC15" s="2810">
        <v>44350</v>
      </c>
      <c r="BD15" s="2810">
        <v>21944</v>
      </c>
      <c r="BE15" s="2810">
        <v>21944</v>
      </c>
      <c r="BF15" s="2810">
        <v>75687</v>
      </c>
      <c r="BG15" s="2810">
        <v>75687</v>
      </c>
      <c r="BH15" s="2810">
        <v>581552</v>
      </c>
      <c r="BI15" s="2810">
        <v>581552</v>
      </c>
      <c r="BJ15" s="3737">
        <v>13</v>
      </c>
      <c r="BK15" s="3758">
        <f>+Y15+Y16+Y17+Y18</f>
        <v>160830000</v>
      </c>
      <c r="BL15" s="3758">
        <f>+Z15+Z16+Z17+Z18</f>
        <v>117982833</v>
      </c>
      <c r="BM15" s="2419">
        <f>+BL15/BK15</f>
        <v>0.73358722253310948</v>
      </c>
      <c r="BN15" s="3761" t="s">
        <v>388</v>
      </c>
      <c r="BO15" s="2718" t="s">
        <v>389</v>
      </c>
      <c r="BP15" s="2642">
        <v>44198</v>
      </c>
      <c r="BQ15" s="2686">
        <v>44228</v>
      </c>
      <c r="BR15" s="2642">
        <v>44561</v>
      </c>
      <c r="BS15" s="2683">
        <v>44453</v>
      </c>
      <c r="BT15" s="2654" t="s">
        <v>376</v>
      </c>
    </row>
    <row r="16" spans="1:92" s="2" customFormat="1" ht="45" x14ac:dyDescent="0.25">
      <c r="A16" s="387"/>
      <c r="B16" s="388"/>
      <c r="C16" s="396"/>
      <c r="D16" s="397"/>
      <c r="E16" s="403"/>
      <c r="F16" s="335"/>
      <c r="G16" s="3148"/>
      <c r="H16" s="2397"/>
      <c r="I16" s="3148"/>
      <c r="J16" s="2294"/>
      <c r="K16" s="2300"/>
      <c r="L16" s="2723"/>
      <c r="M16" s="2300"/>
      <c r="N16" s="2723"/>
      <c r="O16" s="2300"/>
      <c r="P16" s="2664"/>
      <c r="Q16" s="2294"/>
      <c r="R16" s="2396"/>
      <c r="S16" s="2456"/>
      <c r="T16" s="3765"/>
      <c r="U16" s="3770"/>
      <c r="V16" s="3771"/>
      <c r="W16" s="3756"/>
      <c r="X16" s="405">
        <v>182000000</v>
      </c>
      <c r="Y16" s="399">
        <v>11540000</v>
      </c>
      <c r="Z16" s="399">
        <v>0</v>
      </c>
      <c r="AA16" s="66" t="s">
        <v>390</v>
      </c>
      <c r="AB16" s="406">
        <v>88</v>
      </c>
      <c r="AC16" s="409" t="s">
        <v>391</v>
      </c>
      <c r="AD16" s="2810"/>
      <c r="AE16" s="2810"/>
      <c r="AF16" s="2810"/>
      <c r="AG16" s="2810"/>
      <c r="AH16" s="2810"/>
      <c r="AI16" s="2810"/>
      <c r="AJ16" s="2810"/>
      <c r="AK16" s="2810"/>
      <c r="AL16" s="2810"/>
      <c r="AM16" s="2810"/>
      <c r="AN16" s="2810"/>
      <c r="AO16" s="2810"/>
      <c r="AP16" s="2810"/>
      <c r="AQ16" s="2810"/>
      <c r="AR16" s="2810"/>
      <c r="AS16" s="2810"/>
      <c r="AT16" s="2810"/>
      <c r="AU16" s="2810"/>
      <c r="AV16" s="2810"/>
      <c r="AW16" s="2810"/>
      <c r="AX16" s="2810"/>
      <c r="AY16" s="2810"/>
      <c r="AZ16" s="2810"/>
      <c r="BA16" s="2810"/>
      <c r="BB16" s="2810"/>
      <c r="BC16" s="2810"/>
      <c r="BD16" s="2810"/>
      <c r="BE16" s="2810"/>
      <c r="BF16" s="2810"/>
      <c r="BG16" s="2810"/>
      <c r="BH16" s="2810"/>
      <c r="BI16" s="2810"/>
      <c r="BJ16" s="3757"/>
      <c r="BK16" s="3759"/>
      <c r="BL16" s="3759"/>
      <c r="BM16" s="2419"/>
      <c r="BN16" s="3761"/>
      <c r="BO16" s="2783"/>
      <c r="BP16" s="2642"/>
      <c r="BQ16" s="2687"/>
      <c r="BR16" s="2642"/>
      <c r="BS16" s="2684"/>
      <c r="BT16" s="2654"/>
    </row>
    <row r="17" spans="1:72" s="2" customFormat="1" ht="30" x14ac:dyDescent="0.25">
      <c r="A17" s="410"/>
      <c r="B17" s="411"/>
      <c r="C17" s="396"/>
      <c r="D17" s="397"/>
      <c r="E17" s="412"/>
      <c r="F17" s="62"/>
      <c r="G17" s="3148"/>
      <c r="H17" s="2397"/>
      <c r="I17" s="3148"/>
      <c r="J17" s="2294"/>
      <c r="K17" s="2300"/>
      <c r="L17" s="2723"/>
      <c r="M17" s="2300"/>
      <c r="N17" s="2723"/>
      <c r="O17" s="2300"/>
      <c r="P17" s="2664"/>
      <c r="Q17" s="2294"/>
      <c r="R17" s="2396"/>
      <c r="S17" s="2456"/>
      <c r="T17" s="3765"/>
      <c r="U17" s="3770"/>
      <c r="V17" s="3771"/>
      <c r="W17" s="3755" t="s">
        <v>392</v>
      </c>
      <c r="X17" s="405">
        <v>150000000</v>
      </c>
      <c r="Y17" s="405">
        <v>0</v>
      </c>
      <c r="Z17" s="405">
        <v>0</v>
      </c>
      <c r="AA17" s="66" t="s">
        <v>393</v>
      </c>
      <c r="AB17" s="406">
        <v>20</v>
      </c>
      <c r="AC17" s="407" t="s">
        <v>86</v>
      </c>
      <c r="AD17" s="2810"/>
      <c r="AE17" s="2810"/>
      <c r="AF17" s="2810"/>
      <c r="AG17" s="2810"/>
      <c r="AH17" s="2810"/>
      <c r="AI17" s="2810"/>
      <c r="AJ17" s="2810"/>
      <c r="AK17" s="2810"/>
      <c r="AL17" s="2810"/>
      <c r="AM17" s="2810"/>
      <c r="AN17" s="2810"/>
      <c r="AO17" s="2810"/>
      <c r="AP17" s="2810"/>
      <c r="AQ17" s="2810"/>
      <c r="AR17" s="2810"/>
      <c r="AS17" s="2810"/>
      <c r="AT17" s="2810"/>
      <c r="AU17" s="2810"/>
      <c r="AV17" s="2810"/>
      <c r="AW17" s="2810"/>
      <c r="AX17" s="2810"/>
      <c r="AY17" s="2810"/>
      <c r="AZ17" s="2810"/>
      <c r="BA17" s="2810"/>
      <c r="BB17" s="2810"/>
      <c r="BC17" s="2810"/>
      <c r="BD17" s="2810"/>
      <c r="BE17" s="2810"/>
      <c r="BF17" s="2810"/>
      <c r="BG17" s="2810"/>
      <c r="BH17" s="2810"/>
      <c r="BI17" s="2810"/>
      <c r="BJ17" s="3757"/>
      <c r="BK17" s="3759"/>
      <c r="BL17" s="3759"/>
      <c r="BM17" s="2419"/>
      <c r="BN17" s="3761"/>
      <c r="BO17" s="2783"/>
      <c r="BP17" s="2642"/>
      <c r="BQ17" s="2687"/>
      <c r="BR17" s="2642"/>
      <c r="BS17" s="2684"/>
      <c r="BT17" s="2654"/>
    </row>
    <row r="18" spans="1:72" s="2" customFormat="1" ht="45" x14ac:dyDescent="0.25">
      <c r="A18" s="410"/>
      <c r="B18" s="411"/>
      <c r="C18" s="396"/>
      <c r="D18" s="397"/>
      <c r="E18" s="412"/>
      <c r="F18" s="62"/>
      <c r="G18" s="3148"/>
      <c r="H18" s="2397"/>
      <c r="I18" s="3148"/>
      <c r="J18" s="2294"/>
      <c r="K18" s="2300"/>
      <c r="L18" s="2723"/>
      <c r="M18" s="2300"/>
      <c r="N18" s="2723"/>
      <c r="O18" s="2300"/>
      <c r="P18" s="2664"/>
      <c r="Q18" s="2294"/>
      <c r="R18" s="2396"/>
      <c r="S18" s="2456"/>
      <c r="T18" s="3765"/>
      <c r="U18" s="3770"/>
      <c r="V18" s="3771"/>
      <c r="W18" s="3756"/>
      <c r="X18" s="405">
        <v>300000000</v>
      </c>
      <c r="Y18" s="405">
        <v>0</v>
      </c>
      <c r="Z18" s="405">
        <v>0</v>
      </c>
      <c r="AA18" s="66" t="s">
        <v>394</v>
      </c>
      <c r="AB18" s="406">
        <v>88</v>
      </c>
      <c r="AC18" s="409" t="s">
        <v>391</v>
      </c>
      <c r="AD18" s="2810"/>
      <c r="AE18" s="2810"/>
      <c r="AF18" s="2810"/>
      <c r="AG18" s="2810"/>
      <c r="AH18" s="2810"/>
      <c r="AI18" s="2810"/>
      <c r="AJ18" s="2810"/>
      <c r="AK18" s="2810"/>
      <c r="AL18" s="2810"/>
      <c r="AM18" s="2810"/>
      <c r="AN18" s="2810"/>
      <c r="AO18" s="2810"/>
      <c r="AP18" s="2810"/>
      <c r="AQ18" s="2810"/>
      <c r="AR18" s="2810"/>
      <c r="AS18" s="2810"/>
      <c r="AT18" s="2810"/>
      <c r="AU18" s="2810"/>
      <c r="AV18" s="2810"/>
      <c r="AW18" s="2810"/>
      <c r="AX18" s="2810"/>
      <c r="AY18" s="2810"/>
      <c r="AZ18" s="2810"/>
      <c r="BA18" s="2810"/>
      <c r="BB18" s="2810"/>
      <c r="BC18" s="2810"/>
      <c r="BD18" s="2810"/>
      <c r="BE18" s="2810"/>
      <c r="BF18" s="2810"/>
      <c r="BG18" s="2810"/>
      <c r="BH18" s="2810"/>
      <c r="BI18" s="2810"/>
      <c r="BJ18" s="3738"/>
      <c r="BK18" s="3760"/>
      <c r="BL18" s="3760"/>
      <c r="BM18" s="2419"/>
      <c r="BN18" s="3761"/>
      <c r="BO18" s="2719"/>
      <c r="BP18" s="2642"/>
      <c r="BQ18" s="2688"/>
      <c r="BR18" s="2642"/>
      <c r="BS18" s="2685"/>
      <c r="BT18" s="2654"/>
    </row>
    <row r="19" spans="1:72" ht="15.75" x14ac:dyDescent="0.25">
      <c r="A19" s="387"/>
      <c r="B19" s="388"/>
      <c r="C19" s="396"/>
      <c r="D19" s="397"/>
      <c r="E19" s="413">
        <v>4502</v>
      </c>
      <c r="F19" s="3752" t="s">
        <v>395</v>
      </c>
      <c r="G19" s="2976"/>
      <c r="H19" s="2976"/>
      <c r="I19" s="2976"/>
      <c r="J19" s="2976"/>
      <c r="K19" s="2976"/>
      <c r="L19" s="2976"/>
      <c r="M19" s="414"/>
      <c r="N19" s="415"/>
      <c r="O19" s="414"/>
      <c r="P19" s="414"/>
      <c r="Q19" s="414"/>
      <c r="R19" s="416"/>
      <c r="S19" s="417"/>
      <c r="T19" s="417"/>
      <c r="U19" s="418"/>
      <c r="V19" s="419"/>
      <c r="W19" s="419"/>
      <c r="X19" s="420"/>
      <c r="Y19" s="420"/>
      <c r="Z19" s="420"/>
      <c r="AA19" s="421"/>
      <c r="AB19" s="420"/>
      <c r="AC19" s="422"/>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3"/>
      <c r="BL19" s="423"/>
      <c r="BM19" s="424"/>
      <c r="BN19" s="420"/>
      <c r="BO19" s="419"/>
      <c r="BP19" s="420"/>
      <c r="BQ19" s="420"/>
      <c r="BR19" s="420"/>
      <c r="BS19" s="420"/>
      <c r="BT19" s="420"/>
    </row>
    <row r="20" spans="1:72" ht="100.5" customHeight="1" x14ac:dyDescent="0.25">
      <c r="A20" s="387"/>
      <c r="B20" s="388"/>
      <c r="C20" s="396"/>
      <c r="D20" s="397"/>
      <c r="E20" s="45"/>
      <c r="F20" s="63"/>
      <c r="G20" s="3753" t="s">
        <v>74</v>
      </c>
      <c r="H20" s="2281" t="s">
        <v>396</v>
      </c>
      <c r="I20" s="3753">
        <v>4502001</v>
      </c>
      <c r="J20" s="2281" t="s">
        <v>145</v>
      </c>
      <c r="K20" s="2275" t="s">
        <v>74</v>
      </c>
      <c r="L20" s="2281" t="s">
        <v>397</v>
      </c>
      <c r="M20" s="2275">
        <v>450200100</v>
      </c>
      <c r="N20" s="2281" t="s">
        <v>147</v>
      </c>
      <c r="O20" s="3746">
        <v>30</v>
      </c>
      <c r="P20" s="3748">
        <v>25</v>
      </c>
      <c r="Q20" s="2259" t="s">
        <v>398</v>
      </c>
      <c r="R20" s="3750" t="s">
        <v>399</v>
      </c>
      <c r="S20" s="3744">
        <f>SUM(X20:X21)/T20</f>
        <v>1</v>
      </c>
      <c r="T20" s="3745">
        <f>SUM(X20:X21)</f>
        <v>145000000</v>
      </c>
      <c r="U20" s="3128" t="s">
        <v>400</v>
      </c>
      <c r="V20" s="3128" t="s">
        <v>401</v>
      </c>
      <c r="W20" s="425" t="s">
        <v>402</v>
      </c>
      <c r="X20" s="426">
        <f>100000000+45000000</f>
        <v>145000000</v>
      </c>
      <c r="Y20" s="426">
        <v>56805000</v>
      </c>
      <c r="Z20" s="426">
        <v>40525000</v>
      </c>
      <c r="AA20" s="427" t="s">
        <v>403</v>
      </c>
      <c r="AB20" s="428">
        <v>20</v>
      </c>
      <c r="AC20" s="429" t="s">
        <v>86</v>
      </c>
      <c r="AD20" s="3741">
        <v>295972</v>
      </c>
      <c r="AE20" s="3741">
        <v>295972</v>
      </c>
      <c r="AF20" s="3741">
        <v>285580</v>
      </c>
      <c r="AG20" s="3741">
        <v>285580</v>
      </c>
      <c r="AH20" s="3741">
        <v>135545</v>
      </c>
      <c r="AI20" s="3741">
        <v>135545</v>
      </c>
      <c r="AJ20" s="3742">
        <v>44254</v>
      </c>
      <c r="AK20" s="3742">
        <v>44254</v>
      </c>
      <c r="AL20" s="3741">
        <v>309146</v>
      </c>
      <c r="AM20" s="3741">
        <v>309146</v>
      </c>
      <c r="AN20" s="3741">
        <v>92607</v>
      </c>
      <c r="AO20" s="3741">
        <v>92607</v>
      </c>
      <c r="AP20" s="3741">
        <v>2145</v>
      </c>
      <c r="AQ20" s="3741">
        <v>2145</v>
      </c>
      <c r="AR20" s="3741">
        <v>12718</v>
      </c>
      <c r="AS20" s="3741">
        <v>12718</v>
      </c>
      <c r="AT20" s="3741">
        <v>26</v>
      </c>
      <c r="AU20" s="3741">
        <v>26</v>
      </c>
      <c r="AV20" s="3741">
        <v>37</v>
      </c>
      <c r="AW20" s="3741">
        <v>37</v>
      </c>
      <c r="AX20" s="3741"/>
      <c r="AY20" s="3741"/>
      <c r="AZ20" s="3741"/>
      <c r="BA20" s="3741"/>
      <c r="BB20" s="3741">
        <v>44350</v>
      </c>
      <c r="BC20" s="3741">
        <v>44350</v>
      </c>
      <c r="BD20" s="2802">
        <v>21944</v>
      </c>
      <c r="BE20" s="2802">
        <v>21944</v>
      </c>
      <c r="BF20" s="2802">
        <v>75687</v>
      </c>
      <c r="BG20" s="2802">
        <v>75687</v>
      </c>
      <c r="BH20" s="2802">
        <v>581552</v>
      </c>
      <c r="BI20" s="2802">
        <v>581552</v>
      </c>
      <c r="BJ20" s="3737">
        <v>6</v>
      </c>
      <c r="BK20" s="3739">
        <f>+Y20+Y21</f>
        <v>56805000</v>
      </c>
      <c r="BL20" s="3739">
        <f>+Z20+Z21</f>
        <v>40525000</v>
      </c>
      <c r="BM20" s="2390">
        <f>+BL20/BK20</f>
        <v>0.71340551007833819</v>
      </c>
      <c r="BN20" s="2804">
        <v>20</v>
      </c>
      <c r="BO20" s="2718" t="s">
        <v>404</v>
      </c>
      <c r="BP20" s="3734">
        <v>44198</v>
      </c>
      <c r="BQ20" s="2686">
        <v>44242</v>
      </c>
      <c r="BR20" s="2688">
        <v>44561</v>
      </c>
      <c r="BS20" s="2683">
        <v>44474</v>
      </c>
      <c r="BT20" s="3735" t="s">
        <v>376</v>
      </c>
    </row>
    <row r="21" spans="1:72" ht="106.5" customHeight="1" x14ac:dyDescent="0.25">
      <c r="A21" s="387"/>
      <c r="B21" s="388"/>
      <c r="C21" s="396"/>
      <c r="D21" s="397"/>
      <c r="E21" s="43"/>
      <c r="F21" s="430"/>
      <c r="G21" s="3754"/>
      <c r="H21" s="2282"/>
      <c r="I21" s="3754"/>
      <c r="J21" s="2282"/>
      <c r="K21" s="2289"/>
      <c r="L21" s="2282"/>
      <c r="M21" s="2289"/>
      <c r="N21" s="2282"/>
      <c r="O21" s="3747"/>
      <c r="P21" s="3749"/>
      <c r="Q21" s="2260"/>
      <c r="R21" s="3751"/>
      <c r="S21" s="3744"/>
      <c r="T21" s="3745"/>
      <c r="U21" s="3128"/>
      <c r="V21" s="3128"/>
      <c r="W21" s="431" t="s">
        <v>405</v>
      </c>
      <c r="X21" s="432">
        <v>0</v>
      </c>
      <c r="Y21" s="432">
        <v>0</v>
      </c>
      <c r="Z21" s="432">
        <v>0</v>
      </c>
      <c r="AA21" s="433" t="s">
        <v>403</v>
      </c>
      <c r="AB21" s="434">
        <v>20</v>
      </c>
      <c r="AC21" s="435" t="s">
        <v>86</v>
      </c>
      <c r="AD21" s="3741"/>
      <c r="AE21" s="3741"/>
      <c r="AF21" s="3741"/>
      <c r="AG21" s="3741"/>
      <c r="AH21" s="3741"/>
      <c r="AI21" s="3741"/>
      <c r="AJ21" s="3743"/>
      <c r="AK21" s="3743"/>
      <c r="AL21" s="3741"/>
      <c r="AM21" s="3741"/>
      <c r="AN21" s="3741"/>
      <c r="AO21" s="3741"/>
      <c r="AP21" s="3741"/>
      <c r="AQ21" s="3741"/>
      <c r="AR21" s="3741"/>
      <c r="AS21" s="3741"/>
      <c r="AT21" s="3741"/>
      <c r="AU21" s="3741"/>
      <c r="AV21" s="3741"/>
      <c r="AW21" s="3741"/>
      <c r="AX21" s="3741"/>
      <c r="AY21" s="3741"/>
      <c r="AZ21" s="3741"/>
      <c r="BA21" s="3741"/>
      <c r="BB21" s="3741"/>
      <c r="BC21" s="3741"/>
      <c r="BD21" s="2810"/>
      <c r="BE21" s="2810"/>
      <c r="BF21" s="2810"/>
      <c r="BG21" s="2810"/>
      <c r="BH21" s="2810"/>
      <c r="BI21" s="2810"/>
      <c r="BJ21" s="3738"/>
      <c r="BK21" s="3740"/>
      <c r="BL21" s="3740"/>
      <c r="BM21" s="2391"/>
      <c r="BN21" s="2805"/>
      <c r="BO21" s="2719"/>
      <c r="BP21" s="3734"/>
      <c r="BQ21" s="2688"/>
      <c r="BR21" s="2642"/>
      <c r="BS21" s="2685"/>
      <c r="BT21" s="3736"/>
    </row>
    <row r="22" spans="1:72" ht="15.75" x14ac:dyDescent="0.25">
      <c r="A22" s="436"/>
      <c r="B22" s="354"/>
      <c r="C22" s="354"/>
      <c r="D22" s="354"/>
      <c r="E22" s="354"/>
      <c r="F22" s="354"/>
      <c r="G22" s="354"/>
      <c r="H22" s="355"/>
      <c r="I22" s="354"/>
      <c r="J22" s="355"/>
      <c r="K22" s="354"/>
      <c r="L22" s="355"/>
      <c r="M22" s="354"/>
      <c r="N22" s="355"/>
      <c r="O22" s="354"/>
      <c r="P22" s="354"/>
      <c r="Q22" s="354"/>
      <c r="R22" s="355"/>
      <c r="S22" s="354"/>
      <c r="T22" s="437">
        <f>SUM(T13:T21)</f>
        <v>1177000000</v>
      </c>
      <c r="U22" s="355"/>
      <c r="V22" s="355"/>
      <c r="W22" s="355" t="s">
        <v>127</v>
      </c>
      <c r="X22" s="438">
        <f>SUM(X13:X21)</f>
        <v>1177000000</v>
      </c>
      <c r="Y22" s="438">
        <f t="shared" ref="Y22:Z22" si="0">SUM(Y13:Y21)</f>
        <v>384434992</v>
      </c>
      <c r="Z22" s="438">
        <f t="shared" si="0"/>
        <v>236047833</v>
      </c>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8">
        <f>SUM(BK13:BK21)</f>
        <v>384434992</v>
      </c>
      <c r="BL22" s="358">
        <f>SUM(BL13:BL21)</f>
        <v>236047833</v>
      </c>
      <c r="BM22" s="354"/>
      <c r="BN22" s="354"/>
      <c r="BO22" s="354"/>
      <c r="BP22" s="354"/>
      <c r="BQ22" s="354"/>
      <c r="BR22" s="354"/>
      <c r="BS22" s="354"/>
      <c r="BT22" s="439"/>
    </row>
    <row r="23" spans="1:72" ht="15" x14ac:dyDescent="0.25">
      <c r="X23" s="129"/>
      <c r="Y23" s="129"/>
      <c r="Z23" s="129"/>
    </row>
    <row r="24" spans="1:72" ht="15.75" x14ac:dyDescent="0.25">
      <c r="X24" s="129"/>
      <c r="Y24" s="440">
        <v>384434992</v>
      </c>
      <c r="Z24" s="440">
        <v>236047833</v>
      </c>
      <c r="BK24" s="441">
        <v>384434992</v>
      </c>
      <c r="BL24" s="441">
        <v>236047833</v>
      </c>
    </row>
    <row r="25" spans="1:72" ht="15" x14ac:dyDescent="0.25">
      <c r="X25" s="129"/>
      <c r="Y25" s="129"/>
      <c r="Z25" s="129"/>
    </row>
    <row r="26" spans="1:72" ht="15" x14ac:dyDescent="0.25">
      <c r="X26" s="129"/>
      <c r="Y26" s="129"/>
      <c r="Z26" s="129"/>
    </row>
    <row r="27" spans="1:72" ht="15" x14ac:dyDescent="0.25">
      <c r="X27" s="129"/>
      <c r="Y27" s="129"/>
      <c r="Z27" s="129"/>
    </row>
  </sheetData>
  <sheetProtection algorithmName="SHA-512" hashValue="msv8Rw4z/xinxKLi+PeMjofHJlBnVV3DNnJ+PVlGLsU5trdYO5gBb2/TE53MKlgPfRuYdi9/kcjUREsx7Tcw3A==" saltValue="PfBO5GgE7QALhZ96iZSMdQ==" spinCount="100000" sheet="1" objects="1" scenarios="1"/>
  <mergeCells count="250">
    <mergeCell ref="A1:BR4"/>
    <mergeCell ref="A5:O6"/>
    <mergeCell ref="A7:B7"/>
    <mergeCell ref="C7:D7"/>
    <mergeCell ref="E7:F7"/>
    <mergeCell ref="G7:J7"/>
    <mergeCell ref="K7:N7"/>
    <mergeCell ref="O7:Z7"/>
    <mergeCell ref="AA7:AC7"/>
    <mergeCell ref="AD7:AG7"/>
    <mergeCell ref="BR7:BS8"/>
    <mergeCell ref="U8:U9"/>
    <mergeCell ref="I8:I9"/>
    <mergeCell ref="J8:J9"/>
    <mergeCell ref="K8:K9"/>
    <mergeCell ref="L8:L9"/>
    <mergeCell ref="M8:M9"/>
    <mergeCell ref="N8:N9"/>
    <mergeCell ref="BT7:BT9"/>
    <mergeCell ref="A8:A9"/>
    <mergeCell ref="B8:B9"/>
    <mergeCell ref="C8:C9"/>
    <mergeCell ref="D8:D9"/>
    <mergeCell ref="E8:E9"/>
    <mergeCell ref="F8:F9"/>
    <mergeCell ref="G8:G9"/>
    <mergeCell ref="H8:H9"/>
    <mergeCell ref="AH7:AO7"/>
    <mergeCell ref="AP7:BA7"/>
    <mergeCell ref="BB7:BG7"/>
    <mergeCell ref="BH7:BI8"/>
    <mergeCell ref="BJ7:BO7"/>
    <mergeCell ref="BP7:BQ8"/>
    <mergeCell ref="AP8:AQ8"/>
    <mergeCell ref="AR8:AS8"/>
    <mergeCell ref="AT8:AU8"/>
    <mergeCell ref="AV8:AW8"/>
    <mergeCell ref="BN8:BN9"/>
    <mergeCell ref="BO8:BO9"/>
    <mergeCell ref="BK8:BK9"/>
    <mergeCell ref="BL8:BL9"/>
    <mergeCell ref="BM8:BM9"/>
    <mergeCell ref="D11:H11"/>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8:P8"/>
    <mergeCell ref="Q8:Q9"/>
    <mergeCell ref="R8:R9"/>
    <mergeCell ref="S8:S9"/>
    <mergeCell ref="T8:T9"/>
    <mergeCell ref="Q13:Q14"/>
    <mergeCell ref="AJ13:AJ14"/>
    <mergeCell ref="AK13:AK14"/>
    <mergeCell ref="AL13:AL14"/>
    <mergeCell ref="F12:J12"/>
    <mergeCell ref="G13:G14"/>
    <mergeCell ref="H13:H14"/>
    <mergeCell ref="I13:I14"/>
    <mergeCell ref="J13:J14"/>
    <mergeCell ref="K13:K14"/>
    <mergeCell ref="R13:R14"/>
    <mergeCell ref="S13:S14"/>
    <mergeCell ref="T13:T14"/>
    <mergeCell ref="U13:U14"/>
    <mergeCell ref="V13:V14"/>
    <mergeCell ref="W13:W14"/>
    <mergeCell ref="AM13:AM14"/>
    <mergeCell ref="AB13:AB14"/>
    <mergeCell ref="AC13:AC14"/>
    <mergeCell ref="AD13:AD14"/>
    <mergeCell ref="AE13:AE14"/>
    <mergeCell ref="AF13:AF14"/>
    <mergeCell ref="AG13:AG14"/>
    <mergeCell ref="G15:G18"/>
    <mergeCell ref="H15:H18"/>
    <mergeCell ref="I15:I18"/>
    <mergeCell ref="J15:J18"/>
    <mergeCell ref="K15:K18"/>
    <mergeCell ref="L15:L18"/>
    <mergeCell ref="M15:M18"/>
    <mergeCell ref="U15:U18"/>
    <mergeCell ref="V15:V18"/>
    <mergeCell ref="W15:W16"/>
    <mergeCell ref="AD15:AD18"/>
    <mergeCell ref="AE15:AE18"/>
    <mergeCell ref="L13:L14"/>
    <mergeCell ref="M13:M14"/>
    <mergeCell ref="N13:N14"/>
    <mergeCell ref="O13:O14"/>
    <mergeCell ref="P13:P14"/>
    <mergeCell ref="AT13:AT14"/>
    <mergeCell ref="AU13:AU14"/>
    <mergeCell ref="AV13:AV14"/>
    <mergeCell ref="N15:N18"/>
    <mergeCell ref="O15:O18"/>
    <mergeCell ref="P15:P18"/>
    <mergeCell ref="Q15:Q18"/>
    <mergeCell ref="R15:R18"/>
    <mergeCell ref="S15:S18"/>
    <mergeCell ref="AN13:AN14"/>
    <mergeCell ref="AO13:AO14"/>
    <mergeCell ref="AP13:AP14"/>
    <mergeCell ref="AQ13:AQ14"/>
    <mergeCell ref="AR13:AR14"/>
    <mergeCell ref="AS13:AS14"/>
    <mergeCell ref="AH13:AH14"/>
    <mergeCell ref="AI13:AI14"/>
    <mergeCell ref="AF15:AF18"/>
    <mergeCell ref="AG15:AG18"/>
    <mergeCell ref="AH15:AH18"/>
    <mergeCell ref="AI15:AI18"/>
    <mergeCell ref="AJ15:AJ18"/>
    <mergeCell ref="AK15:AK18"/>
    <mergeCell ref="T15:T18"/>
    <mergeCell ref="BR13:BR14"/>
    <mergeCell ref="BS13:BS14"/>
    <mergeCell ref="BT13:BT14"/>
    <mergeCell ref="BN13:BN14"/>
    <mergeCell ref="BO13:BO14"/>
    <mergeCell ref="BP13:BP14"/>
    <mergeCell ref="BQ13:BQ14"/>
    <mergeCell ref="AW13:AW14"/>
    <mergeCell ref="AX13:AX14"/>
    <mergeCell ref="AY13:AY14"/>
    <mergeCell ref="BL13:BL14"/>
    <mergeCell ref="BM13:BM14"/>
    <mergeCell ref="BF13:BF14"/>
    <mergeCell ref="BG13:BG14"/>
    <mergeCell ref="BH13:BH14"/>
    <mergeCell ref="BI13:BI14"/>
    <mergeCell ref="BJ13:BJ14"/>
    <mergeCell ref="BK13:BK14"/>
    <mergeCell ref="AZ13:AZ14"/>
    <mergeCell ref="BA13:BA14"/>
    <mergeCell ref="BB13:BB14"/>
    <mergeCell ref="BC13:BC14"/>
    <mergeCell ref="BD13:BD14"/>
    <mergeCell ref="BE13:BE14"/>
    <mergeCell ref="AR15:AR18"/>
    <mergeCell ref="AS15:AS18"/>
    <mergeCell ref="AT15:AT18"/>
    <mergeCell ref="AU15:AU18"/>
    <mergeCell ref="AV15:AV18"/>
    <mergeCell ref="AW15:AW18"/>
    <mergeCell ref="AL15:AL18"/>
    <mergeCell ref="AM15:AM18"/>
    <mergeCell ref="AN15:AN18"/>
    <mergeCell ref="AO15:AO18"/>
    <mergeCell ref="AP15:AP18"/>
    <mergeCell ref="AQ15:AQ18"/>
    <mergeCell ref="BP15:BP18"/>
    <mergeCell ref="BQ15:BQ18"/>
    <mergeCell ref="BR15:BR18"/>
    <mergeCell ref="BS15:BS18"/>
    <mergeCell ref="BT15:BT18"/>
    <mergeCell ref="W17:W18"/>
    <mergeCell ref="BJ15:BJ18"/>
    <mergeCell ref="BK15:BK18"/>
    <mergeCell ref="BL15:BL18"/>
    <mergeCell ref="BM15:BM18"/>
    <mergeCell ref="BN15:BN18"/>
    <mergeCell ref="BO15:BO18"/>
    <mergeCell ref="BD15:BD18"/>
    <mergeCell ref="BE15:BE18"/>
    <mergeCell ref="BF15:BF18"/>
    <mergeCell ref="BG15:BG18"/>
    <mergeCell ref="BH15:BH18"/>
    <mergeCell ref="BI15:BI18"/>
    <mergeCell ref="AX15:AX18"/>
    <mergeCell ref="AY15:AY18"/>
    <mergeCell ref="AZ15:AZ18"/>
    <mergeCell ref="BA15:BA18"/>
    <mergeCell ref="BB15:BB18"/>
    <mergeCell ref="BC15:BC18"/>
    <mergeCell ref="M20:M21"/>
    <mergeCell ref="N20:N21"/>
    <mergeCell ref="O20:O21"/>
    <mergeCell ref="P20:P21"/>
    <mergeCell ref="Q20:Q21"/>
    <mergeCell ref="R20:R21"/>
    <mergeCell ref="F19:L19"/>
    <mergeCell ref="G20:G21"/>
    <mergeCell ref="H20:H21"/>
    <mergeCell ref="I20:I21"/>
    <mergeCell ref="J20:J21"/>
    <mergeCell ref="K20:K21"/>
    <mergeCell ref="L20:L21"/>
    <mergeCell ref="AF20:AF21"/>
    <mergeCell ref="AG20:AG21"/>
    <mergeCell ref="AH20:AH21"/>
    <mergeCell ref="AI20:AI21"/>
    <mergeCell ref="AJ20:AJ21"/>
    <mergeCell ref="AK20:AK21"/>
    <mergeCell ref="S20:S21"/>
    <mergeCell ref="T20:T21"/>
    <mergeCell ref="U20:U21"/>
    <mergeCell ref="V20:V21"/>
    <mergeCell ref="AD20:AD21"/>
    <mergeCell ref="AE20:AE21"/>
    <mergeCell ref="AR20:AR21"/>
    <mergeCell ref="AS20:AS21"/>
    <mergeCell ref="AT20:AT21"/>
    <mergeCell ref="AU20:AU21"/>
    <mergeCell ref="AV20:AV21"/>
    <mergeCell ref="AW20:AW21"/>
    <mergeCell ref="AL20:AL21"/>
    <mergeCell ref="AM20:AM21"/>
    <mergeCell ref="AN20:AN21"/>
    <mergeCell ref="AO20:AO21"/>
    <mergeCell ref="AP20:AP21"/>
    <mergeCell ref="AQ20:AQ21"/>
    <mergeCell ref="BD20:BD21"/>
    <mergeCell ref="BE20:BE21"/>
    <mergeCell ref="BF20:BF21"/>
    <mergeCell ref="BG20:BG21"/>
    <mergeCell ref="BH20:BH21"/>
    <mergeCell ref="BI20:BI21"/>
    <mergeCell ref="AX20:AX21"/>
    <mergeCell ref="AY20:AY21"/>
    <mergeCell ref="AZ20:AZ21"/>
    <mergeCell ref="BA20:BA21"/>
    <mergeCell ref="BB20:BB21"/>
    <mergeCell ref="BC20:BC21"/>
    <mergeCell ref="BP20:BP21"/>
    <mergeCell ref="BQ20:BQ21"/>
    <mergeCell ref="BR20:BR21"/>
    <mergeCell ref="BS20:BS21"/>
    <mergeCell ref="BT20:BT21"/>
    <mergeCell ref="BJ20:BJ21"/>
    <mergeCell ref="BK20:BK21"/>
    <mergeCell ref="BL20:BL21"/>
    <mergeCell ref="BM20:BM21"/>
    <mergeCell ref="BN20:BN21"/>
    <mergeCell ref="BO20:BO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F-PL-07 SGTO PA ADMINISTRATIVA</vt:lpstr>
      <vt:lpstr>F-PLA-07 SGTO PA PLANEACION</vt:lpstr>
      <vt:lpstr>F-PLA-07 SGTO PA HACIENDA</vt:lpstr>
      <vt:lpstr>F-PLA-07 SGTO PA AGUA INFRA</vt:lpstr>
      <vt:lpstr>F-PLA-07 SGTO PA INTERIOR</vt:lpstr>
      <vt:lpstr>F-PLA-07 SGTO PA CULTURA</vt:lpstr>
      <vt:lpstr>F-PLA-07 SGTO PA TURISMO </vt:lpstr>
      <vt:lpstr>F-PLA-07 SGTO PA AGRICULTURA</vt:lpstr>
      <vt:lpstr>F-PLA-07 SGTO PA PRIVADA</vt:lpstr>
      <vt:lpstr>F-PLA-07 SGTO PA EDUCACION</vt:lpstr>
      <vt:lpstr>F-PLA-07 SGTO PA FAMILIA</vt:lpstr>
      <vt:lpstr>F-PLA 07 SGTO PA SALUD</vt:lpstr>
      <vt:lpstr>F-PLA-07S SGTO PA TIC</vt:lpstr>
      <vt:lpstr>F-PLA-07 SGTO PA INDEPORTES</vt:lpstr>
      <vt:lpstr>F-PL-07 SGTO PA PROMOTORA</vt:lpstr>
      <vt:lpstr>F-PLA-07 SGTO PA IDTQ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2021-07-19T14:34:51Z</dcterms:created>
  <dcterms:modified xsi:type="dcterms:W3CDTF">2021-08-27T20:49:20Z</dcterms:modified>
</cp:coreProperties>
</file>